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9290" windowHeight="47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Share'!$B$4:$K$50</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Fed'!$A$3:$W$44</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Footnotes!$A$2:$P$59</definedName>
    <definedName name="_xlnm.Print_Area" localSheetId="36">'HCRA '!$A$3:$Z$63</definedName>
    <definedName name="_xlnm.Print_Area" localSheetId="37">'HCRA PROG DISB'!$A$3:$D$72</definedName>
    <definedName name="_xlnm.Print_Area" localSheetId="39">'Medicaid Disp Share'!$B$2:$K$53</definedName>
    <definedName name="_xlnm.Print_Area" localSheetId="38">'Public Goods '!$A$3:$J$54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D44" i="40" l="1"/>
  <c r="H44" i="40" l="1"/>
  <c r="K43" i="40" l="1"/>
  <c r="F42" i="40"/>
  <c r="F44" i="40" s="1"/>
  <c r="M27" i="17" l="1"/>
  <c r="Z31" i="43" l="1"/>
  <c r="N22" i="43" l="1"/>
  <c r="G7" i="45" l="1"/>
  <c r="C7" i="45"/>
  <c r="J15" i="39" l="1"/>
  <c r="J12" i="39"/>
  <c r="N19" i="37"/>
  <c r="N36" i="37" l="1"/>
  <c r="N37" i="37"/>
  <c r="N38" i="37"/>
  <c r="N40" i="37"/>
  <c r="N41" i="37"/>
  <c r="N42" i="37"/>
  <c r="N31" i="37"/>
  <c r="N21" i="37"/>
  <c r="N32" i="37"/>
  <c r="N20" i="37"/>
  <c r="N22" i="37"/>
  <c r="N23" i="37"/>
  <c r="N16" i="37"/>
  <c r="N28" i="37"/>
  <c r="N17" i="37"/>
  <c r="N29" i="37"/>
  <c r="N18" i="37"/>
  <c r="N30" i="37"/>
  <c r="N15" i="37"/>
  <c r="O20" i="23" l="1"/>
  <c r="P19" i="19"/>
  <c r="P18" i="19"/>
  <c r="L33" i="43" l="1"/>
  <c r="L32" i="43"/>
  <c r="L29" i="43"/>
  <c r="Z29" i="43" s="1"/>
  <c r="L34" i="43"/>
  <c r="Z34" i="43" s="1"/>
  <c r="L26" i="43"/>
  <c r="L24" i="43"/>
  <c r="L23" i="43"/>
  <c r="Z23" i="43" s="1"/>
  <c r="L22" i="43"/>
  <c r="L21" i="43"/>
  <c r="L20" i="43"/>
  <c r="L37" i="43" l="1"/>
  <c r="Q20" i="24" l="1"/>
  <c r="Q21" i="23" s="1"/>
  <c r="P32" i="15" s="1"/>
  <c r="N24" i="28"/>
  <c r="B25" i="6" s="1"/>
  <c r="Q42" i="24"/>
  <c r="Q49" i="24"/>
  <c r="Q93" i="24"/>
  <c r="N16" i="28"/>
  <c r="B18" i="6" s="1"/>
  <c r="Q47" i="24"/>
  <c r="Q19" i="24"/>
  <c r="Q20" i="23" s="1"/>
  <c r="P29" i="15" s="1"/>
  <c r="Q65" i="25"/>
  <c r="Q75" i="24"/>
  <c r="Q38" i="24"/>
  <c r="Z20" i="43"/>
  <c r="I25" i="45" l="1"/>
  <c r="I23" i="45"/>
  <c r="I24" i="45"/>
  <c r="I19" i="45"/>
  <c r="I22" i="45"/>
  <c r="I21" i="45"/>
  <c r="I20" i="45"/>
  <c r="I18" i="45"/>
  <c r="I17" i="45"/>
  <c r="I16" i="45"/>
  <c r="I15" i="45"/>
  <c r="I14" i="45"/>
  <c r="I13" i="45"/>
  <c r="H26" i="45"/>
  <c r="I11" i="45"/>
  <c r="E19" i="45"/>
  <c r="E25" i="45"/>
  <c r="E24" i="45"/>
  <c r="E23" i="45"/>
  <c r="E22" i="45"/>
  <c r="E21" i="45"/>
  <c r="E20" i="45"/>
  <c r="E18" i="45"/>
  <c r="E17" i="45"/>
  <c r="E16" i="45"/>
  <c r="E15" i="45"/>
  <c r="E14" i="45"/>
  <c r="E13" i="45"/>
  <c r="D26" i="45"/>
  <c r="P21" i="18" l="1"/>
  <c r="O25" i="17" s="1"/>
  <c r="P87" i="18"/>
  <c r="P68" i="18"/>
  <c r="P57" i="18"/>
  <c r="P41" i="18"/>
  <c r="D43" i="15" s="1"/>
  <c r="P102" i="18"/>
  <c r="D26" i="2" s="1"/>
  <c r="P31" i="18"/>
  <c r="D32" i="15" s="1"/>
  <c r="Q29" i="24"/>
  <c r="Q30" i="23" s="1"/>
  <c r="P51" i="15" s="1"/>
  <c r="G26" i="45"/>
  <c r="I12" i="45"/>
  <c r="I26" i="45" s="1"/>
  <c r="C26" i="45"/>
  <c r="O25" i="16" l="1"/>
  <c r="D20" i="15"/>
  <c r="P49" i="21"/>
  <c r="P66" i="21"/>
  <c r="E12" i="45"/>
  <c r="E11" i="45"/>
  <c r="I28" i="45"/>
  <c r="E28" i="45"/>
  <c r="E26" i="45" l="1"/>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I59"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K42" i="40" l="1"/>
  <c r="K40" i="40"/>
  <c r="K39" i="40"/>
  <c r="K35" i="40"/>
  <c r="K34" i="40"/>
  <c r="K33" i="40"/>
  <c r="K32" i="40"/>
  <c r="K31" i="40"/>
  <c r="K29" i="40"/>
  <c r="K28" i="40"/>
  <c r="K21" i="40"/>
  <c r="K20" i="40"/>
  <c r="K19" i="40"/>
  <c r="K15" i="40"/>
  <c r="H36" i="40"/>
  <c r="H22" i="40"/>
  <c r="H16" i="40"/>
  <c r="J46" i="39"/>
  <c r="J45" i="39"/>
  <c r="J44" i="39"/>
  <c r="J42" i="39"/>
  <c r="J41" i="39"/>
  <c r="J37" i="39"/>
  <c r="J35" i="39"/>
  <c r="J34" i="39"/>
  <c r="J27" i="39"/>
  <c r="J26" i="39"/>
  <c r="J25" i="39"/>
  <c r="J21" i="39"/>
  <c r="J20" i="39"/>
  <c r="J19" i="39"/>
  <c r="J18" i="39"/>
  <c r="J17" i="39"/>
  <c r="J16" i="39"/>
  <c r="G47" i="39"/>
  <c r="G38" i="39"/>
  <c r="G28" i="39"/>
  <c r="G22" i="39"/>
  <c r="K44" i="40" l="1"/>
  <c r="H24" i="40"/>
  <c r="H47" i="40" s="1"/>
  <c r="G30" i="39"/>
  <c r="G50" i="39" s="1"/>
  <c r="N19" i="19"/>
  <c r="N18" i="19"/>
  <c r="Q73" i="24" l="1"/>
  <c r="L92" i="18"/>
  <c r="Z33" i="43" l="1"/>
  <c r="Z26" i="43"/>
  <c r="F36" i="40" l="1"/>
  <c r="F22" i="40"/>
  <c r="F16" i="40"/>
  <c r="E47" i="39"/>
  <c r="E38" i="39"/>
  <c r="E28" i="39"/>
  <c r="E22" i="39"/>
  <c r="I12" i="34"/>
  <c r="E30" i="39" l="1"/>
  <c r="E50" i="39" s="1"/>
  <c r="F24" i="40"/>
  <c r="F47" i="40" s="1"/>
  <c r="L22" i="19" l="1"/>
  <c r="E40" i="10"/>
  <c r="P61" i="21" l="1"/>
  <c r="E39" i="13"/>
  <c r="N24" i="37" l="1"/>
  <c r="A52" i="8"/>
  <c r="A53" i="9"/>
  <c r="A44" i="10"/>
  <c r="A44" i="11"/>
  <c r="A42" i="12"/>
  <c r="A43" i="13"/>
  <c r="A43" i="14"/>
  <c r="N25" i="27" l="1"/>
  <c r="F26" i="5" s="1"/>
  <c r="L32" i="19"/>
  <c r="L21" i="19"/>
  <c r="L93" i="19"/>
  <c r="P28" i="18" l="1"/>
  <c r="D28" i="15" s="1"/>
  <c r="P46" i="18"/>
  <c r="P50" i="18"/>
  <c r="D53" i="15" s="1"/>
  <c r="P39" i="18"/>
  <c r="D41" i="15" s="1"/>
  <c r="G25" i="16"/>
  <c r="G24" i="16"/>
  <c r="G23" i="16"/>
  <c r="G22" i="16"/>
  <c r="G21" i="16"/>
  <c r="G29" i="16"/>
  <c r="G40" i="16"/>
  <c r="O51" i="17" l="1"/>
  <c r="O51" i="16"/>
  <c r="D49" i="15"/>
  <c r="J32" i="19"/>
  <c r="J24" i="19"/>
  <c r="Z24" i="43" l="1"/>
  <c r="C40" i="10" l="1"/>
  <c r="P90" i="18" l="1"/>
  <c r="F26" i="19"/>
  <c r="E25" i="41" l="1"/>
  <c r="Z16" i="43" l="1"/>
  <c r="X17" i="43"/>
  <c r="V17" i="43"/>
  <c r="T17" i="43"/>
  <c r="R17" i="43"/>
  <c r="P17" i="43"/>
  <c r="N17" i="43"/>
  <c r="L17" i="43"/>
  <c r="J17" i="43"/>
  <c r="H17" i="43"/>
  <c r="F17" i="43"/>
  <c r="D17" i="43"/>
  <c r="B17" i="43"/>
  <c r="P60" i="18" l="1"/>
  <c r="P105" i="18"/>
  <c r="D29" i="2" s="1"/>
  <c r="P79" i="18"/>
  <c r="Q57" i="24"/>
  <c r="Q58" i="23" s="1"/>
  <c r="Q26" i="24"/>
  <c r="Q27" i="23" s="1"/>
  <c r="P44" i="15" s="1"/>
  <c r="Q36" i="25"/>
  <c r="AG112" i="19"/>
  <c r="P58" i="18"/>
  <c r="O63" i="17" s="1"/>
  <c r="Q74" i="24"/>
  <c r="P129" i="18"/>
  <c r="P66" i="18"/>
  <c r="Q56" i="25"/>
  <c r="Q75" i="23" s="1"/>
  <c r="P30" i="2" s="1"/>
  <c r="N22" i="28"/>
  <c r="B23" i="6" s="1"/>
  <c r="P24" i="18"/>
  <c r="D23" i="15" s="1"/>
  <c r="Q19" i="25"/>
  <c r="P18" i="18"/>
  <c r="D17" i="15" s="1"/>
  <c r="P101" i="18"/>
  <c r="D25" i="2" s="1"/>
  <c r="Q36" i="24"/>
  <c r="P69" i="18"/>
  <c r="Q40" i="24"/>
  <c r="P123" i="18"/>
  <c r="P63" i="18"/>
  <c r="P107" i="18"/>
  <c r="D31" i="2" s="1"/>
  <c r="P47" i="18"/>
  <c r="O52" i="16" s="1"/>
  <c r="P72" i="18"/>
  <c r="Q56" i="24"/>
  <c r="Q57" i="23" s="1"/>
  <c r="Q51" i="25"/>
  <c r="P23" i="18"/>
  <c r="D22" i="15" s="1"/>
  <c r="P38" i="18"/>
  <c r="P19" i="18"/>
  <c r="Q91" i="24"/>
  <c r="P128" i="18"/>
  <c r="P80" i="18"/>
  <c r="P67" i="18"/>
  <c r="Q24" i="25"/>
  <c r="Q58" i="24"/>
  <c r="Q59" i="23" s="1"/>
  <c r="Q69" i="24"/>
  <c r="Q41" i="25"/>
  <c r="Q30" i="25"/>
  <c r="Q48" i="23" s="1"/>
  <c r="Q51" i="24"/>
  <c r="Q52" i="23" s="1"/>
  <c r="AI84" i="23"/>
  <c r="P114" i="18"/>
  <c r="D38" i="2" s="1"/>
  <c r="P48" i="18"/>
  <c r="D51" i="15" s="1"/>
  <c r="P108" i="18"/>
  <c r="D32" i="2" s="1"/>
  <c r="P76" i="18"/>
  <c r="Q53" i="24"/>
  <c r="P61" i="18"/>
  <c r="P33" i="18"/>
  <c r="D34" i="15" s="1"/>
  <c r="Q24" i="24"/>
  <c r="Q25" i="23" s="1"/>
  <c r="P40" i="15" s="1"/>
  <c r="Q25" i="25"/>
  <c r="Q43" i="23" s="1"/>
  <c r="P113" i="18"/>
  <c r="D37" i="2" s="1"/>
  <c r="Q63" i="25"/>
  <c r="Q64" i="25"/>
  <c r="Q40" i="25"/>
  <c r="Q38" i="25"/>
  <c r="P75" i="18"/>
  <c r="Q58" i="25"/>
  <c r="Q21" i="25"/>
  <c r="Q39" i="23" s="1"/>
  <c r="Q70" i="24"/>
  <c r="Q54" i="25"/>
  <c r="Q73" i="23" s="1"/>
  <c r="P28" i="2" s="1"/>
  <c r="Q68" i="24"/>
  <c r="Q25" i="24"/>
  <c r="Q26" i="23" s="1"/>
  <c r="P41" i="15" s="1"/>
  <c r="P89" i="18"/>
  <c r="Q41" i="24"/>
  <c r="Q42" i="23" s="1"/>
  <c r="P70" i="18"/>
  <c r="Q83" i="24"/>
  <c r="Q84" i="23" s="1"/>
  <c r="P41" i="2" s="1"/>
  <c r="P78" i="18"/>
  <c r="P40" i="18"/>
  <c r="D42" i="15" s="1"/>
  <c r="P42" i="18"/>
  <c r="D44" i="15" s="1"/>
  <c r="Q74" i="25"/>
  <c r="Q94" i="23" s="1"/>
  <c r="P50" i="2" s="1"/>
  <c r="N31" i="28"/>
  <c r="B32" i="6" s="1"/>
  <c r="Q48" i="24"/>
  <c r="P30" i="18"/>
  <c r="D30" i="15" s="1"/>
  <c r="Q34" i="25"/>
  <c r="P62" i="18"/>
  <c r="P34" i="18"/>
  <c r="D35" i="15" s="1"/>
  <c r="Q80" i="24"/>
  <c r="P88" i="18"/>
  <c r="Q73" i="25"/>
  <c r="Q44" i="25"/>
  <c r="N23" i="28"/>
  <c r="B24" i="6" s="1"/>
  <c r="P82" i="20"/>
  <c r="H20" i="3" s="1"/>
  <c r="Q57" i="25"/>
  <c r="Q76" i="23" s="1"/>
  <c r="P31" i="2" s="1"/>
  <c r="P100" i="18"/>
  <c r="D24" i="2" s="1"/>
  <c r="Q50" i="25"/>
  <c r="P20" i="18"/>
  <c r="P109" i="18"/>
  <c r="D33" i="2" s="1"/>
  <c r="P91" i="18"/>
  <c r="P65" i="18"/>
  <c r="Q54" i="24"/>
  <c r="Q39" i="25"/>
  <c r="Q55" i="25"/>
  <c r="Q74" i="23" s="1"/>
  <c r="P29" i="2" s="1"/>
  <c r="P112" i="18"/>
  <c r="D36" i="2" s="1"/>
  <c r="Q44" i="24"/>
  <c r="P127" i="18"/>
  <c r="P32" i="21"/>
  <c r="P82" i="18"/>
  <c r="P25" i="18"/>
  <c r="O29" i="17" s="1"/>
  <c r="Q43" i="24"/>
  <c r="Q32" i="25"/>
  <c r="Q50" i="23" s="1"/>
  <c r="Q37" i="25"/>
  <c r="N32" i="28"/>
  <c r="B33" i="6" s="1"/>
  <c r="P73" i="18"/>
  <c r="Q81" i="24"/>
  <c r="Q82" i="23" s="1"/>
  <c r="P37" i="2" s="1"/>
  <c r="Q77" i="24"/>
  <c r="P86" i="18"/>
  <c r="P71" i="18"/>
  <c r="Q59" i="24"/>
  <c r="Q60" i="23" s="1"/>
  <c r="Q62" i="25"/>
  <c r="Q52" i="25"/>
  <c r="P85" i="18"/>
  <c r="P104" i="18"/>
  <c r="D28" i="2" s="1"/>
  <c r="Q50" i="24"/>
  <c r="P124" i="18"/>
  <c r="Q82" i="24"/>
  <c r="Q26" i="25"/>
  <c r="Q44" i="23" s="1"/>
  <c r="Q23" i="25"/>
  <c r="P84" i="18"/>
  <c r="AG111" i="19"/>
  <c r="Q92" i="24"/>
  <c r="Q93" i="23" s="1"/>
  <c r="P49" i="2" s="1"/>
  <c r="P32" i="18"/>
  <c r="D33" i="15" s="1"/>
  <c r="N16" i="22"/>
  <c r="Q28" i="25"/>
  <c r="P45" i="18"/>
  <c r="O50" i="17" s="1"/>
  <c r="Q31" i="25"/>
  <c r="Q21" i="24"/>
  <c r="Q22" i="23" s="1"/>
  <c r="P34" i="15" s="1"/>
  <c r="P35" i="18"/>
  <c r="P17" i="18"/>
  <c r="P22" i="18" s="1"/>
  <c r="P26" i="18" s="1"/>
  <c r="D14" i="2" s="1"/>
  <c r="P77" i="18"/>
  <c r="P125" i="18"/>
  <c r="P29" i="18"/>
  <c r="AA24" i="22"/>
  <c r="P49" i="18"/>
  <c r="Q59" i="25"/>
  <c r="Q55" i="24"/>
  <c r="Q33" i="25"/>
  <c r="P83" i="18"/>
  <c r="AE55" i="16"/>
  <c r="Q72" i="24"/>
  <c r="Q45" i="24"/>
  <c r="Q46" i="23" s="1"/>
  <c r="Q76" i="24"/>
  <c r="Q62" i="24"/>
  <c r="P106" i="18"/>
  <c r="D30" i="2" s="1"/>
  <c r="Q27" i="25"/>
  <c r="Q45" i="23" s="1"/>
  <c r="D29" i="15"/>
  <c r="O23" i="16"/>
  <c r="O23" i="17"/>
  <c r="D18" i="15"/>
  <c r="D19" i="15"/>
  <c r="O24" i="17"/>
  <c r="O24" i="16"/>
  <c r="Q54" i="23"/>
  <c r="O29" i="16"/>
  <c r="D24" i="15"/>
  <c r="D50" i="15"/>
  <c r="Q56" i="23"/>
  <c r="D52" i="15"/>
  <c r="O54" i="17"/>
  <c r="O54" i="16"/>
  <c r="Q78" i="23"/>
  <c r="P33" i="2" s="1"/>
  <c r="D40" i="15"/>
  <c r="Q37" i="23"/>
  <c r="N42" i="22"/>
  <c r="O22" i="16" l="1"/>
  <c r="O52" i="17"/>
  <c r="P36" i="18"/>
  <c r="D15" i="2" s="1"/>
  <c r="Q55" i="23"/>
  <c r="Q70" i="23"/>
  <c r="P25" i="2" s="1"/>
  <c r="D16" i="15"/>
  <c r="D48" i="15"/>
  <c r="Q92" i="23"/>
  <c r="P48" i="2" s="1"/>
  <c r="Q63" i="23"/>
  <c r="P19" i="2" s="1"/>
  <c r="Q41" i="23"/>
  <c r="Q83" i="23"/>
  <c r="P38" i="2" s="1"/>
  <c r="Q51" i="23"/>
  <c r="Q81" i="23"/>
  <c r="P36" i="2" s="1"/>
  <c r="Q69" i="23"/>
  <c r="P24" i="2" s="1"/>
  <c r="O63" i="16"/>
  <c r="O21" i="17"/>
  <c r="O22" i="17"/>
  <c r="O40" i="17"/>
  <c r="D36" i="15"/>
  <c r="O40" i="16"/>
  <c r="Q49" i="23"/>
  <c r="P43" i="18"/>
  <c r="D16" i="2" s="1"/>
  <c r="O21" i="16"/>
  <c r="P51" i="18"/>
  <c r="D17" i="2" s="1"/>
  <c r="O50" i="16"/>
  <c r="P92" i="18"/>
  <c r="D18" i="2" s="1"/>
  <c r="P110" i="18"/>
  <c r="P116" i="18" s="1"/>
  <c r="Q77" i="23"/>
  <c r="P32" i="2" s="1"/>
  <c r="Q71" i="23"/>
  <c r="P26" i="2" s="1"/>
  <c r="J21" i="19"/>
  <c r="P53" i="18" l="1"/>
  <c r="K102" i="17"/>
  <c r="L34" i="19"/>
  <c r="M102" i="17" l="1"/>
  <c r="P79" i="20"/>
  <c r="N32" i="19"/>
  <c r="P32" i="20"/>
  <c r="W35" i="41"/>
  <c r="O102" i="17" l="1"/>
  <c r="P32" i="19"/>
  <c r="O45" i="17"/>
  <c r="AC9" i="21"/>
  <c r="H42" i="15" l="1"/>
  <c r="O45" i="16"/>
  <c r="AJ36" i="15"/>
  <c r="G21" i="23" l="1"/>
  <c r="C30" i="45"/>
  <c r="E127" i="16" l="1"/>
  <c r="G51" i="17" l="1"/>
  <c r="G21" i="17"/>
  <c r="G51" i="16"/>
  <c r="H21" i="19"/>
  <c r="H32" i="19"/>
  <c r="H22" i="19"/>
  <c r="H30" i="19"/>
  <c r="E127" i="17"/>
  <c r="H30" i="45"/>
  <c r="D30" i="45"/>
  <c r="I98" i="17" l="1"/>
  <c r="J61" i="19"/>
  <c r="J33" i="19"/>
  <c r="J45" i="19"/>
  <c r="J111" i="19"/>
  <c r="J22" i="19"/>
  <c r="I24" i="17"/>
  <c r="I102" i="17"/>
  <c r="J68" i="19"/>
  <c r="J65" i="19"/>
  <c r="J41" i="19"/>
  <c r="J92" i="19"/>
  <c r="J71" i="19"/>
  <c r="J59" i="19"/>
  <c r="J20" i="19"/>
  <c r="J103" i="19"/>
  <c r="J93" i="19"/>
  <c r="I23" i="16"/>
  <c r="J101" i="19"/>
  <c r="J70" i="19"/>
  <c r="J62" i="19"/>
  <c r="J64" i="19"/>
  <c r="J31" i="19"/>
  <c r="J51" i="19"/>
  <c r="J23" i="19"/>
  <c r="I35" i="16" s="1"/>
  <c r="J95" i="19"/>
  <c r="I25" i="16"/>
  <c r="J57" i="19"/>
  <c r="I80" i="16" s="1"/>
  <c r="I80" i="17"/>
  <c r="I128" i="17"/>
  <c r="H42" i="3"/>
  <c r="I124" i="17"/>
  <c r="J112" i="19"/>
  <c r="J96" i="19"/>
  <c r="I21" i="16"/>
  <c r="I21" i="17"/>
  <c r="J94" i="19"/>
  <c r="J30" i="19"/>
  <c r="J34" i="19"/>
  <c r="I75" i="17"/>
  <c r="I45" i="16"/>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E30" i="45"/>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O30" i="26" l="1"/>
  <c r="B27" i="5" s="1"/>
  <c r="O31" i="26"/>
  <c r="B28" i="5" s="1"/>
  <c r="O21" i="26"/>
  <c r="B20" i="5" s="1"/>
  <c r="O20" i="26"/>
  <c r="B19" i="5" s="1"/>
  <c r="O29" i="26"/>
  <c r="B26" i="5" s="1"/>
  <c r="O28" i="26"/>
  <c r="B25" i="5" s="1"/>
  <c r="P39" i="21"/>
  <c r="P73" i="21"/>
  <c r="P41" i="21"/>
  <c r="P84" i="21"/>
  <c r="P83" i="21"/>
  <c r="P65" i="21"/>
  <c r="P46" i="21"/>
  <c r="P30" i="21"/>
  <c r="P50" i="21"/>
  <c r="P19" i="21"/>
  <c r="P22" i="21"/>
  <c r="P48" i="21"/>
  <c r="P68" i="21"/>
  <c r="P24" i="21"/>
  <c r="P21" i="21"/>
  <c r="P42" i="21"/>
  <c r="P44" i="21"/>
  <c r="P51" i="21"/>
  <c r="P79" i="19" s="1"/>
  <c r="O102" i="16" s="1"/>
  <c r="P62" i="21"/>
  <c r="P64" i="21"/>
  <c r="P31" i="21"/>
  <c r="P54" i="21"/>
  <c r="P82" i="19" s="1"/>
  <c r="H19" i="2" s="1"/>
  <c r="P26" i="21"/>
  <c r="P28" i="21"/>
  <c r="P37" i="21"/>
  <c r="P35" i="21"/>
  <c r="P47" i="21"/>
  <c r="P75" i="21"/>
  <c r="P72" i="21"/>
  <c r="P74" i="21"/>
  <c r="P67" i="21"/>
  <c r="P29" i="21"/>
  <c r="P38" i="21"/>
  <c r="P43" i="21"/>
  <c r="P69" i="21"/>
  <c r="P60" i="21"/>
  <c r="P45" i="21"/>
  <c r="P23" i="21"/>
  <c r="P27" i="21"/>
  <c r="P34" i="21"/>
  <c r="P36" i="21"/>
  <c r="P130" i="18"/>
  <c r="O19" i="26"/>
  <c r="B18" i="5" s="1"/>
  <c r="P65" i="20"/>
  <c r="P100" i="20"/>
  <c r="P93" i="20"/>
  <c r="N64" i="22"/>
  <c r="L49" i="2" s="1"/>
  <c r="AL41" i="25"/>
  <c r="P101" i="20"/>
  <c r="N94" i="18"/>
  <c r="P94" i="18" s="1"/>
  <c r="N53" i="22"/>
  <c r="L37" i="2" s="1"/>
  <c r="K29" i="16"/>
  <c r="K29" i="17"/>
  <c r="K116" i="17"/>
  <c r="K47" i="17"/>
  <c r="K34" i="17"/>
  <c r="K34" i="16"/>
  <c r="I120" i="16"/>
  <c r="P100" i="19" l="1"/>
  <c r="O123" i="17"/>
  <c r="H37" i="3"/>
  <c r="P93" i="19"/>
  <c r="H30" i="3"/>
  <c r="O116" i="17"/>
  <c r="P101" i="19"/>
  <c r="H38" i="3"/>
  <c r="O124" i="17"/>
  <c r="P65" i="19"/>
  <c r="N34" i="19"/>
  <c r="P34" i="20"/>
  <c r="N22" i="19"/>
  <c r="M34" i="16" s="1"/>
  <c r="P22" i="20"/>
  <c r="N21" i="19"/>
  <c r="P21" i="20"/>
  <c r="N93" i="19"/>
  <c r="D50" i="2"/>
  <c r="P126" i="18"/>
  <c r="P133" i="18" s="1"/>
  <c r="D19" i="2"/>
  <c r="P96" i="18"/>
  <c r="P119" i="18" s="1"/>
  <c r="M47" i="17"/>
  <c r="M34" i="17"/>
  <c r="M51" i="16"/>
  <c r="M51" i="17"/>
  <c r="M116" i="17"/>
  <c r="M29" i="16"/>
  <c r="M29" i="17"/>
  <c r="P137" i="18" l="1"/>
  <c r="O124" i="16"/>
  <c r="H37" i="2"/>
  <c r="O116" i="16"/>
  <c r="H29" i="2"/>
  <c r="O123" i="16"/>
  <c r="H36" i="2"/>
  <c r="P34" i="19"/>
  <c r="O47" i="17"/>
  <c r="P22" i="19"/>
  <c r="O34" i="17"/>
  <c r="P21" i="19"/>
  <c r="O33" i="17"/>
  <c r="D49" i="2"/>
  <c r="Z15" i="43"/>
  <c r="Z17" i="43" s="1"/>
  <c r="Z27" i="43"/>
  <c r="H44" i="15" l="1"/>
  <c r="O47" i="16"/>
  <c r="H30" i="15"/>
  <c r="O34" i="16"/>
  <c r="H29" i="15"/>
  <c r="O33" i="16"/>
  <c r="Q12" i="34"/>
  <c r="E65" i="34" l="1"/>
  <c r="K23" i="16" l="1"/>
  <c r="K24" i="17"/>
  <c r="K24" i="16"/>
  <c r="K45" i="16"/>
  <c r="K45" i="17"/>
  <c r="K22" i="17"/>
  <c r="I105" i="17"/>
  <c r="K52" i="17"/>
  <c r="K52" i="16"/>
  <c r="B6" i="24"/>
  <c r="M45" i="16" l="1"/>
  <c r="P90" i="20"/>
  <c r="M42" i="26"/>
  <c r="O42" i="26" s="1"/>
  <c r="B36" i="5" s="1"/>
  <c r="P58" i="20"/>
  <c r="N17" i="27"/>
  <c r="F18" i="5" s="1"/>
  <c r="N37" i="22"/>
  <c r="P57" i="20"/>
  <c r="P57" i="19" s="1"/>
  <c r="N32" i="29"/>
  <c r="F33" i="6" s="1"/>
  <c r="R32" i="11"/>
  <c r="P62" i="20"/>
  <c r="N24" i="27"/>
  <c r="F25" i="5" s="1"/>
  <c r="N30" i="22"/>
  <c r="N24" i="29"/>
  <c r="F25" i="6" s="1"/>
  <c r="N19" i="22"/>
  <c r="L28" i="15" s="1"/>
  <c r="P30" i="20"/>
  <c r="N16" i="29"/>
  <c r="F18" i="6" s="1"/>
  <c r="G16" i="29"/>
  <c r="P71" i="20"/>
  <c r="P17" i="20"/>
  <c r="O27" i="17" s="1"/>
  <c r="P48" i="20"/>
  <c r="P49" i="20"/>
  <c r="P50" i="20"/>
  <c r="N35" i="22"/>
  <c r="P25" i="20"/>
  <c r="N22" i="29"/>
  <c r="F23" i="6" s="1"/>
  <c r="N37" i="27"/>
  <c r="F36" i="5" s="1"/>
  <c r="K36" i="17"/>
  <c r="N23" i="29"/>
  <c r="F24" i="6" s="1"/>
  <c r="P88" i="20"/>
  <c r="P78" i="20"/>
  <c r="M41" i="26"/>
  <c r="O41" i="26" s="1"/>
  <c r="B35" i="5" s="1"/>
  <c r="N26" i="27"/>
  <c r="F27" i="5" s="1"/>
  <c r="P52" i="20"/>
  <c r="P96" i="20"/>
  <c r="N33" i="22"/>
  <c r="P77" i="20"/>
  <c r="AL75" i="21"/>
  <c r="N36" i="27"/>
  <c r="F35" i="5" s="1"/>
  <c r="P112" i="20"/>
  <c r="P97" i="20"/>
  <c r="P45" i="20"/>
  <c r="P41" i="20"/>
  <c r="P56" i="20"/>
  <c r="P53" i="20"/>
  <c r="P89" i="20"/>
  <c r="N34" i="22"/>
  <c r="L64" i="19"/>
  <c r="P61" i="20"/>
  <c r="N43" i="22"/>
  <c r="N50" i="2"/>
  <c r="P33" i="20"/>
  <c r="N31" i="29"/>
  <c r="F32" i="6" s="1"/>
  <c r="N36" i="22"/>
  <c r="K124" i="17"/>
  <c r="M123" i="17"/>
  <c r="K98" i="17"/>
  <c r="K96" i="17"/>
  <c r="K63" i="17"/>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2" i="19"/>
  <c r="K40" i="17"/>
  <c r="K40" i="16"/>
  <c r="L90" i="19"/>
  <c r="K54" i="16"/>
  <c r="K54" i="17"/>
  <c r="K97" i="17"/>
  <c r="L74" i="19"/>
  <c r="K125" i="17"/>
  <c r="K123" i="17"/>
  <c r="K38" i="17"/>
  <c r="K50" i="16"/>
  <c r="K50" i="17"/>
  <c r="K65" i="17"/>
  <c r="K113" i="17"/>
  <c r="K62" i="17"/>
  <c r="E21" i="16"/>
  <c r="E21" i="17"/>
  <c r="F74" i="19"/>
  <c r="M70" i="17" l="1"/>
  <c r="N32" i="22"/>
  <c r="L23" i="15"/>
  <c r="O28" i="16"/>
  <c r="O28" i="17"/>
  <c r="L14" i="2"/>
  <c r="M88" i="17"/>
  <c r="N39" i="22"/>
  <c r="M97" i="17"/>
  <c r="P74" i="20"/>
  <c r="M96" i="17"/>
  <c r="P73" i="20"/>
  <c r="P78" i="19"/>
  <c r="P90" i="19"/>
  <c r="O113" i="17"/>
  <c r="H27" i="3"/>
  <c r="P61" i="19"/>
  <c r="O84" i="16" s="1"/>
  <c r="O84" i="17"/>
  <c r="P71" i="19"/>
  <c r="O94" i="16" s="1"/>
  <c r="O94" i="17"/>
  <c r="P77" i="19"/>
  <c r="O100" i="16" s="1"/>
  <c r="O100" i="17"/>
  <c r="P88" i="19"/>
  <c r="O111" i="17"/>
  <c r="H25" i="3"/>
  <c r="P96" i="19"/>
  <c r="H33" i="3"/>
  <c r="O119" i="17"/>
  <c r="P89" i="19"/>
  <c r="O112" i="17"/>
  <c r="H26" i="3"/>
  <c r="P97" i="19"/>
  <c r="O120" i="17"/>
  <c r="H34" i="3"/>
  <c r="P112" i="19"/>
  <c r="H50" i="2" s="1"/>
  <c r="H50" i="3"/>
  <c r="P62" i="19"/>
  <c r="O85" i="16" s="1"/>
  <c r="O85" i="17"/>
  <c r="P58" i="19"/>
  <c r="O81" i="16" s="1"/>
  <c r="O81" i="17"/>
  <c r="O80" i="16"/>
  <c r="O80" i="17"/>
  <c r="P56" i="19"/>
  <c r="O79" i="16" s="1"/>
  <c r="O79" i="17"/>
  <c r="P53" i="19"/>
  <c r="O76" i="16" s="1"/>
  <c r="O76" i="17"/>
  <c r="P52" i="19"/>
  <c r="O75" i="16" s="1"/>
  <c r="O75" i="17"/>
  <c r="P50" i="19"/>
  <c r="O73" i="16" s="1"/>
  <c r="O73" i="17"/>
  <c r="P49" i="19"/>
  <c r="O72" i="16" s="1"/>
  <c r="O72" i="17"/>
  <c r="P48" i="19"/>
  <c r="O71" i="16" s="1"/>
  <c r="O71" i="17"/>
  <c r="P45" i="19"/>
  <c r="O67" i="16" s="1"/>
  <c r="O67" i="17"/>
  <c r="M66" i="17"/>
  <c r="P44" i="20"/>
  <c r="M65" i="17"/>
  <c r="P43" i="20"/>
  <c r="P41" i="19"/>
  <c r="O62" i="16" s="1"/>
  <c r="O62" i="17"/>
  <c r="P33" i="19"/>
  <c r="O46" i="17"/>
  <c r="P30" i="19"/>
  <c r="O43" i="17"/>
  <c r="P25" i="19"/>
  <c r="O37" i="17"/>
  <c r="P17" i="19"/>
  <c r="H15" i="3"/>
  <c r="N53" i="19"/>
  <c r="M119" i="17"/>
  <c r="O59" i="23"/>
  <c r="N89" i="19"/>
  <c r="N17" i="19"/>
  <c r="O78" i="23"/>
  <c r="M59" i="23"/>
  <c r="M20" i="23"/>
  <c r="K33" i="16" s="1"/>
  <c r="M28" i="17"/>
  <c r="M28" i="16"/>
  <c r="M70" i="16"/>
  <c r="N65" i="22"/>
  <c r="L50" i="2" s="1"/>
  <c r="K127" i="17"/>
  <c r="N55" i="22"/>
  <c r="N47" i="22"/>
  <c r="K101" i="17"/>
  <c r="K89" i="17"/>
  <c r="N40" i="22"/>
  <c r="K88" i="17"/>
  <c r="K82" i="17"/>
  <c r="N38" i="22"/>
  <c r="M72" i="17"/>
  <c r="K55" i="16"/>
  <c r="N23" i="22"/>
  <c r="K53" i="17"/>
  <c r="N22" i="22"/>
  <c r="K105" i="17"/>
  <c r="K55" i="17"/>
  <c r="N90" i="19"/>
  <c r="N78" i="19"/>
  <c r="N112" i="19"/>
  <c r="N45" i="19"/>
  <c r="M67" i="16" s="1"/>
  <c r="L111" i="19"/>
  <c r="L101" i="19"/>
  <c r="N101" i="19"/>
  <c r="L100" i="19"/>
  <c r="N100" i="19"/>
  <c r="N97" i="19"/>
  <c r="N96" i="19"/>
  <c r="L82" i="19"/>
  <c r="N82" i="19"/>
  <c r="L79" i="19"/>
  <c r="K102" i="16" s="1"/>
  <c r="N79" i="19"/>
  <c r="M102" i="16" s="1"/>
  <c r="N74" i="19"/>
  <c r="N73" i="19"/>
  <c r="M96" i="16" s="1"/>
  <c r="L73" i="19"/>
  <c r="K96" i="16" s="1"/>
  <c r="N71" i="19"/>
  <c r="L65" i="19"/>
  <c r="N65" i="19"/>
  <c r="N62" i="19"/>
  <c r="M85" i="16" s="1"/>
  <c r="L52" i="19"/>
  <c r="N52" i="19"/>
  <c r="N49" i="19"/>
  <c r="L44" i="19"/>
  <c r="K66" i="16" s="1"/>
  <c r="N44" i="19"/>
  <c r="M66" i="16" s="1"/>
  <c r="N43" i="19"/>
  <c r="N41" i="19"/>
  <c r="M62" i="16" s="1"/>
  <c r="M113" i="17"/>
  <c r="M62" i="17"/>
  <c r="P111" i="20"/>
  <c r="K128" i="17"/>
  <c r="P103" i="20"/>
  <c r="L102" i="19"/>
  <c r="P102" i="20"/>
  <c r="K119" i="17"/>
  <c r="P95" i="20"/>
  <c r="P94" i="20"/>
  <c r="K115" i="17"/>
  <c r="P92" i="20"/>
  <c r="N88" i="19"/>
  <c r="M111" i="17"/>
  <c r="L78" i="19"/>
  <c r="N77" i="19"/>
  <c r="M100" i="17"/>
  <c r="K99" i="17"/>
  <c r="P76" i="20"/>
  <c r="L75" i="19"/>
  <c r="K95" i="17"/>
  <c r="P72" i="20"/>
  <c r="M94" i="17"/>
  <c r="L70" i="19"/>
  <c r="L68" i="19"/>
  <c r="P68" i="20"/>
  <c r="K91" i="17"/>
  <c r="L66" i="19"/>
  <c r="P66" i="20"/>
  <c r="K87" i="17"/>
  <c r="P64" i="20"/>
  <c r="K86" i="17"/>
  <c r="P63" i="20"/>
  <c r="M85" i="17"/>
  <c r="N61" i="19"/>
  <c r="M84" i="17"/>
  <c r="L61" i="19"/>
  <c r="K84" i="17"/>
  <c r="L59" i="19"/>
  <c r="P59" i="20"/>
  <c r="N58" i="19"/>
  <c r="M81" i="16" s="1"/>
  <c r="M81" i="17"/>
  <c r="N57" i="19"/>
  <c r="M80" i="16" s="1"/>
  <c r="M80" i="17"/>
  <c r="N56" i="19"/>
  <c r="M79" i="16" s="1"/>
  <c r="M79" i="17"/>
  <c r="L54" i="19"/>
  <c r="P54" i="20"/>
  <c r="M76" i="17"/>
  <c r="M75" i="17"/>
  <c r="K74" i="17"/>
  <c r="P51" i="20"/>
  <c r="N50" i="19"/>
  <c r="M73" i="16" s="1"/>
  <c r="M73" i="17"/>
  <c r="K73" i="17"/>
  <c r="L50" i="19"/>
  <c r="K73" i="16" s="1"/>
  <c r="N48" i="19"/>
  <c r="M71" i="16" s="1"/>
  <c r="M71" i="17"/>
  <c r="K68" i="17"/>
  <c r="P46" i="20"/>
  <c r="M67" i="17"/>
  <c r="K67" i="17"/>
  <c r="N33" i="19"/>
  <c r="M46" i="17"/>
  <c r="L31" i="19"/>
  <c r="P31" i="20"/>
  <c r="N30" i="19"/>
  <c r="M43" i="17"/>
  <c r="K43" i="17"/>
  <c r="L30" i="19"/>
  <c r="L27" i="19"/>
  <c r="K39" i="17" s="1"/>
  <c r="L26" i="19"/>
  <c r="P26" i="20"/>
  <c r="N25" i="19"/>
  <c r="M37" i="17"/>
  <c r="L24" i="19"/>
  <c r="P24" i="20"/>
  <c r="L23" i="19"/>
  <c r="K35" i="16" s="1"/>
  <c r="P23" i="20"/>
  <c r="L20" i="19"/>
  <c r="K32" i="16" s="1"/>
  <c r="P20" i="20"/>
  <c r="K27" i="17"/>
  <c r="L41" i="19"/>
  <c r="K62" i="16" s="1"/>
  <c r="K76" i="17"/>
  <c r="L45" i="19"/>
  <c r="K67" i="16" s="1"/>
  <c r="L88" i="19"/>
  <c r="L96" i="19"/>
  <c r="L71" i="19"/>
  <c r="L103" i="19"/>
  <c r="K94" i="17"/>
  <c r="K127" i="16"/>
  <c r="L63" i="19"/>
  <c r="K86" i="16" s="1"/>
  <c r="K44" i="1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G24" i="17"/>
  <c r="H24" i="19"/>
  <c r="M25" i="41"/>
  <c r="O127" i="17" l="1"/>
  <c r="O127" i="16"/>
  <c r="L40" i="2"/>
  <c r="O88" i="17"/>
  <c r="O88" i="16"/>
  <c r="O137" i="17"/>
  <c r="L51" i="15"/>
  <c r="O53" i="17"/>
  <c r="O53" i="16"/>
  <c r="L19" i="2"/>
  <c r="O105" i="17"/>
  <c r="O105" i="16"/>
  <c r="L53" i="15"/>
  <c r="O55" i="16"/>
  <c r="O55" i="17"/>
  <c r="M101" i="17"/>
  <c r="N44" i="22"/>
  <c r="O101" i="17" s="1"/>
  <c r="O70" i="17"/>
  <c r="O70" i="16"/>
  <c r="P98" i="20"/>
  <c r="P105" i="20" s="1"/>
  <c r="P76" i="19"/>
  <c r="O99" i="16" s="1"/>
  <c r="O99" i="17"/>
  <c r="P111" i="19"/>
  <c r="H49" i="2" s="1"/>
  <c r="H49" i="3"/>
  <c r="O136" i="17"/>
  <c r="P114" i="20"/>
  <c r="O111" i="16"/>
  <c r="H24" i="2"/>
  <c r="P94" i="19"/>
  <c r="H31" i="3"/>
  <c r="O117" i="17"/>
  <c r="O112" i="16"/>
  <c r="H25" i="2"/>
  <c r="O113" i="16"/>
  <c r="H26" i="2"/>
  <c r="P63" i="19"/>
  <c r="O86" i="16" s="1"/>
  <c r="O86" i="17"/>
  <c r="P64" i="19"/>
  <c r="O87" i="16" s="1"/>
  <c r="O87" i="17"/>
  <c r="P95" i="19"/>
  <c r="O118" i="17"/>
  <c r="H32" i="3"/>
  <c r="P59" i="19"/>
  <c r="O82" i="16" s="1"/>
  <c r="O82" i="17"/>
  <c r="P66" i="19"/>
  <c r="O89" i="16" s="1"/>
  <c r="O89" i="17"/>
  <c r="P72" i="19"/>
  <c r="O95" i="16" s="1"/>
  <c r="O95" i="17"/>
  <c r="P102" i="19"/>
  <c r="O125" i="17"/>
  <c r="H39" i="3"/>
  <c r="O119" i="16"/>
  <c r="H32" i="2"/>
  <c r="P73" i="19"/>
  <c r="O96" i="16" s="1"/>
  <c r="O96" i="17"/>
  <c r="N70" i="19"/>
  <c r="P70" i="20"/>
  <c r="P70" i="19" s="1"/>
  <c r="N75" i="19"/>
  <c r="P75" i="20"/>
  <c r="P103" i="19"/>
  <c r="O128" i="17"/>
  <c r="O120" i="16"/>
  <c r="H33" i="2"/>
  <c r="P74" i="19"/>
  <c r="O97" i="16" s="1"/>
  <c r="O97" i="17"/>
  <c r="P68" i="19"/>
  <c r="O91" i="16" s="1"/>
  <c r="O91" i="17"/>
  <c r="P92" i="19"/>
  <c r="H29" i="3"/>
  <c r="O115" i="17"/>
  <c r="M92" i="17"/>
  <c r="P69" i="20"/>
  <c r="P54" i="19"/>
  <c r="O77" i="16" s="1"/>
  <c r="O77" i="17"/>
  <c r="P51" i="19"/>
  <c r="O74" i="16" s="1"/>
  <c r="O74" i="17"/>
  <c r="P46" i="19"/>
  <c r="O68" i="16" s="1"/>
  <c r="O68" i="17"/>
  <c r="P44" i="19"/>
  <c r="O66" i="16" s="1"/>
  <c r="O66" i="17"/>
  <c r="P43" i="19"/>
  <c r="O65" i="16" s="1"/>
  <c r="O65" i="17"/>
  <c r="H43" i="15"/>
  <c r="O46" i="16"/>
  <c r="P31" i="19"/>
  <c r="O44" i="17"/>
  <c r="H40" i="15"/>
  <c r="O43" i="16"/>
  <c r="N27" i="19"/>
  <c r="M39" i="17" s="1"/>
  <c r="P27" i="20"/>
  <c r="P27" i="19" s="1"/>
  <c r="P26" i="19"/>
  <c r="O38" i="17"/>
  <c r="H33" i="15"/>
  <c r="O37" i="16"/>
  <c r="P24" i="19"/>
  <c r="O36" i="17"/>
  <c r="P23" i="19"/>
  <c r="O35" i="17"/>
  <c r="P20" i="19"/>
  <c r="O32" i="17"/>
  <c r="H22" i="15"/>
  <c r="H14" i="2"/>
  <c r="M46" i="16"/>
  <c r="M98" i="17"/>
  <c r="M100" i="16"/>
  <c r="K100" i="16"/>
  <c r="M105" i="17"/>
  <c r="M120" i="16"/>
  <c r="M55" i="17"/>
  <c r="M55" i="16"/>
  <c r="M33" i="16"/>
  <c r="M127" i="17"/>
  <c r="M127" i="16"/>
  <c r="M53" i="17"/>
  <c r="N111" i="19"/>
  <c r="K39" i="16"/>
  <c r="N103" i="19"/>
  <c r="M128" i="17"/>
  <c r="N102" i="19"/>
  <c r="M125" i="17"/>
  <c r="N95" i="19"/>
  <c r="M118" i="17"/>
  <c r="N94" i="19"/>
  <c r="M117" i="17"/>
  <c r="N92" i="19"/>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N26" i="19"/>
  <c r="M38" i="17"/>
  <c r="M37" i="16"/>
  <c r="N24" i="19"/>
  <c r="M36" i="17"/>
  <c r="N23" i="19"/>
  <c r="M35" i="17"/>
  <c r="N20" i="19"/>
  <c r="M32" i="17"/>
  <c r="K120" i="16"/>
  <c r="K92" i="17"/>
  <c r="L69" i="19"/>
  <c r="K92" i="16" s="1"/>
  <c r="G84" i="23"/>
  <c r="K25" i="41"/>
  <c r="O101" i="16" l="1"/>
  <c r="M39" i="16"/>
  <c r="O115" i="16"/>
  <c r="H28" i="2"/>
  <c r="O128" i="16"/>
  <c r="H41" i="2"/>
  <c r="P75" i="19"/>
  <c r="O98" i="16" s="1"/>
  <c r="O98" i="17"/>
  <c r="O125" i="16"/>
  <c r="H38" i="2"/>
  <c r="O118" i="16"/>
  <c r="H31" i="2"/>
  <c r="O117" i="16"/>
  <c r="H30" i="2"/>
  <c r="P69" i="19"/>
  <c r="O92" i="16" s="1"/>
  <c r="O92" i="17"/>
  <c r="H41" i="15"/>
  <c r="O44" i="16"/>
  <c r="H35" i="15"/>
  <c r="O39" i="16"/>
  <c r="O39" i="17"/>
  <c r="H34" i="15"/>
  <c r="O38" i="16"/>
  <c r="H32" i="15"/>
  <c r="O36" i="16"/>
  <c r="H31" i="15"/>
  <c r="O35" i="16"/>
  <c r="H28" i="15"/>
  <c r="O32" i="16"/>
  <c r="M35" i="16"/>
  <c r="M32" i="16"/>
  <c r="I121" i="17"/>
  <c r="I130" i="17" s="1"/>
  <c r="K75" i="23" l="1"/>
  <c r="I117" i="16" s="1"/>
  <c r="I75" i="23"/>
  <c r="F32" i="19"/>
  <c r="E51" i="16"/>
  <c r="Y23" i="26"/>
  <c r="M75" i="23" l="1"/>
  <c r="K117" i="16" s="1"/>
  <c r="O75" i="23"/>
  <c r="E51" i="17"/>
  <c r="M117" i="16" l="1"/>
  <c r="J54" i="15"/>
  <c r="H54" i="15"/>
  <c r="X24" i="22" l="1"/>
  <c r="V24" i="22"/>
  <c r="R24" i="22"/>
  <c r="Y56" i="16" l="1"/>
  <c r="Y56" i="17"/>
  <c r="Z51" i="18" l="1"/>
  <c r="E124" i="17" l="1"/>
  <c r="K12" i="40"/>
  <c r="X51" i="18" l="1"/>
  <c r="W33" i="26"/>
  <c r="K22" i="40"/>
  <c r="D37" i="43"/>
  <c r="Z35" i="43"/>
  <c r="AI75" i="18" l="1"/>
  <c r="AK75" i="18" s="1"/>
  <c r="AJ41" i="26"/>
  <c r="I94" i="23"/>
  <c r="I59" i="23"/>
  <c r="G45" i="16"/>
  <c r="G95" i="17"/>
  <c r="G87" i="17"/>
  <c r="I78" i="23"/>
  <c r="G66" i="17"/>
  <c r="G28" i="16"/>
  <c r="I73" i="23"/>
  <c r="G63" i="17"/>
  <c r="G102" i="17"/>
  <c r="G97" i="17"/>
  <c r="G67" i="17"/>
  <c r="H33" i="19"/>
  <c r="H70" i="19"/>
  <c r="I45" i="23"/>
  <c r="H34" i="19"/>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O93" i="23" l="1"/>
  <c r="O92" i="23"/>
  <c r="M92" i="23"/>
  <c r="M93" i="23"/>
  <c r="K94" i="23"/>
  <c r="K81" i="23"/>
  <c r="I123" i="16" s="1"/>
  <c r="K77" i="23"/>
  <c r="K73" i="23"/>
  <c r="K71" i="23"/>
  <c r="I113" i="16" s="1"/>
  <c r="K70" i="23"/>
  <c r="K69" i="23"/>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I111" i="16"/>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M136" i="17"/>
  <c r="V49" i="2"/>
  <c r="M94" i="23"/>
  <c r="O94" i="23"/>
  <c r="M81" i="23"/>
  <c r="K123" i="16" s="1"/>
  <c r="O81" i="23"/>
  <c r="M77" i="23"/>
  <c r="K119" i="16" s="1"/>
  <c r="O77" i="23"/>
  <c r="M73" i="23"/>
  <c r="O73" i="23"/>
  <c r="M71" i="23"/>
  <c r="K113" i="16" s="1"/>
  <c r="O71" i="23"/>
  <c r="M70" i="23"/>
  <c r="K112" i="16" s="1"/>
  <c r="O70" i="23"/>
  <c r="M69" i="23"/>
  <c r="K111" i="16" s="1"/>
  <c r="O69" i="23"/>
  <c r="M60" i="23"/>
  <c r="K101" i="16" s="1"/>
  <c r="O60" i="23"/>
  <c r="M101" i="16" s="1"/>
  <c r="M58" i="23"/>
  <c r="K98" i="16" s="1"/>
  <c r="O58" i="23"/>
  <c r="M98" i="16" s="1"/>
  <c r="M55" i="23"/>
  <c r="K94" i="16" s="1"/>
  <c r="O55" i="23"/>
  <c r="M94" i="16" s="1"/>
  <c r="M54" i="23"/>
  <c r="K91" i="16" s="1"/>
  <c r="O54" i="23"/>
  <c r="M91" i="16" s="1"/>
  <c r="M52" i="23"/>
  <c r="K89" i="16" s="1"/>
  <c r="O52" i="23"/>
  <c r="M89" i="16" s="1"/>
  <c r="M51" i="23"/>
  <c r="K88" i="16" s="1"/>
  <c r="O51" i="23"/>
  <c r="M88" i="16" s="1"/>
  <c r="M48" i="23"/>
  <c r="K84" i="16" s="1"/>
  <c r="O48" i="23"/>
  <c r="M84" i="16" s="1"/>
  <c r="M46" i="23"/>
  <c r="K82" i="16" s="1"/>
  <c r="O46" i="23"/>
  <c r="M82" i="16" s="1"/>
  <c r="M45" i="23"/>
  <c r="K77" i="16" s="1"/>
  <c r="O45" i="23"/>
  <c r="M77" i="16" s="1"/>
  <c r="M44" i="23"/>
  <c r="K76" i="16" s="1"/>
  <c r="O44" i="23"/>
  <c r="M76" i="16" s="1"/>
  <c r="M43" i="23"/>
  <c r="K75" i="16" s="1"/>
  <c r="O43" i="23"/>
  <c r="M75" i="16" s="1"/>
  <c r="M42" i="23"/>
  <c r="O42" i="23"/>
  <c r="M41" i="23"/>
  <c r="K72" i="16" s="1"/>
  <c r="O41" i="23"/>
  <c r="M72" i="16" s="1"/>
  <c r="M39" i="23"/>
  <c r="K65" i="16" s="1"/>
  <c r="O39" i="23"/>
  <c r="M65" i="16" s="1"/>
  <c r="M37" i="23"/>
  <c r="K63" i="16" s="1"/>
  <c r="O37" i="23"/>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C25" i="16"/>
  <c r="O137" i="16" l="1"/>
  <c r="M115" i="16"/>
  <c r="M112" i="16"/>
  <c r="M123" i="16"/>
  <c r="M111" i="16"/>
  <c r="M119" i="16"/>
  <c r="M113" i="16"/>
  <c r="K115" i="16"/>
  <c r="M84" i="23"/>
  <c r="O84" i="23"/>
  <c r="M83" i="23"/>
  <c r="K125" i="16" s="1"/>
  <c r="O83" i="23"/>
  <c r="M82" i="23"/>
  <c r="K124" i="16" s="1"/>
  <c r="O82" i="23"/>
  <c r="M76" i="23"/>
  <c r="O76" i="23"/>
  <c r="M74" i="23"/>
  <c r="O74" i="23"/>
  <c r="M63" i="23"/>
  <c r="O63" i="23"/>
  <c r="M57" i="23"/>
  <c r="K97" i="16" s="1"/>
  <c r="O57" i="23"/>
  <c r="M97" i="16" s="1"/>
  <c r="M56" i="23"/>
  <c r="K95" i="16" s="1"/>
  <c r="O56" i="23"/>
  <c r="M95" i="16" s="1"/>
  <c r="M50" i="23"/>
  <c r="K87" i="16" s="1"/>
  <c r="O50" i="23"/>
  <c r="M87" i="16" s="1"/>
  <c r="M49" i="23"/>
  <c r="O49" i="23"/>
  <c r="M30" i="23"/>
  <c r="K53" i="16" s="1"/>
  <c r="O30" i="23"/>
  <c r="M27" i="23"/>
  <c r="K47" i="16" s="1"/>
  <c r="O27" i="23"/>
  <c r="M47" i="16" s="1"/>
  <c r="M26" i="23"/>
  <c r="K44" i="16" s="1"/>
  <c r="O26" i="23"/>
  <c r="M25" i="23"/>
  <c r="K43" i="16" s="1"/>
  <c r="O25" i="23"/>
  <c r="M22" i="23"/>
  <c r="K38" i="16" s="1"/>
  <c r="O22" i="23"/>
  <c r="M21" i="23"/>
  <c r="K36" i="16" s="1"/>
  <c r="O21" i="23"/>
  <c r="I139" i="17"/>
  <c r="I125" i="16"/>
  <c r="I53" i="16"/>
  <c r="I124" i="16"/>
  <c r="I38" i="16"/>
  <c r="I33" i="16"/>
  <c r="P24" i="22"/>
  <c r="M105" i="16" l="1"/>
  <c r="M116" i="16"/>
  <c r="M128" i="16"/>
  <c r="M124" i="16"/>
  <c r="M118" i="16"/>
  <c r="M125" i="16"/>
  <c r="K116" i="16"/>
  <c r="K105" i="16"/>
  <c r="K128" i="16"/>
  <c r="K118" i="16"/>
  <c r="M53" i="16"/>
  <c r="M44" i="16"/>
  <c r="M43" i="16"/>
  <c r="M38" i="16"/>
  <c r="M36" i="16"/>
  <c r="S56" i="17"/>
  <c r="S56" i="16"/>
  <c r="AC9" i="20"/>
  <c r="F70" i="19" l="1"/>
  <c r="G78" i="23"/>
  <c r="H68" i="19"/>
  <c r="G91" i="16" s="1"/>
  <c r="H69" i="19"/>
  <c r="G92" i="16" s="1"/>
  <c r="H54" i="19"/>
  <c r="G77" i="16" s="1"/>
  <c r="H94" i="19"/>
  <c r="H45" i="19"/>
  <c r="G67" i="16" s="1"/>
  <c r="H111" i="19"/>
  <c r="H112"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3"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2"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1" i="19"/>
  <c r="G49" i="23"/>
  <c r="E38" i="17"/>
  <c r="F33" i="19"/>
  <c r="E46" i="17"/>
  <c r="F88" i="19"/>
  <c r="F72" i="19"/>
  <c r="E95" i="16" s="1"/>
  <c r="F103"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L27" i="19" s="1"/>
  <c r="D79" i="19"/>
  <c r="D72" i="19"/>
  <c r="D77" i="19"/>
  <c r="D111" i="19"/>
  <c r="AD111" i="19" s="1"/>
  <c r="D54" i="19"/>
  <c r="D45" i="32"/>
  <c r="D44" i="19"/>
  <c r="D32" i="19"/>
  <c r="AD53" i="15"/>
  <c r="D24" i="32"/>
  <c r="D65" i="19"/>
  <c r="D27" i="19"/>
  <c r="AD27" i="19" s="1"/>
  <c r="AJ27" i="20"/>
  <c r="D68" i="19"/>
  <c r="D22" i="19"/>
  <c r="AI35" i="18"/>
  <c r="AK35" i="18" s="1"/>
  <c r="F36" i="15"/>
  <c r="X36" i="15" s="1"/>
  <c r="AH36" i="15" s="1"/>
  <c r="D43" i="19"/>
  <c r="D90" i="19"/>
  <c r="D31" i="19"/>
  <c r="D33" i="19"/>
  <c r="C55" i="16"/>
  <c r="AI34" i="18"/>
  <c r="F35" i="15"/>
  <c r="D17" i="32"/>
  <c r="D48" i="19"/>
  <c r="D78" i="19"/>
  <c r="D52" i="19"/>
  <c r="D23" i="19"/>
  <c r="D95" i="19"/>
  <c r="D46" i="19"/>
  <c r="D26" i="19"/>
  <c r="D76" i="19"/>
  <c r="AK42" i="18"/>
  <c r="D88" i="19"/>
  <c r="AE40" i="17"/>
  <c r="AJ40" i="17" s="1"/>
  <c r="AE40" i="16"/>
  <c r="AJ40" i="16" s="1"/>
  <c r="D24" i="19"/>
  <c r="D53" i="19"/>
  <c r="D74" i="19"/>
  <c r="D61" i="19"/>
  <c r="D30" i="19"/>
  <c r="D62" i="19"/>
  <c r="D70" i="19"/>
  <c r="AD70" i="19" s="1"/>
  <c r="D41" i="19"/>
  <c r="D20" i="19"/>
  <c r="AD20" i="19" s="1"/>
  <c r="D103" i="19"/>
  <c r="D57" i="19"/>
  <c r="D64" i="19"/>
  <c r="AK34" i="18"/>
  <c r="AE39" i="16"/>
  <c r="AE39" i="17"/>
  <c r="AJ39" i="17" s="1"/>
  <c r="D50" i="19"/>
  <c r="D75" i="19"/>
  <c r="D71" i="19"/>
  <c r="C22" i="17"/>
  <c r="D102" i="19"/>
  <c r="D101" i="19"/>
  <c r="D17" i="19"/>
  <c r="B24" i="22"/>
  <c r="D82" i="19"/>
  <c r="V22" i="18"/>
  <c r="V51" i="18"/>
  <c r="H21" i="36"/>
  <c r="AD35" i="15" l="1"/>
  <c r="AJ35" i="15" s="1"/>
  <c r="AJ39" i="16"/>
  <c r="C39" i="17"/>
  <c r="AB39" i="17" s="1"/>
  <c r="AH39" i="17" s="1"/>
  <c r="D48" i="32"/>
  <c r="D73" i="19"/>
  <c r="D93" i="19"/>
  <c r="D45" i="19"/>
  <c r="D97" i="19"/>
  <c r="D96" i="19"/>
  <c r="D92" i="19"/>
  <c r="C128" i="17"/>
  <c r="D51" i="19"/>
  <c r="Z25" i="37"/>
  <c r="D94" i="19"/>
  <c r="D63" i="19"/>
  <c r="C55" i="17"/>
  <c r="D51" i="18"/>
  <c r="D69" i="19"/>
  <c r="D112" i="19"/>
  <c r="D100" i="19"/>
  <c r="C44" i="26"/>
  <c r="D66" i="19"/>
  <c r="D89" i="19"/>
  <c r="D49" i="19"/>
  <c r="C40" i="16"/>
  <c r="AB40" i="16" s="1"/>
  <c r="AH40" i="16" s="1"/>
  <c r="C40" i="17"/>
  <c r="AB40" i="17" s="1"/>
  <c r="AH40" i="17" s="1"/>
  <c r="V36" i="15"/>
  <c r="V35" i="15"/>
  <c r="C39" i="16"/>
  <c r="AB39" i="16" s="1"/>
  <c r="AH39" i="16" s="1"/>
  <c r="J35" i="15"/>
  <c r="X35" i="15" s="1"/>
  <c r="AJ27" i="19"/>
  <c r="U56" i="17"/>
  <c r="U56" i="16"/>
  <c r="M191" i="42"/>
  <c r="K12" i="34"/>
  <c r="M12" i="34" s="1"/>
  <c r="S12" i="34" s="1"/>
  <c r="K11" i="34"/>
  <c r="S11" i="34" s="1"/>
  <c r="L11" i="32"/>
  <c r="J13" i="33" s="1"/>
  <c r="D11" i="32"/>
  <c r="K14" i="31"/>
  <c r="C14" i="31"/>
  <c r="A8" i="31"/>
  <c r="A7" i="32" s="1"/>
  <c r="A7" i="33" s="1"/>
  <c r="AH35" i="15" l="1"/>
  <c r="D13" i="33"/>
  <c r="N24" i="22" l="1"/>
  <c r="L17" i="2" s="1"/>
  <c r="AB8" i="18"/>
  <c r="AB12" i="17"/>
  <c r="A40" i="14"/>
  <c r="A6" i="14"/>
  <c r="A6" i="13"/>
  <c r="A40" i="13"/>
  <c r="A39" i="12"/>
  <c r="A6" i="12"/>
  <c r="A6" i="11"/>
  <c r="A41" i="11"/>
  <c r="A41" i="10"/>
  <c r="A6" i="10"/>
  <c r="A50" i="9"/>
  <c r="A49" i="8"/>
  <c r="A6" i="9"/>
  <c r="A6" i="8"/>
  <c r="AD49" i="2" l="1"/>
  <c r="AD50" i="2"/>
  <c r="S26" i="16"/>
  <c r="AD11" i="2"/>
  <c r="X11" i="2"/>
  <c r="N11" i="2"/>
  <c r="J11" i="2"/>
  <c r="R11" i="2" s="1"/>
  <c r="X12" i="2"/>
  <c r="V12" i="2"/>
  <c r="P12" i="2"/>
  <c r="N12" i="2"/>
  <c r="L12" i="2"/>
  <c r="J12" i="2"/>
  <c r="R12" i="2" s="1"/>
  <c r="H12" i="2"/>
  <c r="S26" i="17" l="1"/>
  <c r="AA23" i="41"/>
  <c r="D36" i="40" l="1"/>
  <c r="D22" i="40"/>
  <c r="D16" i="40"/>
  <c r="C47" i="39"/>
  <c r="C38" i="39"/>
  <c r="C28" i="39"/>
  <c r="C22" i="39"/>
  <c r="D24" i="40" l="1"/>
  <c r="D47" i="40" s="1"/>
  <c r="C30" i="39"/>
  <c r="C50" i="39" s="1"/>
  <c r="AI86" i="18" l="1"/>
  <c r="R22" i="18"/>
  <c r="Q26" i="16" l="1"/>
  <c r="H51" i="2"/>
  <c r="P57" i="22"/>
  <c r="R51" i="18"/>
  <c r="N41" i="43"/>
  <c r="Q56" i="16" l="1"/>
  <c r="Q56" i="17"/>
  <c r="J29" i="36"/>
  <c r="L24" i="22" l="1"/>
  <c r="O60" i="24"/>
  <c r="N51" i="18"/>
  <c r="N22" i="18"/>
  <c r="M44" i="26"/>
  <c r="O60" i="25"/>
  <c r="O67" i="25" s="1"/>
  <c r="O42" i="25"/>
  <c r="L67" i="22"/>
  <c r="N86" i="21"/>
  <c r="N98" i="20"/>
  <c r="N105" i="20" s="1"/>
  <c r="N35" i="20"/>
  <c r="N28" i="20"/>
  <c r="N133" i="18"/>
  <c r="N92" i="18"/>
  <c r="N43" i="18"/>
  <c r="O56" i="17" l="1"/>
  <c r="O56" i="16"/>
  <c r="M56" i="17"/>
  <c r="M56" i="16"/>
  <c r="L33" i="37"/>
  <c r="K56" i="16"/>
  <c r="M60" i="25"/>
  <c r="M60" i="24"/>
  <c r="K56" i="17"/>
  <c r="L51" i="18"/>
  <c r="L22" i="18"/>
  <c r="J24" i="22"/>
  <c r="N37" i="20"/>
  <c r="Z21" i="43" l="1"/>
  <c r="L70" i="21" l="1"/>
  <c r="L77" i="21" s="1"/>
  <c r="L86" i="21"/>
  <c r="L52" i="21"/>
  <c r="L56" i="21" s="1"/>
  <c r="L80" i="21" l="1"/>
  <c r="N17" i="28" l="1"/>
  <c r="C63" i="17"/>
  <c r="AE93" i="17" l="1"/>
  <c r="AJ70" i="20"/>
  <c r="AL70" i="20" s="1"/>
  <c r="AG70" i="19"/>
  <c r="AE93" i="16" s="1"/>
  <c r="AB93" i="17"/>
  <c r="AH93" i="17" l="1"/>
  <c r="AJ93" i="17" s="1"/>
  <c r="N23" i="15" l="1"/>
  <c r="F22" i="18"/>
  <c r="E44" i="26"/>
  <c r="U26" i="17"/>
  <c r="U26" i="16"/>
  <c r="W79" i="23"/>
  <c r="E56" i="16" l="1"/>
  <c r="E56" i="17"/>
  <c r="E48" i="16"/>
  <c r="G25" i="41"/>
  <c r="R33" i="37" l="1"/>
  <c r="C124" i="17" l="1"/>
  <c r="K16" i="40"/>
  <c r="K36" i="40" l="1"/>
  <c r="K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7" i="22"/>
  <c r="N45" i="22"/>
  <c r="L18" i="2" s="1"/>
  <c r="P80" i="20"/>
  <c r="H19" i="3" s="1"/>
  <c r="Q60" i="24"/>
  <c r="P52" i="21"/>
  <c r="P56" i="21" s="1"/>
  <c r="O44" i="26"/>
  <c r="N25" i="28"/>
  <c r="N28" i="28" s="1"/>
  <c r="P70" i="21"/>
  <c r="P77" i="21" s="1"/>
  <c r="N33" i="28"/>
  <c r="Q95" i="24"/>
  <c r="O26" i="17" l="1"/>
  <c r="O26" i="16"/>
  <c r="R43" i="18"/>
  <c r="P80" i="21"/>
  <c r="O103" i="17"/>
  <c r="O139" i="17"/>
  <c r="Q26" i="17" l="1"/>
  <c r="A52" i="9"/>
  <c r="E49" i="9" l="1"/>
  <c r="M100" i="42"/>
  <c r="O202" i="42"/>
  <c r="G26" i="31"/>
  <c r="K116" i="30"/>
  <c r="N37" i="43"/>
  <c r="V43" i="18" l="1"/>
  <c r="V36" i="18"/>
  <c r="V92" i="18"/>
  <c r="V110" i="18"/>
  <c r="V116" i="18" s="1"/>
  <c r="V133" i="18" l="1"/>
  <c r="Y31" i="23" l="1"/>
  <c r="Y23" i="23" l="1"/>
  <c r="A42" i="14"/>
  <c r="A42" i="13"/>
  <c r="A43" i="11"/>
  <c r="A43"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5" i="19" s="1"/>
  <c r="Y41" i="16"/>
  <c r="X37" i="43"/>
  <c r="V37" i="43"/>
  <c r="P37" i="43"/>
  <c r="J37" i="43"/>
  <c r="H37" i="43"/>
  <c r="F37" i="43"/>
  <c r="B37" i="43"/>
  <c r="AA67" i="22" l="1"/>
  <c r="AD114" i="20"/>
  <c r="AC22" i="18"/>
  <c r="AC26" i="18" s="1"/>
  <c r="G28" i="9"/>
  <c r="P18" i="6"/>
  <c r="C29" i="16"/>
  <c r="C71" i="17"/>
  <c r="C80" i="17"/>
  <c r="C101" i="17"/>
  <c r="C112" i="30"/>
  <c r="AG42" i="25"/>
  <c r="AK31" i="18"/>
  <c r="P18" i="5"/>
  <c r="C23" i="16"/>
  <c r="AA39" i="27"/>
  <c r="G39" i="9"/>
  <c r="AD95" i="24"/>
  <c r="C37" i="17"/>
  <c r="AL83"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5" i="22"/>
  <c r="C79" i="17"/>
  <c r="AG101" i="19"/>
  <c r="C24" i="30"/>
  <c r="E94" i="23"/>
  <c r="AF22" i="18"/>
  <c r="B19" i="6"/>
  <c r="C99" i="17"/>
  <c r="D22" i="18"/>
  <c r="AD67" i="22"/>
  <c r="C81" i="17"/>
  <c r="AD57"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5" i="37"/>
  <c r="L17" i="28"/>
  <c r="L20" i="22"/>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H16" i="3" s="1"/>
  <c r="P114" i="19"/>
  <c r="P28" i="19"/>
  <c r="H15" i="2" s="1"/>
  <c r="AB21" i="17" l="1"/>
  <c r="AF93" i="23"/>
  <c r="AF94" i="23"/>
  <c r="L43" i="18"/>
  <c r="L110" i="18"/>
  <c r="L116" i="18" s="1"/>
  <c r="L26" i="18"/>
  <c r="L36" i="18"/>
  <c r="AJ70" i="19"/>
  <c r="AL70" i="19" s="1"/>
  <c r="N70" i="21"/>
  <c r="N77" i="21" s="1"/>
  <c r="L25" i="29"/>
  <c r="L28" i="27"/>
  <c r="M23" i="26"/>
  <c r="O78" i="24"/>
  <c r="O85" i="24" s="1"/>
  <c r="L45" i="22"/>
  <c r="M33" i="26"/>
  <c r="L19" i="27"/>
  <c r="O30" i="24"/>
  <c r="L57" i="22"/>
  <c r="L17" i="29"/>
  <c r="O27" i="24"/>
  <c r="L25" i="28"/>
  <c r="L28" i="28" s="1"/>
  <c r="N52" i="21"/>
  <c r="N56" i="21" s="1"/>
  <c r="V33" i="28"/>
  <c r="V37" i="28" s="1"/>
  <c r="V20" i="22"/>
  <c r="V67" i="22"/>
  <c r="V37" i="29"/>
  <c r="K26" i="17" l="1"/>
  <c r="K26" i="16"/>
  <c r="M61" i="23"/>
  <c r="N80" i="21"/>
  <c r="H35" i="3"/>
  <c r="H43" i="3" s="1"/>
  <c r="L53" i="18"/>
  <c r="L96" i="18" s="1"/>
  <c r="AG43" i="22"/>
  <c r="AI43" i="22" s="1"/>
  <c r="G30" i="24"/>
  <c r="AG27" i="24"/>
  <c r="AE100" i="17"/>
  <c r="AK86" i="18"/>
  <c r="M30" i="16"/>
  <c r="L28" i="29"/>
  <c r="M37" i="26"/>
  <c r="M49" i="26" s="1"/>
  <c r="L32" i="27"/>
  <c r="M121" i="17"/>
  <c r="M130" i="17" s="1"/>
  <c r="M30" i="17"/>
  <c r="L49" i="22"/>
  <c r="L60" i="22" s="1"/>
  <c r="L72"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5" i="19" s="1"/>
  <c r="G33" i="23" l="1"/>
  <c r="G65" i="23" s="1"/>
  <c r="G89" i="23" s="1"/>
  <c r="F80" i="19"/>
  <c r="S31" i="23" l="1"/>
  <c r="J22" i="39"/>
  <c r="J47" i="39"/>
  <c r="J38" i="39"/>
  <c r="J28" i="39"/>
  <c r="J30" i="39" l="1"/>
  <c r="J50" i="39" s="1"/>
  <c r="J52" i="39" s="1"/>
  <c r="C46" i="16" l="1"/>
  <c r="X114" i="20" l="1"/>
  <c r="K47" i="40"/>
  <c r="K49" i="40" s="1"/>
  <c r="D49" i="40" l="1"/>
  <c r="C52" i="39"/>
  <c r="E59" i="23"/>
  <c r="AF59" i="23" s="1"/>
  <c r="E60" i="23"/>
  <c r="C79" i="16"/>
  <c r="AD54" i="19"/>
  <c r="X35" i="19"/>
  <c r="X28" i="19"/>
  <c r="X98" i="19"/>
  <c r="X105" i="19" s="1"/>
  <c r="F12" i="40" l="1"/>
  <c r="F49" i="40" s="1"/>
  <c r="E12" i="39"/>
  <c r="E52" i="39" s="1"/>
  <c r="X37" i="19"/>
  <c r="C34" i="16"/>
  <c r="C100" i="16"/>
  <c r="AB100" i="16" s="1"/>
  <c r="AD21" i="19"/>
  <c r="E52" i="23"/>
  <c r="AF52" i="23" s="1"/>
  <c r="AK66" i="18"/>
  <c r="E70" i="23"/>
  <c r="E48" i="23"/>
  <c r="AE35" i="17"/>
  <c r="E58" i="23"/>
  <c r="E30" i="23"/>
  <c r="P54" i="15" s="1"/>
  <c r="P23" i="6"/>
  <c r="C99" i="16"/>
  <c r="AC43" i="18"/>
  <c r="AG22" i="19"/>
  <c r="AI66" i="18"/>
  <c r="E22" i="23"/>
  <c r="E77" i="23"/>
  <c r="AE92" i="17"/>
  <c r="E26" i="23"/>
  <c r="AJ19" i="25"/>
  <c r="F30" i="2"/>
  <c r="AD28" i="20"/>
  <c r="AA45" i="22"/>
  <c r="C80" i="16"/>
  <c r="AC110" i="18"/>
  <c r="AC116" i="18" s="1"/>
  <c r="C92" i="16"/>
  <c r="C101" i="16"/>
  <c r="AI43" i="23"/>
  <c r="AI74" i="23"/>
  <c r="E63" i="23"/>
  <c r="C71" i="16"/>
  <c r="P35" i="5"/>
  <c r="E69" i="23"/>
  <c r="E74" i="23"/>
  <c r="I25" i="10"/>
  <c r="C66" i="16"/>
  <c r="E25" i="23"/>
  <c r="C81" i="16"/>
  <c r="E57" i="23"/>
  <c r="AC92" i="18"/>
  <c r="E43" i="23"/>
  <c r="AF43" i="23" s="1"/>
  <c r="E20" i="23"/>
  <c r="E27" i="23"/>
  <c r="AF27" i="23" s="1"/>
  <c r="E54" i="23"/>
  <c r="F28" i="2"/>
  <c r="E21" i="23"/>
  <c r="AJ32" i="25"/>
  <c r="E81" i="23"/>
  <c r="X80" i="19"/>
  <c r="AC79" i="23"/>
  <c r="AC86" i="23" s="1"/>
  <c r="AC61" i="23"/>
  <c r="AC31" i="23"/>
  <c r="AC28" i="23"/>
  <c r="AC23" i="23"/>
  <c r="H12" i="40" l="1"/>
  <c r="H49" i="40" s="1"/>
  <c r="G12" i="39"/>
  <c r="G52" i="39" s="1"/>
  <c r="P45" i="15"/>
  <c r="AF21" i="23"/>
  <c r="AF22" i="23"/>
  <c r="C53" i="16"/>
  <c r="C56" i="16" s="1"/>
  <c r="AD112"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53" i="18"/>
  <c r="AC96" i="18" s="1"/>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X108" i="19" s="1"/>
  <c r="AC33" i="23"/>
  <c r="AC65" i="23" s="1"/>
  <c r="AC89" i="23" s="1"/>
  <c r="AC101" i="23" s="1"/>
  <c r="C41" i="16" l="1"/>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5" i="19" s="1"/>
  <c r="D114" i="19"/>
  <c r="C121" i="17"/>
  <c r="C130" i="17" s="1"/>
  <c r="J19" i="33"/>
  <c r="J16" i="33"/>
  <c r="D20" i="33"/>
  <c r="AB137" i="16" l="1"/>
  <c r="E30" i="16"/>
  <c r="E58" i="16" s="1"/>
  <c r="E107" i="16" s="1"/>
  <c r="E133" i="16" s="1"/>
  <c r="AB26" i="16"/>
  <c r="E133" i="17"/>
  <c r="D84" i="19"/>
  <c r="D108" i="19" s="1"/>
  <c r="D118" i="19" s="1"/>
  <c r="J20" i="33"/>
  <c r="P20" i="22"/>
  <c r="H29" i="36"/>
  <c r="N35" i="19" l="1"/>
  <c r="N37" i="19" l="1"/>
  <c r="B34" i="6"/>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I83" i="18"/>
  <c r="AK83" i="18" s="1"/>
  <c r="AI56" i="23"/>
  <c r="AI60" i="23"/>
  <c r="AD98" i="20"/>
  <c r="AD105" i="20" s="1"/>
  <c r="AI26" i="23"/>
  <c r="AD35" i="20"/>
  <c r="AD37" i="20" s="1"/>
  <c r="X114" i="19" l="1"/>
  <c r="X118" i="19" s="1"/>
  <c r="Q48" i="17"/>
  <c r="Q33" i="26"/>
  <c r="P86" i="21"/>
  <c r="P90" i="21" s="1"/>
  <c r="Q41" i="17"/>
  <c r="N67" i="22"/>
  <c r="F29" i="5"/>
  <c r="V34" i="15"/>
  <c r="Q22" i="24"/>
  <c r="R26" i="18"/>
  <c r="P35" i="19"/>
  <c r="H16" i="2" s="1"/>
  <c r="F26" i="6"/>
  <c r="F29" i="6" s="1"/>
  <c r="F39" i="6" s="1"/>
  <c r="F37" i="5"/>
  <c r="AF57" i="23"/>
  <c r="P37" i="19" l="1"/>
  <c r="M107" i="17"/>
  <c r="M133" i="17" s="1"/>
  <c r="M143" i="17" s="1"/>
  <c r="Q103" i="17"/>
  <c r="Q103" i="16"/>
  <c r="R86" i="21"/>
  <c r="R114" i="19"/>
  <c r="R84" i="19"/>
  <c r="R108" i="19" s="1"/>
  <c r="Q121" i="17"/>
  <c r="Q130" i="17" s="1"/>
  <c r="Q121" i="16"/>
  <c r="Q130" i="16" s="1"/>
  <c r="P98" i="19"/>
  <c r="P105" i="19" s="1"/>
  <c r="Q48" i="16"/>
  <c r="Q41" i="16"/>
  <c r="P80" i="19"/>
  <c r="H18" i="2" s="1"/>
  <c r="P84" i="19" l="1"/>
  <c r="P108" i="19" s="1"/>
  <c r="P118" i="19" s="1"/>
  <c r="R118" i="19"/>
  <c r="Q139" i="17"/>
  <c r="AD17" i="29" l="1"/>
  <c r="AA17" i="28"/>
  <c r="AD25" i="29"/>
  <c r="AA25" i="28"/>
  <c r="AD33" i="29"/>
  <c r="AD76" i="25" l="1"/>
  <c r="AF58" i="23"/>
  <c r="AA28" i="27"/>
  <c r="AB44" i="26"/>
  <c r="AD27" i="24"/>
  <c r="AA19" i="27"/>
  <c r="AF77" i="23"/>
  <c r="AD30" i="24"/>
  <c r="AD80" i="20"/>
  <c r="AB33"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26" i="22"/>
  <c r="AA49" i="22" s="1"/>
  <c r="AA32" i="27"/>
  <c r="AA44" i="27" s="1"/>
  <c r="N98" i="19"/>
  <c r="N105" i="19" s="1"/>
  <c r="AD32" i="24"/>
  <c r="AD64" i="24" s="1"/>
  <c r="AF26" i="23"/>
  <c r="AD80" i="21"/>
  <c r="AF49" i="23"/>
  <c r="AF81" i="23"/>
  <c r="AF51" i="23"/>
  <c r="AF70" i="23"/>
  <c r="AF73" i="23"/>
  <c r="AF71" i="23"/>
  <c r="AF83" i="23"/>
  <c r="AF82" i="23"/>
  <c r="D45" i="37"/>
  <c r="H45" i="37"/>
  <c r="F45" i="37"/>
  <c r="B45" i="37"/>
  <c r="AA60" i="22" l="1"/>
  <c r="AA72" i="22" s="1"/>
  <c r="AD88" i="24"/>
  <c r="AD100" i="24" s="1"/>
  <c r="N80" i="19"/>
  <c r="AB98" i="19"/>
  <c r="G188" i="42" l="1"/>
  <c r="N84" i="19"/>
  <c r="N108"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49" i="22" s="1"/>
  <c r="V60" i="22" s="1"/>
  <c r="V72" i="22" s="1"/>
  <c r="F28" i="29"/>
  <c r="J53" i="18"/>
  <c r="J96" i="18" s="1"/>
  <c r="J119" i="18" s="1"/>
  <c r="H26" i="22"/>
  <c r="H49" i="22" s="1"/>
  <c r="H60" i="22" s="1"/>
  <c r="P26" i="22"/>
  <c r="P49" i="22" s="1"/>
  <c r="P60" i="22" s="1"/>
  <c r="P72" i="22" s="1"/>
  <c r="Q30" i="17"/>
  <c r="Q58" i="17" s="1"/>
  <c r="Q107" i="17" s="1"/>
  <c r="Q133" i="17" s="1"/>
  <c r="Q143" i="17" s="1"/>
  <c r="F32" i="27"/>
  <c r="H28" i="29"/>
  <c r="K70" i="25"/>
  <c r="G37" i="26"/>
  <c r="D32" i="27"/>
  <c r="I37" i="26"/>
  <c r="D28" i="28"/>
  <c r="H32" i="27"/>
  <c r="H28" i="19"/>
  <c r="H98" i="19"/>
  <c r="H105" i="19" s="1"/>
  <c r="H53" i="18"/>
  <c r="H96" i="18" s="1"/>
  <c r="H119" i="18" s="1"/>
  <c r="B26" i="22"/>
  <c r="B49" i="22" s="1"/>
  <c r="B60" i="22" s="1"/>
  <c r="J80" i="19"/>
  <c r="J28" i="19"/>
  <c r="I79" i="23"/>
  <c r="I86" i="23" s="1"/>
  <c r="F80" i="21"/>
  <c r="F53" i="18"/>
  <c r="F96" i="18" s="1"/>
  <c r="F119" i="18" s="1"/>
  <c r="H80" i="19"/>
  <c r="D26" i="22"/>
  <c r="D49" i="22" s="1"/>
  <c r="D60" i="22" s="1"/>
  <c r="B32" i="27"/>
  <c r="E70" i="25"/>
  <c r="E37" i="26"/>
  <c r="E49"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39" i="9" l="1"/>
  <c r="K28" i="9"/>
  <c r="K40" i="9"/>
  <c r="U25" i="14"/>
  <c r="U20" i="14"/>
  <c r="K41" i="9"/>
  <c r="U21" i="14"/>
  <c r="U22" i="14"/>
  <c r="V22" i="11"/>
  <c r="V32" i="11"/>
  <c r="V21" i="11"/>
  <c r="V20" i="11"/>
  <c r="K89" i="23"/>
  <c r="AD48" i="18"/>
  <c r="K42" i="9" l="1"/>
  <c r="K30" i="9"/>
  <c r="R40" i="15"/>
  <c r="K137" i="30" l="1"/>
  <c r="K135" i="30"/>
  <c r="T92" i="18" l="1"/>
  <c r="X92" i="18"/>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P17" i="2" s="1"/>
  <c r="Q96" i="23"/>
  <c r="W31" i="23"/>
  <c r="V33" i="37"/>
  <c r="P33" i="37"/>
  <c r="Y96" i="23"/>
  <c r="W60" i="24"/>
  <c r="U96" i="23"/>
  <c r="S60" i="24"/>
  <c r="O96" i="23"/>
  <c r="R43" i="37"/>
  <c r="U31" i="23"/>
  <c r="T43" i="37"/>
  <c r="T33" i="37"/>
  <c r="N33" i="37"/>
  <c r="N45" i="37" s="1"/>
  <c r="W139" i="17"/>
  <c r="S139" i="17"/>
  <c r="W103" i="17"/>
  <c r="S103" i="17"/>
  <c r="U23" i="23"/>
  <c r="Y139" i="17"/>
  <c r="Q28" i="23"/>
  <c r="P16" i="2" s="1"/>
  <c r="W58" i="17"/>
  <c r="P45" i="37" l="1"/>
  <c r="W48" i="16"/>
  <c r="I41" i="17"/>
  <c r="I30" i="17"/>
  <c r="I30" i="16"/>
  <c r="K96" i="23"/>
  <c r="B67" i="22"/>
  <c r="T45" i="37"/>
  <c r="S41" i="16"/>
  <c r="Y28" i="23"/>
  <c r="W23" i="23"/>
  <c r="O41" i="16"/>
  <c r="Q23" i="23"/>
  <c r="P15" i="2" s="1"/>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1" i="10"/>
  <c r="I34" i="10"/>
  <c r="I40" i="13"/>
  <c r="N28" i="15" l="1"/>
  <c r="N37" i="15" s="1"/>
  <c r="G96" i="23" l="1"/>
  <c r="G101" i="23" l="1"/>
  <c r="AA51" i="3" l="1"/>
  <c r="R33" i="11" l="1"/>
  <c r="V33"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49" i="22" s="1"/>
  <c r="AD60" i="22" s="1"/>
  <c r="AG90" i="19"/>
  <c r="AG82" i="19"/>
  <c r="AG64" i="19"/>
  <c r="P19" i="5"/>
  <c r="AG103" i="19"/>
  <c r="AG102" i="19"/>
  <c r="P27" i="5"/>
  <c r="AI42" i="23"/>
  <c r="AG20" i="19"/>
  <c r="AG62" i="19"/>
  <c r="AG77" i="19"/>
  <c r="AI44" i="23"/>
  <c r="AG92" i="19"/>
  <c r="AG76" i="19"/>
  <c r="AG45" i="19"/>
  <c r="AG66" i="19"/>
  <c r="AE128" i="17" l="1"/>
  <c r="AH128" i="17" s="1"/>
  <c r="AJ128" i="17" s="1"/>
  <c r="AL103" i="19"/>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2" i="22" l="1"/>
  <c r="X67" i="22" l="1"/>
  <c r="X57" i="22"/>
  <c r="X45" i="22"/>
  <c r="X20" i="22"/>
  <c r="T67" i="22"/>
  <c r="T57" i="22"/>
  <c r="T45" i="22"/>
  <c r="T20" i="22"/>
  <c r="R67" i="22"/>
  <c r="R57" i="22"/>
  <c r="R45" i="22"/>
  <c r="R20" i="22"/>
  <c r="N20" i="22"/>
  <c r="L15" i="2" s="1"/>
  <c r="J67" i="22"/>
  <c r="J57" i="22"/>
  <c r="J45" i="22"/>
  <c r="J20" i="22"/>
  <c r="H67" i="22"/>
  <c r="F67" i="22"/>
  <c r="L20" i="2" l="1"/>
  <c r="J26" i="22"/>
  <c r="J49" i="22" s="1"/>
  <c r="J60" i="22" s="1"/>
  <c r="J72" i="22" s="1"/>
  <c r="R26" i="22"/>
  <c r="R49" i="22" s="1"/>
  <c r="R60" i="22" s="1"/>
  <c r="R72" i="22" s="1"/>
  <c r="H72" i="22"/>
  <c r="X26" i="22"/>
  <c r="X49" i="22" s="1"/>
  <c r="X60" i="22" s="1"/>
  <c r="X72" i="22" s="1"/>
  <c r="F72" i="22"/>
  <c r="T26" i="22"/>
  <c r="T49" i="22" s="1"/>
  <c r="T60" i="22" s="1"/>
  <c r="T72" i="22" s="1"/>
  <c r="P17" i="29"/>
  <c r="G25" i="14" l="1"/>
  <c r="K25" i="14" s="1"/>
  <c r="G25" i="13" l="1"/>
  <c r="G40" i="7"/>
  <c r="AN42" i="23" l="1"/>
  <c r="AJ24" i="25"/>
  <c r="AJ41" i="24"/>
  <c r="AL42" i="23" l="1"/>
  <c r="AA34" i="3" l="1"/>
  <c r="AI87" i="18" l="1"/>
  <c r="AK87" i="18" s="1"/>
  <c r="AI88" i="18"/>
  <c r="AK88" i="18" s="1"/>
  <c r="AE101" i="17"/>
  <c r="AE66" i="17"/>
  <c r="AG44" i="22" l="1"/>
  <c r="AI44" i="22" s="1"/>
  <c r="AG30" i="22"/>
  <c r="AI30" i="22" s="1"/>
  <c r="AE97" i="17" l="1"/>
  <c r="AN49" i="23" l="1"/>
  <c r="AJ31" i="25"/>
  <c r="AJ48" i="24"/>
  <c r="AL48" i="24" s="1"/>
  <c r="AL49" i="23" l="1"/>
  <c r="R80" i="20" l="1"/>
  <c r="AL25" i="23" l="1"/>
  <c r="AA42" i="25" l="1"/>
  <c r="Y42" i="25"/>
  <c r="W42" i="25"/>
  <c r="S42" i="25"/>
  <c r="AF60" i="23" l="1"/>
  <c r="W103" i="16"/>
  <c r="W107" i="16" s="1"/>
  <c r="W61" i="23"/>
  <c r="A39" i="13"/>
  <c r="A40" i="11"/>
  <c r="A40" i="10"/>
  <c r="A49" i="9"/>
  <c r="W65" i="23" l="1"/>
  <c r="W89" i="23" s="1"/>
  <c r="W101" i="23" s="1"/>
  <c r="Q31" i="14"/>
  <c r="U31" i="14" s="1"/>
  <c r="AL59" i="25"/>
  <c r="Q24" i="14"/>
  <c r="U24" i="14" s="1"/>
  <c r="G32" i="14"/>
  <c r="K32" i="14" s="1"/>
  <c r="R31" i="11"/>
  <c r="V31" i="11" s="1"/>
  <c r="G32" i="11"/>
  <c r="K32"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R35" i="20"/>
  <c r="P35" i="20"/>
  <c r="H17" i="3" s="1"/>
  <c r="L35" i="20"/>
  <c r="Z28" i="20"/>
  <c r="X28" i="20"/>
  <c r="V28" i="20"/>
  <c r="T28" i="20"/>
  <c r="L28" i="20"/>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53"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2"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E84" i="16"/>
  <c r="AD25" i="19"/>
  <c r="C58" i="17"/>
  <c r="AD24" i="19"/>
  <c r="AD34" i="19"/>
  <c r="AD26" i="19"/>
  <c r="AD22" i="19"/>
  <c r="AD33" i="19"/>
  <c r="AG35" i="19"/>
  <c r="AD16" i="2" s="1"/>
  <c r="AE43"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O46" i="25"/>
  <c r="AG60" i="24"/>
  <c r="AE41" i="16" l="1"/>
  <c r="AG37" i="19"/>
  <c r="AG84" i="19" s="1"/>
  <c r="AG108" i="19" s="1"/>
  <c r="AG118"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5" i="22"/>
  <c r="AI45"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3" i="18"/>
  <c r="AF110" i="18"/>
  <c r="AF116" i="18" s="1"/>
  <c r="E29" i="8" l="1"/>
  <c r="E31" i="10"/>
  <c r="E34" i="11"/>
  <c r="E29" i="10"/>
  <c r="E21" i="8"/>
  <c r="E32" i="7"/>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2" i="10"/>
  <c r="E33" i="8"/>
  <c r="K33" i="8" s="1"/>
  <c r="E30" i="13"/>
  <c r="E33" i="14"/>
  <c r="E23" i="8"/>
  <c r="O27" i="14"/>
  <c r="P34" i="11"/>
  <c r="E33"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7" i="21"/>
  <c r="T28" i="28"/>
  <c r="T37" i="28" s="1"/>
  <c r="G31" i="10"/>
  <c r="K31" i="10" s="1"/>
  <c r="G32" i="10"/>
  <c r="F44" i="27"/>
  <c r="H37" i="28"/>
  <c r="G24" i="10"/>
  <c r="K24" i="10" s="1"/>
  <c r="H118"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18" i="19"/>
  <c r="D118" i="20"/>
  <c r="AG47" i="22"/>
  <c r="AI47"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K23" i="12" s="1"/>
  <c r="AG55" i="22"/>
  <c r="AI55" i="22" s="1"/>
  <c r="G30" i="12"/>
  <c r="K30" i="12" s="1"/>
  <c r="T118" i="19"/>
  <c r="G49"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U33" i="14" s="1"/>
  <c r="U37" i="14" s="1"/>
  <c r="G80" i="25"/>
  <c r="AJ44" i="25"/>
  <c r="AL44" i="25" s="1"/>
  <c r="AG53" i="22"/>
  <c r="AI53" i="22" s="1"/>
  <c r="AG108" i="20"/>
  <c r="AG118" i="20" s="1"/>
  <c r="AJ98" i="20"/>
  <c r="F118" i="20"/>
  <c r="AL105" i="20"/>
  <c r="C43" i="31"/>
  <c r="AA33" i="29"/>
  <c r="AA25" i="29"/>
  <c r="N19" i="6"/>
  <c r="N34" i="2"/>
  <c r="C100" i="30"/>
  <c r="C90" i="30"/>
  <c r="O24" i="10" l="1"/>
  <c r="E30" i="7"/>
  <c r="O30" i="10"/>
  <c r="E20" i="7"/>
  <c r="K20" i="7" s="1"/>
  <c r="O20" i="10"/>
  <c r="E31" i="7"/>
  <c r="O31" i="10"/>
  <c r="E36" i="12"/>
  <c r="E39" i="12" s="1"/>
  <c r="O37" i="14"/>
  <c r="O40" i="14" s="1"/>
  <c r="E34" i="10"/>
  <c r="E34" i="8"/>
  <c r="E38" i="11"/>
  <c r="E41" i="11" s="1"/>
  <c r="E24" i="7"/>
  <c r="E25" i="7"/>
  <c r="K26" i="11"/>
  <c r="K34" i="11"/>
  <c r="E29" i="7"/>
  <c r="E21" i="7"/>
  <c r="E26" i="10"/>
  <c r="E31" i="9"/>
  <c r="E43" i="9"/>
  <c r="E33" i="13"/>
  <c r="E26" i="8"/>
  <c r="E37" i="14"/>
  <c r="E40" i="14" s="1"/>
  <c r="P38" i="11"/>
  <c r="P41" i="11" s="1"/>
  <c r="E33" i="7"/>
  <c r="E40" i="8"/>
  <c r="E41" i="7"/>
  <c r="E41" i="8"/>
  <c r="E42" i="7"/>
  <c r="E27" i="13"/>
  <c r="E23" i="7"/>
  <c r="K23" i="7" s="1"/>
  <c r="E22" i="7"/>
  <c r="K32" i="10"/>
  <c r="O32" i="10" s="1"/>
  <c r="G33" i="7"/>
  <c r="O121" i="16"/>
  <c r="O130" i="16" s="1"/>
  <c r="AF79" i="23"/>
  <c r="AF86" i="23" s="1"/>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K33" i="7"/>
  <c r="K36" i="12"/>
  <c r="E38" i="10"/>
  <c r="E41" i="10" s="1"/>
  <c r="E37" i="8"/>
  <c r="E37" i="13"/>
  <c r="K38" i="11"/>
  <c r="E47" i="9"/>
  <c r="E26" i="7"/>
  <c r="E42" i="8"/>
  <c r="E46" i="8" s="1"/>
  <c r="K31" i="9"/>
  <c r="T116" i="18"/>
  <c r="K21" i="13"/>
  <c r="O21" i="13" s="1"/>
  <c r="G20" i="13"/>
  <c r="K27" i="14"/>
  <c r="G30" i="13"/>
  <c r="K33" i="14"/>
  <c r="G36" i="12"/>
  <c r="G22" i="7"/>
  <c r="K22" i="7" s="1"/>
  <c r="G27" i="14"/>
  <c r="F50" i="2"/>
  <c r="AG100" i="24"/>
  <c r="D90" i="21"/>
  <c r="G31" i="9"/>
  <c r="G25" i="7"/>
  <c r="K25" i="7" s="1"/>
  <c r="Q33" i="14"/>
  <c r="Q37" i="14" s="1"/>
  <c r="AJ32" i="24"/>
  <c r="AL32" i="24" s="1"/>
  <c r="AI94" i="18"/>
  <c r="AK94" i="18" s="1"/>
  <c r="X90" i="21"/>
  <c r="N90" i="21"/>
  <c r="V90" i="21"/>
  <c r="J90" i="21"/>
  <c r="AI129" i="18"/>
  <c r="AK129" i="18" s="1"/>
  <c r="G38" i="9"/>
  <c r="K38" i="9" s="1"/>
  <c r="AI127" i="18"/>
  <c r="AK127" i="18" s="1"/>
  <c r="AI114" i="18"/>
  <c r="AK114" i="18" s="1"/>
  <c r="G36" i="9"/>
  <c r="K36" i="9" s="1"/>
  <c r="AI113" i="18"/>
  <c r="AK113" i="18" s="1"/>
  <c r="G35" i="9"/>
  <c r="K35" i="9" s="1"/>
  <c r="G33" i="14"/>
  <c r="AK43" i="18"/>
  <c r="H90" i="21"/>
  <c r="AJ85" i="24"/>
  <c r="AL85" i="24" s="1"/>
  <c r="AI123" i="18"/>
  <c r="AK123" i="18" s="1"/>
  <c r="F49" i="2"/>
  <c r="F90" i="21"/>
  <c r="AJ108" i="20"/>
  <c r="AL108" i="20" s="1"/>
  <c r="R119" i="18"/>
  <c r="AI100" i="18"/>
  <c r="AK100" i="18" s="1"/>
  <c r="F49" i="3" l="1"/>
  <c r="K37" i="14"/>
  <c r="K30" i="13"/>
  <c r="O30" i="13" s="1"/>
  <c r="G37" i="14"/>
  <c r="AI133" i="18"/>
  <c r="AK133"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5"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K59" i="30" l="1"/>
  <c r="V34" i="11"/>
  <c r="V38" i="11" s="1"/>
  <c r="I26" i="10"/>
  <c r="K25" i="10"/>
  <c r="AL70" i="21"/>
  <c r="AD118" i="20"/>
  <c r="AL114" i="20"/>
  <c r="AE121" i="16"/>
  <c r="AJ86" i="21"/>
  <c r="AJ114" i="20"/>
  <c r="AJ118" i="20" s="1"/>
  <c r="G38" i="11"/>
  <c r="AL77" i="21"/>
  <c r="AJ70" i="21"/>
  <c r="O25" i="10" l="1"/>
  <c r="O26" i="10" s="1"/>
  <c r="F24" i="32"/>
  <c r="K26" i="10"/>
  <c r="AL118" i="20"/>
  <c r="G29" i="10"/>
  <c r="R34" i="11"/>
  <c r="R38" i="11" s="1"/>
  <c r="AJ77" i="21"/>
  <c r="AL80" i="21"/>
  <c r="K29" i="10" l="1"/>
  <c r="G34" i="10"/>
  <c r="G38" i="10" s="1"/>
  <c r="AD90" i="21"/>
  <c r="AJ80" i="21"/>
  <c r="AJ90" i="21" s="1"/>
  <c r="J15" i="6"/>
  <c r="O29" i="10" l="1"/>
  <c r="O34" i="10" s="1"/>
  <c r="O38" i="10" s="1"/>
  <c r="AL90" i="2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7" i="18"/>
  <c r="R137" i="18"/>
  <c r="L137" i="18"/>
  <c r="J137" i="18"/>
  <c r="H137" i="18"/>
  <c r="F137"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Z36" i="43"/>
  <c r="N43" i="43"/>
  <c r="N45"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AI110" i="18"/>
  <c r="X119" i="18" l="1"/>
  <c r="X137" i="18" s="1"/>
  <c r="F55" i="2"/>
  <c r="AI42" i="2"/>
  <c r="W121" i="17"/>
  <c r="F35" i="3"/>
  <c r="T27" i="3"/>
  <c r="AK110" i="18"/>
  <c r="AI116" i="18"/>
  <c r="AK116" i="18" s="1"/>
  <c r="K37" i="7"/>
  <c r="G34" i="7"/>
  <c r="W130" i="17" l="1"/>
  <c r="W133" i="17" s="1"/>
  <c r="W143" i="17" s="1"/>
  <c r="F43" i="3"/>
  <c r="F46" i="3" s="1"/>
  <c r="F55" i="3" s="1"/>
  <c r="V50" i="2"/>
  <c r="AD27" i="3"/>
  <c r="T35" i="3"/>
  <c r="T43" i="3" s="1"/>
  <c r="G37" i="7"/>
  <c r="O138" i="16" l="1"/>
  <c r="V51" i="2"/>
  <c r="Q140" i="16"/>
  <c r="Q144" i="16" s="1"/>
  <c r="S140" i="16"/>
  <c r="U140" i="16"/>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4" i="19" l="1"/>
  <c r="AB118" i="19" s="1"/>
  <c r="AB120"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V119" i="18" s="1"/>
  <c r="V137"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AJ124" i="17" l="1"/>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49" i="22" s="1"/>
  <c r="N60" i="22" s="1"/>
  <c r="N72" i="22" s="1"/>
  <c r="AH30" i="16" l="1"/>
  <c r="AJ30" i="16" s="1"/>
  <c r="AJ28" i="16"/>
  <c r="O107" i="17"/>
  <c r="O133" i="17" s="1"/>
  <c r="O143" i="17" s="1"/>
  <c r="O30" i="16"/>
  <c r="AB30" i="16" s="1"/>
  <c r="L45" i="2"/>
  <c r="L55" i="2" s="1"/>
  <c r="L15" i="3"/>
  <c r="AB28" i="17"/>
  <c r="O58" i="16" l="1"/>
  <c r="L21" i="3"/>
  <c r="L46" i="3" s="1"/>
  <c r="L55" i="3" s="1"/>
  <c r="AH28" i="17"/>
  <c r="AJ28" i="17" s="1"/>
  <c r="R37" i="43" l="1"/>
  <c r="R43" i="43" s="1"/>
  <c r="Z22" i="43"/>
  <c r="H17" i="32" l="1"/>
  <c r="C39" i="13" l="1"/>
  <c r="E40" i="13" l="1"/>
  <c r="N45" i="5" l="1"/>
  <c r="F17" i="32" l="1"/>
  <c r="F37" i="19" l="1"/>
  <c r="F84" i="19" s="1"/>
  <c r="F108" i="19" s="1"/>
  <c r="F118" i="19" s="1"/>
  <c r="Y35" i="3" l="1"/>
  <c r="M16" i="34" l="1"/>
  <c r="K46" i="30" l="1"/>
  <c r="K95" i="30"/>
  <c r="K36" i="31" l="1"/>
  <c r="O22" i="24" l="1"/>
  <c r="O32" i="24" s="1"/>
  <c r="O64" i="24" s="1"/>
  <c r="O88" i="24" s="1"/>
  <c r="O100" i="24" s="1"/>
  <c r="V29" i="15" l="1"/>
  <c r="V37" i="15" s="1"/>
  <c r="P37" i="15"/>
  <c r="P56" i="15" s="1"/>
  <c r="O23" i="23"/>
  <c r="AF20" i="23"/>
  <c r="AF23" i="23" s="1"/>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46" i="25" s="1"/>
  <c r="Q70" i="25" s="1"/>
  <c r="Q80" i="25" s="1"/>
  <c r="Q61" i="23"/>
  <c r="P18" i="2" s="1"/>
  <c r="K37" i="31" l="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s="1"/>
  <c r="Z28" i="43" l="1"/>
  <c r="T37" i="43"/>
  <c r="T43" i="43" s="1"/>
  <c r="T45" i="43" s="1"/>
  <c r="V45" i="43" s="1"/>
  <c r="X45" i="43" s="1"/>
  <c r="Z37" i="43" l="1"/>
  <c r="Z43" i="43" s="1"/>
  <c r="Z45" i="43" s="1"/>
  <c r="Z37" i="20" l="1"/>
  <c r="Z84" i="20" s="1"/>
  <c r="Z108" i="20" s="1"/>
  <c r="Z118" i="20" s="1"/>
  <c r="R15" i="3"/>
  <c r="R21" i="3" s="1"/>
  <c r="R46" i="3" s="1"/>
  <c r="R55" i="3" s="1"/>
  <c r="AB27" i="17"/>
  <c r="H21" i="3" l="1"/>
  <c r="H46" i="3" s="1"/>
  <c r="H55" i="3" s="1"/>
  <c r="H20" i="2"/>
  <c r="H45" i="2" s="1"/>
  <c r="H55" i="2" s="1"/>
  <c r="AH27" i="17"/>
  <c r="AB30" i="17"/>
  <c r="V22" i="15"/>
  <c r="V25" i="15" s="1"/>
  <c r="V56" i="15" s="1"/>
  <c r="H25" i="15"/>
  <c r="H56" i="15" s="1"/>
  <c r="Y30" i="17"/>
  <c r="Y58" i="17" s="1"/>
  <c r="Z37" i="19"/>
  <c r="Z84" i="19" s="1"/>
  <c r="Z108" i="19" s="1"/>
  <c r="Z118" i="19" s="1"/>
  <c r="AD17" i="19"/>
  <c r="AH30" i="17" l="1"/>
  <c r="AJ30" i="17" s="1"/>
  <c r="AJ27" i="17"/>
  <c r="V14" i="2"/>
  <c r="V20" i="2" s="1"/>
  <c r="V45" i="2" s="1"/>
  <c r="V55" i="2" s="1"/>
  <c r="J22" i="15"/>
  <c r="AD37" i="19"/>
  <c r="AD84" i="19" s="1"/>
  <c r="AD108" i="19" s="1"/>
  <c r="AD118" i="19" s="1"/>
  <c r="J14" i="2"/>
  <c r="AJ17" i="19"/>
  <c r="AL17" i="19" s="1"/>
  <c r="AB58" i="17"/>
  <c r="Y107" i="17"/>
  <c r="Y133" i="17" s="1"/>
  <c r="Y143" i="17" s="1"/>
  <c r="AJ37" i="19" l="1"/>
  <c r="X14" i="2"/>
  <c r="J20" i="2"/>
  <c r="J45" i="2" s="1"/>
  <c r="J55" i="2" s="1"/>
  <c r="AJ118" i="19"/>
  <c r="AL118"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08" i="19"/>
  <c r="AL108" i="19" s="1"/>
  <c r="AL84" i="19"/>
  <c r="X45" i="2"/>
  <c r="AI20" i="2"/>
  <c r="AH143" i="17"/>
  <c r="AJ143" i="17" s="1"/>
  <c r="AG45" i="2" l="1"/>
  <c r="AG55" i="2" s="1"/>
  <c r="AI45" i="2"/>
  <c r="X55" i="2"/>
  <c r="AI55" i="2" l="1"/>
  <c r="M52" i="34" l="1"/>
  <c r="M51" i="34"/>
  <c r="AD46" i="27" l="1"/>
  <c r="AG120" i="20" l="1"/>
  <c r="AG13" i="19"/>
  <c r="AG120" i="19" s="1"/>
  <c r="Z12" i="37"/>
  <c r="Z47" i="37" s="1"/>
  <c r="B47" i="37"/>
  <c r="AG102" i="24"/>
  <c r="AB45" i="15"/>
  <c r="AG92" i="21"/>
  <c r="D12" i="37" l="1"/>
  <c r="D47" i="37" s="1"/>
  <c r="I212" i="42"/>
  <c r="I102" i="42"/>
  <c r="I202" i="42"/>
  <c r="K207" i="42"/>
  <c r="M197" i="42"/>
  <c r="K11" i="42"/>
  <c r="M14" i="42"/>
  <c r="K102" i="42"/>
  <c r="K212" i="42"/>
  <c r="K188" i="42"/>
  <c r="E49" i="7"/>
  <c r="F57" i="2"/>
  <c r="AC12" i="18"/>
  <c r="G49" i="9" s="1"/>
  <c r="C49" i="9"/>
  <c r="D139" i="18"/>
  <c r="K202" i="42"/>
  <c r="M196" i="42"/>
  <c r="I258" i="42"/>
  <c r="I188" i="42"/>
  <c r="M200"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0" i="11"/>
  <c r="D13" i="19"/>
  <c r="D92" i="21"/>
  <c r="AD13" i="21"/>
  <c r="AJ13" i="21" s="1"/>
  <c r="AL13" i="21" s="1"/>
  <c r="R40" i="11"/>
  <c r="K261" i="42"/>
  <c r="I261" i="42"/>
  <c r="E48" i="8"/>
  <c r="E50" i="9"/>
  <c r="F57" i="3"/>
  <c r="F59" i="2"/>
  <c r="Y51" i="26"/>
  <c r="C49" i="7"/>
  <c r="C48" i="8"/>
  <c r="E49" i="8" l="1"/>
  <c r="I40" i="11"/>
  <c r="K40" i="11"/>
  <c r="K41" i="11" s="1"/>
  <c r="T40" i="11"/>
  <c r="V40" i="11"/>
  <c r="V41" i="11" s="1"/>
  <c r="H12" i="37"/>
  <c r="H47" i="37" s="1"/>
  <c r="F13" i="21"/>
  <c r="F92" i="21" s="1"/>
  <c r="F13" i="20"/>
  <c r="F139" i="18"/>
  <c r="H12" i="18" s="1"/>
  <c r="AD92" i="21"/>
  <c r="G41" i="11"/>
  <c r="J57" i="2"/>
  <c r="J59" i="2" s="1"/>
  <c r="AD120" i="20"/>
  <c r="G40" i="10"/>
  <c r="K40" i="10" s="1"/>
  <c r="O40" i="10" s="1"/>
  <c r="R41" i="11"/>
  <c r="X38" i="28"/>
  <c r="Z120" i="20"/>
  <c r="AD13" i="19"/>
  <c r="D120" i="19"/>
  <c r="X38" i="29"/>
  <c r="AJ92" i="21"/>
  <c r="AL92" i="21" s="1"/>
  <c r="F59" i="3"/>
  <c r="AL13" i="20"/>
  <c r="AJ120" i="20"/>
  <c r="AL120" i="20" s="1"/>
  <c r="J12" i="37" l="1"/>
  <c r="J47" i="37" s="1"/>
  <c r="H13" i="21"/>
  <c r="H92" i="21" s="1"/>
  <c r="F120" i="20"/>
  <c r="F13" i="19"/>
  <c r="G41" i="10"/>
  <c r="AL13" i="19"/>
  <c r="AJ13" i="19"/>
  <c r="AD120" i="19"/>
  <c r="AJ120" i="19" s="1"/>
  <c r="AL120" i="19" s="1"/>
  <c r="Z120" i="19"/>
  <c r="M40" i="10"/>
  <c r="O41" i="10"/>
  <c r="K41" i="10"/>
  <c r="L12" i="37" l="1"/>
  <c r="L47" i="37" s="1"/>
  <c r="J13" i="21"/>
  <c r="J92" i="21" s="1"/>
  <c r="H13" i="20"/>
  <c r="H139" i="18"/>
  <c r="F120" i="19"/>
  <c r="N12" i="37" l="1"/>
  <c r="L13" i="21"/>
  <c r="L92" i="21" s="1"/>
  <c r="J12" i="18"/>
  <c r="H13" i="19"/>
  <c r="H120" i="20"/>
  <c r="K32" i="31"/>
  <c r="P47" i="37" l="1"/>
  <c r="R47" i="37" s="1"/>
  <c r="T47" i="37" s="1"/>
  <c r="V47" i="37" s="1"/>
  <c r="X47" i="37" s="1"/>
  <c r="N47" i="37"/>
  <c r="N13" i="21"/>
  <c r="N92" i="21" s="1"/>
  <c r="J139" i="18"/>
  <c r="J13" i="20"/>
  <c r="H120" i="19"/>
  <c r="K40" i="30"/>
  <c r="P13" i="21" l="1"/>
  <c r="P92" i="21" s="1"/>
  <c r="R92" i="21" s="1"/>
  <c r="T92" i="21" s="1"/>
  <c r="V92" i="21" s="1"/>
  <c r="X92" i="21" s="1"/>
  <c r="Z92" i="21" s="1"/>
  <c r="L12" i="18"/>
  <c r="J120" i="20"/>
  <c r="J13" i="19"/>
  <c r="E26" i="31"/>
  <c r="L139" i="18" l="1"/>
  <c r="L13" i="20"/>
  <c r="J120" i="19"/>
  <c r="G40" i="31"/>
  <c r="G43" i="31" s="1"/>
  <c r="N12" i="18" l="1"/>
  <c r="L120" i="20"/>
  <c r="L13" i="19"/>
  <c r="K96" i="30"/>
  <c r="N139" i="18" l="1"/>
  <c r="N13" i="20"/>
  <c r="L120" i="19"/>
  <c r="K151" i="30"/>
  <c r="R139" i="18" l="1"/>
  <c r="T139" i="18" s="1"/>
  <c r="V139" i="18" s="1"/>
  <c r="X139" i="18" s="1"/>
  <c r="Z139" i="18" s="1"/>
  <c r="P12" i="18"/>
  <c r="N120" i="20"/>
  <c r="N13" i="19"/>
  <c r="K60" i="30"/>
  <c r="P13" i="20" l="1"/>
  <c r="H57" i="3" s="1"/>
  <c r="H59" i="3" s="1"/>
  <c r="D57" i="2"/>
  <c r="P139" i="18"/>
  <c r="N120" i="19"/>
  <c r="K38" i="31"/>
  <c r="P120" i="20" l="1"/>
  <c r="R120" i="20" s="1"/>
  <c r="T120" i="20" s="1"/>
  <c r="V120" i="20" s="1"/>
  <c r="X120" i="20" s="1"/>
  <c r="P13" i="19"/>
  <c r="H57" i="2" s="1"/>
  <c r="H59" i="2" s="1"/>
  <c r="D59" i="2"/>
  <c r="D57" i="3"/>
  <c r="D59" i="3" s="1"/>
  <c r="M57" i="34"/>
  <c r="I22" i="9"/>
  <c r="P120" i="19" l="1"/>
  <c r="R120" i="19" s="1"/>
  <c r="T120" i="19" s="1"/>
  <c r="V120" i="19" s="1"/>
  <c r="X120" i="19" s="1"/>
  <c r="R30" i="35"/>
  <c r="V30" i="35" s="1"/>
  <c r="I30" i="45" l="1"/>
  <c r="G30" i="45"/>
  <c r="Y43" i="3" l="1"/>
  <c r="Y21" i="3"/>
  <c r="H24" i="32" l="1"/>
  <c r="N57" i="2"/>
  <c r="N59" i="2" s="1"/>
  <c r="B75" i="22"/>
  <c r="D12" i="22" s="1"/>
  <c r="D75" i="22" s="1"/>
  <c r="F12" i="22" s="1"/>
  <c r="F75" i="22" s="1"/>
  <c r="H12" i="22" s="1"/>
  <c r="H75" i="22" s="1"/>
  <c r="C16" i="17"/>
  <c r="AB16" i="17" s="1"/>
  <c r="AA12" i="22"/>
  <c r="AA75" i="22" s="1"/>
  <c r="Y46" i="3"/>
  <c r="Y55" i="3" s="1"/>
  <c r="G38" i="12" l="1"/>
  <c r="K38" i="12" s="1"/>
  <c r="K39" i="12" s="1"/>
  <c r="C145" i="17"/>
  <c r="E16" i="17" s="1"/>
  <c r="E145" i="17" s="1"/>
  <c r="G16" i="17" s="1"/>
  <c r="G145" i="17" s="1"/>
  <c r="I16" i="17" s="1"/>
  <c r="I145" i="17" s="1"/>
  <c r="K16" i="17" s="1"/>
  <c r="K145" i="17" s="1"/>
  <c r="N57" i="3"/>
  <c r="T57" i="3" s="1"/>
  <c r="J12" i="22"/>
  <c r="AB145" i="17"/>
  <c r="Y59" i="3" l="1"/>
  <c r="M16" i="17"/>
  <c r="M145" i="17" s="1"/>
  <c r="G39" i="12"/>
  <c r="I38" i="12"/>
  <c r="N59" i="3"/>
  <c r="J75" i="22"/>
  <c r="T59" i="3"/>
  <c r="G48" i="8"/>
  <c r="O16" i="17" l="1"/>
  <c r="O145" i="17" s="1"/>
  <c r="Q145" i="17" s="1"/>
  <c r="S145" i="17" s="1"/>
  <c r="U145" i="17" s="1"/>
  <c r="W145" i="17" s="1"/>
  <c r="Y145" i="17" s="1"/>
  <c r="L12" i="22"/>
  <c r="G49" i="8"/>
  <c r="I48" i="8"/>
  <c r="K48" i="8"/>
  <c r="K49" i="8" s="1"/>
  <c r="L75" i="22" l="1"/>
  <c r="M38" i="34"/>
  <c r="N12" i="22" l="1"/>
  <c r="L57" i="2" s="1"/>
  <c r="L59" i="2" s="1"/>
  <c r="G100" i="30"/>
  <c r="K97" i="30"/>
  <c r="L57" i="3" l="1"/>
  <c r="L59" i="3" s="1"/>
  <c r="N75" i="22"/>
  <c r="P75" i="22" s="1"/>
  <c r="R75" i="22" s="1"/>
  <c r="T75" i="22" s="1"/>
  <c r="V75" i="22" s="1"/>
  <c r="X75" i="22" s="1"/>
  <c r="R57" i="3" l="1"/>
  <c r="R59" i="3" s="1"/>
  <c r="K115" i="30"/>
  <c r="AB25" i="15" l="1"/>
  <c r="E41" i="44" l="1"/>
  <c r="E57" i="44" s="1"/>
  <c r="E61" i="44" s="1"/>
  <c r="K117" i="30" l="1"/>
  <c r="C57" i="44"/>
  <c r="C61" i="44" l="1"/>
  <c r="I33" i="44"/>
  <c r="I57" i="44" s="1"/>
  <c r="I61" i="44" s="1"/>
  <c r="K45" i="30" l="1"/>
  <c r="G57" i="44"/>
  <c r="G61" i="44" s="1"/>
  <c r="F45" i="32" l="1"/>
  <c r="F48" i="32" s="1"/>
  <c r="I154" i="30"/>
  <c r="H45" i="32"/>
  <c r="H48" i="32" s="1"/>
  <c r="K65" i="34"/>
  <c r="G24" i="30"/>
  <c r="E154" i="30"/>
  <c r="Q65" i="34"/>
  <c r="N43" i="35"/>
  <c r="I24" i="30"/>
  <c r="I100" i="30"/>
  <c r="I65" i="34"/>
  <c r="G154" i="30"/>
  <c r="R18" i="35"/>
  <c r="V18" i="35" s="1"/>
  <c r="T43" i="35"/>
  <c r="G90" i="30"/>
  <c r="G102" i="30" s="1"/>
  <c r="E90" i="30"/>
  <c r="E102" i="30" s="1"/>
  <c r="E40" i="31"/>
  <c r="E43" i="31" s="1"/>
  <c r="E24" i="30"/>
  <c r="I40" i="31"/>
  <c r="K108" i="30"/>
  <c r="K19" i="31"/>
  <c r="K82" i="30"/>
  <c r="K49" i="30"/>
  <c r="M48" i="42"/>
  <c r="I28" i="9"/>
  <c r="M130" i="42"/>
  <c r="L41" i="32"/>
  <c r="AE51" i="26"/>
  <c r="P44" i="5"/>
  <c r="P45" i="5" s="1"/>
  <c r="T31" i="11"/>
  <c r="M186" i="42"/>
  <c r="K56" i="30"/>
  <c r="K150" i="30"/>
  <c r="M150" i="42"/>
  <c r="M249" i="42"/>
  <c r="T23" i="11"/>
  <c r="S32" i="14"/>
  <c r="K52" i="30"/>
  <c r="K127" i="30"/>
  <c r="K25" i="31"/>
  <c r="M149" i="42"/>
  <c r="I21" i="12"/>
  <c r="M84" i="42"/>
  <c r="I90" i="30"/>
  <c r="K28" i="30"/>
  <c r="I29" i="11"/>
  <c r="C34" i="11"/>
  <c r="C29" i="10"/>
  <c r="M41" i="34"/>
  <c r="M141" i="42"/>
  <c r="L36" i="32"/>
  <c r="M216" i="42"/>
  <c r="M36" i="42"/>
  <c r="M109" i="42"/>
  <c r="M241" i="42"/>
  <c r="M123" i="42"/>
  <c r="M20" i="34"/>
  <c r="I38" i="9"/>
  <c r="S65" i="34"/>
  <c r="R21" i="35"/>
  <c r="V21" i="35" s="1"/>
  <c r="I29" i="9"/>
  <c r="M108" i="42"/>
  <c r="M71" i="42"/>
  <c r="C32" i="13"/>
  <c r="M32" i="13" s="1"/>
  <c r="I32" i="14"/>
  <c r="M42" i="42"/>
  <c r="K33" i="30"/>
  <c r="M206" i="42"/>
  <c r="M34" i="42"/>
  <c r="K35" i="30"/>
  <c r="I40" i="9"/>
  <c r="K57" i="30"/>
  <c r="M19" i="34"/>
  <c r="M29" i="34"/>
  <c r="K55" i="30"/>
  <c r="M220" i="42"/>
  <c r="M37" i="42"/>
  <c r="C31" i="10"/>
  <c r="M31" i="10" s="1"/>
  <c r="I31" i="11"/>
  <c r="M66" i="42"/>
  <c r="M75" i="42"/>
  <c r="K21" i="30"/>
  <c r="M59" i="42"/>
  <c r="R40" i="35"/>
  <c r="V40" i="35" s="1"/>
  <c r="C23" i="10"/>
  <c r="M23" i="10" s="1"/>
  <c r="I23" i="11"/>
  <c r="K134" i="30"/>
  <c r="R20" i="35"/>
  <c r="V20" i="35" s="1"/>
  <c r="L43" i="35"/>
  <c r="M242" i="42"/>
  <c r="K48" i="30"/>
  <c r="C23" i="8"/>
  <c r="I23" i="8" s="1"/>
  <c r="I23" i="9"/>
  <c r="S25" i="14"/>
  <c r="M237" i="42"/>
  <c r="C21" i="13"/>
  <c r="M21" i="13" s="1"/>
  <c r="I21" i="14"/>
  <c r="M211" i="42"/>
  <c r="K16" i="30"/>
  <c r="K30" i="30"/>
  <c r="M82" i="42"/>
  <c r="M114" i="42"/>
  <c r="M172" i="42"/>
  <c r="K84" i="30"/>
  <c r="E15" i="23"/>
  <c r="AD14" i="24"/>
  <c r="G39" i="14"/>
  <c r="K39" i="14" s="1"/>
  <c r="K40" i="14" s="1"/>
  <c r="E102" i="24"/>
  <c r="G14" i="24" s="1"/>
  <c r="G102" i="24" s="1"/>
  <c r="I14" i="24" s="1"/>
  <c r="I102" i="24" s="1"/>
  <c r="K14" i="24" s="1"/>
  <c r="K102" i="24" s="1"/>
  <c r="M14" i="24" s="1"/>
  <c r="M102" i="24" s="1"/>
  <c r="O14" i="24" s="1"/>
  <c r="O102" i="24" s="1"/>
  <c r="Q14" i="24" s="1"/>
  <c r="Q102" i="24" s="1"/>
  <c r="S102" i="24" s="1"/>
  <c r="U102" i="24" s="1"/>
  <c r="W102" i="24" s="1"/>
  <c r="Y102" i="24" s="1"/>
  <c r="AA102" i="24" s="1"/>
  <c r="K145" i="30"/>
  <c r="K120" i="30"/>
  <c r="K125" i="30"/>
  <c r="T32" i="11"/>
  <c r="M26" i="34"/>
  <c r="M205" i="42"/>
  <c r="O207" i="42"/>
  <c r="M222" i="42"/>
  <c r="M38" i="42"/>
  <c r="M154" i="42"/>
  <c r="M70" i="42"/>
  <c r="M243" i="42"/>
  <c r="M79" i="42"/>
  <c r="S22" i="14"/>
  <c r="I23" i="12"/>
  <c r="M164" i="42"/>
  <c r="M147" i="42"/>
  <c r="M183" i="42"/>
  <c r="M179" i="42"/>
  <c r="K123" i="30"/>
  <c r="M146" i="42"/>
  <c r="I35" i="9"/>
  <c r="C30" i="8"/>
  <c r="I30" i="8" s="1"/>
  <c r="M180" i="42"/>
  <c r="L43" i="32"/>
  <c r="M232" i="42"/>
  <c r="M19" i="42"/>
  <c r="M233" i="42"/>
  <c r="M167" i="42"/>
  <c r="M165" i="42"/>
  <c r="O212" i="42"/>
  <c r="M210" i="42"/>
  <c r="M106" i="42"/>
  <c r="M248" i="42"/>
  <c r="K41" i="30"/>
  <c r="M21" i="42"/>
  <c r="M44" i="42"/>
  <c r="R32" i="35"/>
  <c r="V32" i="35" s="1"/>
  <c r="K129" i="30"/>
  <c r="M178" i="42"/>
  <c r="J24" i="32"/>
  <c r="L21" i="32"/>
  <c r="M45" i="34"/>
  <c r="M61" i="42"/>
  <c r="M234" i="42"/>
  <c r="S30" i="14"/>
  <c r="M33" i="14"/>
  <c r="L39" i="32"/>
  <c r="M139" i="42"/>
  <c r="L40" i="32"/>
  <c r="M176" i="42"/>
  <c r="I22" i="12"/>
  <c r="I26" i="12" s="1"/>
  <c r="M169" i="42"/>
  <c r="L42" i="32"/>
  <c r="J17" i="32"/>
  <c r="L15" i="32"/>
  <c r="L17" i="32" s="1"/>
  <c r="C21" i="10"/>
  <c r="M21" i="10" s="1"/>
  <c r="I21" i="11"/>
  <c r="M56" i="34"/>
  <c r="M142" i="42"/>
  <c r="M68" i="42"/>
  <c r="M55" i="42"/>
  <c r="R22" i="35"/>
  <c r="V22" i="35" s="1"/>
  <c r="K68" i="30"/>
  <c r="I32" i="11"/>
  <c r="C32" i="10"/>
  <c r="M32" i="10" s="1"/>
  <c r="C33" i="8"/>
  <c r="I33" i="8" s="1"/>
  <c r="T24" i="11"/>
  <c r="L44" i="32"/>
  <c r="M182" i="42"/>
  <c r="M29" i="42"/>
  <c r="K153" i="30"/>
  <c r="S21" i="14"/>
  <c r="I26" i="31"/>
  <c r="K18" i="31"/>
  <c r="M87" i="42"/>
  <c r="K22" i="31"/>
  <c r="K80" i="30"/>
  <c r="M47" i="42"/>
  <c r="C31" i="13"/>
  <c r="M31" i="13" s="1"/>
  <c r="I31" i="14"/>
  <c r="M252" i="42"/>
  <c r="M116" i="42"/>
  <c r="L32" i="32"/>
  <c r="K133" i="30"/>
  <c r="K53" i="30"/>
  <c r="M120" i="42"/>
  <c r="M51" i="42"/>
  <c r="M33" i="42"/>
  <c r="N34" i="6"/>
  <c r="N39" i="6" s="1"/>
  <c r="M24" i="42"/>
  <c r="K20" i="31"/>
  <c r="I26" i="14"/>
  <c r="K26" i="13" s="1"/>
  <c r="C26" i="13"/>
  <c r="M118" i="42"/>
  <c r="M10" i="42"/>
  <c r="M11" i="42" s="1"/>
  <c r="O11" i="42"/>
  <c r="M63" i="42"/>
  <c r="R26" i="35"/>
  <c r="V26" i="35" s="1"/>
  <c r="J43" i="35"/>
  <c r="M155" i="42"/>
  <c r="K24" i="31"/>
  <c r="M127" i="42"/>
  <c r="M254" i="42"/>
  <c r="K23" i="30"/>
  <c r="S23" i="14"/>
  <c r="M256" i="42"/>
  <c r="M166" i="42"/>
  <c r="M239" i="42"/>
  <c r="M65" i="42"/>
  <c r="M218" i="42"/>
  <c r="M88" i="42"/>
  <c r="M231" i="42"/>
  <c r="K69" i="30"/>
  <c r="M41" i="42"/>
  <c r="AB54" i="15"/>
  <c r="AB56" i="15" s="1"/>
  <c r="M125" i="42"/>
  <c r="K122" i="30"/>
  <c r="K141" i="30"/>
  <c r="M181" i="42"/>
  <c r="M35" i="42"/>
  <c r="K89" i="30"/>
  <c r="R17" i="35"/>
  <c r="V17" i="35" s="1"/>
  <c r="AG12" i="22"/>
  <c r="AG75" i="22" s="1"/>
  <c r="AI75" i="22" s="1"/>
  <c r="AE16" i="17"/>
  <c r="AH16" i="17" s="1"/>
  <c r="AJ16" i="17" s="1"/>
  <c r="AD75" i="22"/>
  <c r="AA57" i="3"/>
  <c r="AA59" i="3" s="1"/>
  <c r="M28" i="42"/>
  <c r="L33" i="32"/>
  <c r="I25" i="12"/>
  <c r="K144" i="30"/>
  <c r="M144" i="42"/>
  <c r="K149" i="30"/>
  <c r="C25" i="10"/>
  <c r="M25" i="10" s="1"/>
  <c r="I25" i="11"/>
  <c r="M226" i="42"/>
  <c r="K51" i="30"/>
  <c r="K19" i="30"/>
  <c r="M21" i="34"/>
  <c r="M113" i="42"/>
  <c r="K128" i="30"/>
  <c r="R38" i="35"/>
  <c r="V38" i="35" s="1"/>
  <c r="M126" i="42"/>
  <c r="C27" i="14"/>
  <c r="C20" i="13"/>
  <c r="I20" i="14"/>
  <c r="M43" i="42"/>
  <c r="M224" i="42"/>
  <c r="K98" i="30"/>
  <c r="M217" i="42"/>
  <c r="M74" i="42"/>
  <c r="M48" i="34"/>
  <c r="M117" i="42"/>
  <c r="K78" i="30"/>
  <c r="M157" i="42"/>
  <c r="M30" i="34"/>
  <c r="D43" i="35"/>
  <c r="R39" i="35"/>
  <c r="V39" i="35" s="1"/>
  <c r="R24" i="35"/>
  <c r="V24" i="35" s="1"/>
  <c r="K86" i="30"/>
  <c r="M62" i="34"/>
  <c r="O258" i="42"/>
  <c r="M215" i="42"/>
  <c r="K71" i="30"/>
  <c r="M115" i="42"/>
  <c r="M16" i="42"/>
  <c r="L34" i="32"/>
  <c r="K83" i="30"/>
  <c r="M54" i="42"/>
  <c r="M134" i="42"/>
  <c r="M91" i="42"/>
  <c r="K132" i="30"/>
  <c r="M105" i="42"/>
  <c r="O188" i="42"/>
  <c r="T29" i="11"/>
  <c r="N34" i="11"/>
  <c r="M177" i="42"/>
  <c r="M145" i="42"/>
  <c r="M98" i="42"/>
  <c r="K44" i="30"/>
  <c r="M89" i="42"/>
  <c r="I20" i="12"/>
  <c r="C26" i="12"/>
  <c r="T22" i="11"/>
  <c r="M140" i="42"/>
  <c r="M162" i="42"/>
  <c r="M187" i="42"/>
  <c r="S31" i="14"/>
  <c r="M53" i="42"/>
  <c r="M96" i="42"/>
  <c r="M160" i="42"/>
  <c r="M22" i="34"/>
  <c r="M65" i="34" s="1"/>
  <c r="K106" i="30"/>
  <c r="M219" i="42"/>
  <c r="M132" i="42"/>
  <c r="E82" i="25"/>
  <c r="G14" i="25" s="1"/>
  <c r="G82" i="25" s="1"/>
  <c r="I14" i="25" s="1"/>
  <c r="I82" i="25" s="1"/>
  <c r="K14" i="25" s="1"/>
  <c r="K82" i="25" s="1"/>
  <c r="M14" i="25" s="1"/>
  <c r="M82" i="25" s="1"/>
  <c r="O14" i="25" s="1"/>
  <c r="O82" i="25" s="1"/>
  <c r="Q14" i="25" s="1"/>
  <c r="Q82" i="25" s="1"/>
  <c r="S82" i="25" s="1"/>
  <c r="U82" i="25" s="1"/>
  <c r="W82" i="25" s="1"/>
  <c r="Y82" i="25" s="1"/>
  <c r="AA82" i="25" s="1"/>
  <c r="Q39" i="14"/>
  <c r="AD14" i="25"/>
  <c r="M251" i="42"/>
  <c r="L35" i="32"/>
  <c r="K42" i="30"/>
  <c r="M112" i="42"/>
  <c r="M62" i="42"/>
  <c r="M173" i="42"/>
  <c r="M73" i="42"/>
  <c r="M240" i="42"/>
  <c r="C26" i="11"/>
  <c r="C38" i="11" s="1"/>
  <c r="C41" i="11" s="1"/>
  <c r="I20" i="11"/>
  <c r="C20" i="10"/>
  <c r="AB51" i="2"/>
  <c r="AB55" i="2" s="1"/>
  <c r="M49" i="34"/>
  <c r="AG82" i="25"/>
  <c r="AI15" i="23"/>
  <c r="I22" i="11"/>
  <c r="C22" i="8"/>
  <c r="I22" i="8" s="1"/>
  <c r="C22" i="10"/>
  <c r="C22" i="7" s="1"/>
  <c r="I22" i="7" s="1"/>
  <c r="M64" i="42"/>
  <c r="M101" i="42"/>
  <c r="K63" i="30"/>
  <c r="C22" i="13"/>
  <c r="M22" i="13" s="1"/>
  <c r="I22" i="14"/>
  <c r="M185" i="42"/>
  <c r="K143" i="30"/>
  <c r="M20" i="42"/>
  <c r="C24" i="10"/>
  <c r="M24" i="10" s="1"/>
  <c r="I24" i="11"/>
  <c r="M95" i="42"/>
  <c r="K73" i="30"/>
  <c r="O102" i="42"/>
  <c r="M15" i="42"/>
  <c r="R35" i="35"/>
  <c r="V35" i="35" s="1"/>
  <c r="K130" i="30"/>
  <c r="K118" i="30"/>
  <c r="M137" i="42"/>
  <c r="M255" i="42"/>
  <c r="K136" i="30"/>
  <c r="K72" i="30"/>
  <c r="R25" i="35"/>
  <c r="V25" i="35" s="1"/>
  <c r="K76" i="30"/>
  <c r="R31" i="35"/>
  <c r="V31" i="35" s="1"/>
  <c r="K85" i="30"/>
  <c r="I31" i="12"/>
  <c r="K39" i="31"/>
  <c r="M170" i="42"/>
  <c r="M80" i="42"/>
  <c r="M253" i="42"/>
  <c r="R34" i="35"/>
  <c r="V34" i="35" s="1"/>
  <c r="M25" i="42"/>
  <c r="M238" i="42"/>
  <c r="M69" i="42"/>
  <c r="K47" i="30"/>
  <c r="M159" i="42"/>
  <c r="K99" i="30"/>
  <c r="M30" i="42"/>
  <c r="S26" i="14"/>
  <c r="K124" i="30"/>
  <c r="K21" i="31"/>
  <c r="I39" i="9"/>
  <c r="M31" i="42"/>
  <c r="P43" i="35"/>
  <c r="M93" i="42"/>
  <c r="I24" i="9"/>
  <c r="C24" i="8"/>
  <c r="I24" i="8" s="1"/>
  <c r="K146" i="30"/>
  <c r="M60" i="42"/>
  <c r="M56" i="42"/>
  <c r="M49" i="42"/>
  <c r="M122" i="42"/>
  <c r="M223" i="42"/>
  <c r="T25" i="11"/>
  <c r="M257" i="42"/>
  <c r="L22" i="32"/>
  <c r="R36" i="35"/>
  <c r="V36" i="35" s="1"/>
  <c r="M40" i="42"/>
  <c r="K138" i="30"/>
  <c r="I41" i="9"/>
  <c r="M124" i="42"/>
  <c r="M46" i="42"/>
  <c r="K22" i="30"/>
  <c r="M58" i="42"/>
  <c r="J45" i="32"/>
  <c r="L28" i="32"/>
  <c r="C21" i="8"/>
  <c r="I21" i="8" s="1"/>
  <c r="I21" i="9"/>
  <c r="C21" i="7"/>
  <c r="I21" i="7" s="1"/>
  <c r="M131" i="42"/>
  <c r="M129" i="42"/>
  <c r="M35" i="34"/>
  <c r="M229" i="42"/>
  <c r="C32" i="12"/>
  <c r="I29" i="12"/>
  <c r="M128" i="42"/>
  <c r="K35" i="31"/>
  <c r="I24" i="12"/>
  <c r="L29" i="32"/>
  <c r="K38" i="30"/>
  <c r="M246" i="42"/>
  <c r="E112" i="30"/>
  <c r="E156" i="30" s="1"/>
  <c r="K105" i="30"/>
  <c r="M94" i="42"/>
  <c r="M50" i="34"/>
  <c r="M121" i="42"/>
  <c r="R37" i="35"/>
  <c r="V37" i="35" s="1"/>
  <c r="C33" i="10"/>
  <c r="M33" i="10" s="1"/>
  <c r="I33" i="11"/>
  <c r="K70" i="30"/>
  <c r="M26" i="42"/>
  <c r="B46" i="27"/>
  <c r="D14" i="27" s="1"/>
  <c r="D46" i="27" s="1"/>
  <c r="F14" i="27" s="1"/>
  <c r="F46" i="27" s="1"/>
  <c r="H14" i="27" s="1"/>
  <c r="H46" i="27" s="1"/>
  <c r="J14" i="27" s="1"/>
  <c r="J46" i="27" s="1"/>
  <c r="L14" i="27" s="1"/>
  <c r="L46" i="27" s="1"/>
  <c r="N14" i="27" s="1"/>
  <c r="F44" i="5" s="1"/>
  <c r="F45" i="5" s="1"/>
  <c r="AA14" i="27"/>
  <c r="K152" i="30"/>
  <c r="K29" i="30"/>
  <c r="M158" i="42"/>
  <c r="K37" i="30"/>
  <c r="K54" i="30"/>
  <c r="M245" i="42"/>
  <c r="I25" i="14"/>
  <c r="I27" i="14" s="1"/>
  <c r="C25" i="13"/>
  <c r="M25" i="13" s="1"/>
  <c r="C40" i="7"/>
  <c r="I40" i="7" s="1"/>
  <c r="G112" i="30"/>
  <c r="G156" i="30" s="1"/>
  <c r="K142" i="30"/>
  <c r="M22" i="42"/>
  <c r="M135" i="42"/>
  <c r="K18" i="30"/>
  <c r="M77" i="42"/>
  <c r="T33" i="11"/>
  <c r="M39" i="34"/>
  <c r="M244" i="42"/>
  <c r="M148" i="42"/>
  <c r="I23" i="14"/>
  <c r="C23" i="13"/>
  <c r="M23" i="13" s="1"/>
  <c r="M174" i="42"/>
  <c r="M111" i="42"/>
  <c r="L31" i="32"/>
  <c r="M107" i="42"/>
  <c r="M225" i="42"/>
  <c r="M45" i="42"/>
  <c r="T21" i="11"/>
  <c r="M99" i="42"/>
  <c r="M110" i="42"/>
  <c r="M247" i="42"/>
  <c r="M230" i="42"/>
  <c r="M67" i="42"/>
  <c r="M81" i="42"/>
  <c r="AD38" i="29"/>
  <c r="P41" i="6"/>
  <c r="P42" i="6" s="1"/>
  <c r="M53" i="34"/>
  <c r="M175" i="42"/>
  <c r="R28" i="35"/>
  <c r="V28" i="35" s="1"/>
  <c r="K79" i="30"/>
  <c r="K36" i="30"/>
  <c r="M86" i="42"/>
  <c r="L38" i="32"/>
  <c r="T30" i="11"/>
  <c r="M184" i="42"/>
  <c r="M23" i="42"/>
  <c r="K43" i="30"/>
  <c r="K90" i="30" s="1"/>
  <c r="L30" i="32"/>
  <c r="I112" i="30"/>
  <c r="K31" i="30"/>
  <c r="S24" i="14"/>
  <c r="M63" i="34"/>
  <c r="K58" i="30"/>
  <c r="R41" i="35"/>
  <c r="V41" i="35" s="1"/>
  <c r="M236" i="42"/>
  <c r="I24" i="14"/>
  <c r="C24" i="13"/>
  <c r="M24" i="13" s="1"/>
  <c r="K139" i="30"/>
  <c r="K33" i="31"/>
  <c r="K40" i="31" s="1"/>
  <c r="M90" i="42"/>
  <c r="K75" i="30"/>
  <c r="C32" i="8"/>
  <c r="I32" i="8" s="1"/>
  <c r="C32" i="7"/>
  <c r="I32" i="7" s="1"/>
  <c r="I30" i="12"/>
  <c r="M85" i="42"/>
  <c r="K65" i="30"/>
  <c r="C29" i="8"/>
  <c r="I29" i="8" s="1"/>
  <c r="I34" i="9"/>
  <c r="M83" i="42"/>
  <c r="M17" i="42"/>
  <c r="K148" i="30"/>
  <c r="K154" i="30" s="1"/>
  <c r="M151" i="42"/>
  <c r="M171" i="42"/>
  <c r="K32" i="30"/>
  <c r="C30" i="10"/>
  <c r="M30" i="10" s="1"/>
  <c r="I30" i="11"/>
  <c r="K121" i="30"/>
  <c r="K126" i="30"/>
  <c r="M52" i="42"/>
  <c r="K110" i="30"/>
  <c r="C31" i="7"/>
  <c r="I31" i="7" s="1"/>
  <c r="I36" i="9"/>
  <c r="C31" i="8"/>
  <c r="I31" i="8" s="1"/>
  <c r="M168" i="42"/>
  <c r="C25" i="8"/>
  <c r="I25" i="8" s="1"/>
  <c r="I25" i="9"/>
  <c r="M78" i="42"/>
  <c r="M32" i="42"/>
  <c r="K17" i="30"/>
  <c r="S20" i="14"/>
  <c r="M27" i="14"/>
  <c r="M235" i="42"/>
  <c r="B38" i="28"/>
  <c r="D13" i="28" s="1"/>
  <c r="D38" i="28" s="1"/>
  <c r="F13" i="28" s="1"/>
  <c r="F38" i="28" s="1"/>
  <c r="H13" i="28" s="1"/>
  <c r="H38" i="28" s="1"/>
  <c r="J13" i="28" s="1"/>
  <c r="J38" i="28" s="1"/>
  <c r="L13" i="28" s="1"/>
  <c r="L38" i="28" s="1"/>
  <c r="N13" i="28" s="1"/>
  <c r="B41" i="6" s="1"/>
  <c r="AA13" i="28"/>
  <c r="I20" i="9"/>
  <c r="C20" i="8"/>
  <c r="M228" i="42"/>
  <c r="K77" i="30"/>
  <c r="M18" i="42"/>
  <c r="M153" i="42"/>
  <c r="K23" i="31"/>
  <c r="M227" i="42"/>
  <c r="M152" i="42"/>
  <c r="M92" i="42"/>
  <c r="K87" i="30"/>
  <c r="M72" i="42"/>
  <c r="M250" i="42"/>
  <c r="K81" i="30"/>
  <c r="M138" i="42"/>
  <c r="M133" i="42"/>
  <c r="M119" i="42"/>
  <c r="T20" i="11"/>
  <c r="N26" i="11"/>
  <c r="N38" i="11" s="1"/>
  <c r="N41" i="11" s="1"/>
  <c r="AA13" i="29"/>
  <c r="AG13" i="29" s="1"/>
  <c r="AI13" i="29" s="1"/>
  <c r="B38" i="29"/>
  <c r="D13" i="29" s="1"/>
  <c r="D38" i="29" s="1"/>
  <c r="F13" i="29" s="1"/>
  <c r="F38" i="29" s="1"/>
  <c r="H13" i="29" s="1"/>
  <c r="H38" i="29" s="1"/>
  <c r="J13" i="29" s="1"/>
  <c r="J38" i="29" s="1"/>
  <c r="L13" i="29" s="1"/>
  <c r="L38" i="29" s="1"/>
  <c r="N13" i="29" s="1"/>
  <c r="N38" i="29" s="1"/>
  <c r="P38" i="29" s="1"/>
  <c r="R38" i="29" s="1"/>
  <c r="T38" i="29" s="1"/>
  <c r="V38" i="29" s="1"/>
  <c r="M39" i="42"/>
  <c r="K34" i="31"/>
  <c r="M50" i="42"/>
  <c r="M76" i="42"/>
  <c r="M221" i="42"/>
  <c r="M97" i="42"/>
  <c r="K119" i="30"/>
  <c r="K20" i="30"/>
  <c r="K24" i="30" s="1"/>
  <c r="M59" i="34"/>
  <c r="L37" i="32"/>
  <c r="M27" i="42"/>
  <c r="M161" i="42"/>
  <c r="K66" i="30"/>
  <c r="M57" i="42"/>
  <c r="M163" i="42"/>
  <c r="M156" i="42"/>
  <c r="I27" i="9"/>
  <c r="F43" i="35"/>
  <c r="R15" i="35"/>
  <c r="V15" i="35" s="1"/>
  <c r="M143" i="42"/>
  <c r="C33" i="14"/>
  <c r="C37" i="14" s="1"/>
  <c r="C40" i="14" s="1"/>
  <c r="C30" i="13"/>
  <c r="C29" i="7" s="1"/>
  <c r="I29" i="7" s="1"/>
  <c r="I30" i="14"/>
  <c r="I33" i="14" s="1"/>
  <c r="M136" i="42"/>
  <c r="C51" i="26"/>
  <c r="E16" i="26" s="1"/>
  <c r="E51" i="26" s="1"/>
  <c r="G16" i="26" s="1"/>
  <c r="G51" i="26" s="1"/>
  <c r="I16" i="26" s="1"/>
  <c r="I51" i="26" s="1"/>
  <c r="K16" i="26" s="1"/>
  <c r="K51" i="26" s="1"/>
  <c r="M16" i="26" s="1"/>
  <c r="M51" i="26" s="1"/>
  <c r="O16" i="26" s="1"/>
  <c r="O51" i="26" s="1"/>
  <c r="Q51" i="26" s="1"/>
  <c r="S51" i="26" s="1"/>
  <c r="U51" i="26" s="1"/>
  <c r="W51" i="26" s="1"/>
  <c r="AB16" i="26"/>
  <c r="Q40" i="14"/>
  <c r="S39" i="14"/>
  <c r="U39" i="14"/>
  <c r="U40" i="14" s="1"/>
  <c r="AD57" i="3"/>
  <c r="M29" i="10"/>
  <c r="M26" i="13"/>
  <c r="K27" i="13"/>
  <c r="K37" i="13" s="1"/>
  <c r="O26" i="13"/>
  <c r="O27" i="13" s="1"/>
  <c r="O37" i="13" s="1"/>
  <c r="G41" i="7"/>
  <c r="AA38" i="29"/>
  <c r="AG38" i="29" s="1"/>
  <c r="AI38" i="29" s="1"/>
  <c r="H41" i="6"/>
  <c r="H42" i="6" s="1"/>
  <c r="T26" i="11"/>
  <c r="I43" i="31"/>
  <c r="I20" i="8"/>
  <c r="O261" i="42"/>
  <c r="J48" i="32"/>
  <c r="G40" i="14"/>
  <c r="I102" i="30"/>
  <c r="I156" i="30" s="1"/>
  <c r="M22" i="10"/>
  <c r="AI103" i="23"/>
  <c r="C20" i="7"/>
  <c r="M20" i="10"/>
  <c r="C26" i="10"/>
  <c r="AJ14" i="25"/>
  <c r="AD82" i="25"/>
  <c r="AA46" i="27"/>
  <c r="AG46" i="27" s="1"/>
  <c r="AI46" i="27" s="1"/>
  <c r="H44" i="5"/>
  <c r="H45" i="5" s="1"/>
  <c r="AG14" i="27"/>
  <c r="AI14" i="27" s="1"/>
  <c r="AE16" i="16"/>
  <c r="AE146" i="16" s="1"/>
  <c r="AD102" i="24"/>
  <c r="AJ14" i="24"/>
  <c r="AB51" i="26"/>
  <c r="AH16" i="26"/>
  <c r="AJ16" i="26" s="1"/>
  <c r="D44" i="5"/>
  <c r="I26" i="11"/>
  <c r="D41" i="6"/>
  <c r="AG13" i="28"/>
  <c r="AI13" i="28" s="1"/>
  <c r="AA38" i="28"/>
  <c r="AG38" i="28" s="1"/>
  <c r="AI38" i="28" s="1"/>
  <c r="K100" i="30"/>
  <c r="M20" i="13"/>
  <c r="C27" i="13"/>
  <c r="AD57" i="2"/>
  <c r="AD59" i="2" s="1"/>
  <c r="G39" i="13"/>
  <c r="AF15" i="23"/>
  <c r="E103" i="23"/>
  <c r="G15" i="23" s="1"/>
  <c r="G103" i="23" s="1"/>
  <c r="I15" i="23" s="1"/>
  <c r="I103" i="23" s="1"/>
  <c r="K15" i="23" s="1"/>
  <c r="K103" i="23" s="1"/>
  <c r="M15" i="23" s="1"/>
  <c r="M103" i="23" s="1"/>
  <c r="O15" i="23" s="1"/>
  <c r="O103" i="23" s="1"/>
  <c r="Q15" i="23" s="1"/>
  <c r="R57" i="2"/>
  <c r="C16" i="16"/>
  <c r="I34" i="11"/>
  <c r="L45" i="32" l="1"/>
  <c r="N46" i="27"/>
  <c r="P46" i="27" s="1"/>
  <c r="R46" i="27" s="1"/>
  <c r="T46" i="27" s="1"/>
  <c r="V46" i="27" s="1"/>
  <c r="X46" i="27" s="1"/>
  <c r="AH51" i="26"/>
  <c r="AJ51" i="26" s="1"/>
  <c r="AL82" i="25"/>
  <c r="M27" i="13"/>
  <c r="AI12" i="22"/>
  <c r="I26" i="8"/>
  <c r="AE145" i="17"/>
  <c r="AH145" i="17" s="1"/>
  <c r="AJ145" i="17" s="1"/>
  <c r="I34" i="8"/>
  <c r="V43" i="35"/>
  <c r="S27" i="14"/>
  <c r="S37" i="14" s="1"/>
  <c r="S40" i="14" s="1"/>
  <c r="M188" i="42"/>
  <c r="K112" i="30"/>
  <c r="I32" i="12"/>
  <c r="T34" i="11"/>
  <c r="T38" i="11" s="1"/>
  <c r="T41" i="11" s="1"/>
  <c r="K26" i="31"/>
  <c r="K43" i="31" s="1"/>
  <c r="S33" i="14"/>
  <c r="L24" i="32"/>
  <c r="L48" i="32" s="1"/>
  <c r="M207" i="42"/>
  <c r="F41" i="6"/>
  <c r="F42" i="6" s="1"/>
  <c r="C33" i="13"/>
  <c r="C30" i="7"/>
  <c r="I30" i="7" s="1"/>
  <c r="C26" i="8"/>
  <c r="C43" i="9"/>
  <c r="C31" i="9"/>
  <c r="C34" i="8"/>
  <c r="C37" i="8" s="1"/>
  <c r="C34" i="10"/>
  <c r="M258" i="42"/>
  <c r="M102" i="42"/>
  <c r="R43" i="35"/>
  <c r="N38" i="28"/>
  <c r="P38" i="28" s="1"/>
  <c r="R38" i="28" s="1"/>
  <c r="T38" i="28" s="1"/>
  <c r="V38" i="28" s="1"/>
  <c r="B44" i="5"/>
  <c r="J44" i="5" s="1"/>
  <c r="J45" i="5" s="1"/>
  <c r="I36" i="12"/>
  <c r="I39" i="12" s="1"/>
  <c r="I39" i="14"/>
  <c r="C23" i="7"/>
  <c r="I23" i="7" s="1"/>
  <c r="C33" i="7"/>
  <c r="I33" i="7" s="1"/>
  <c r="C25" i="7"/>
  <c r="I25" i="7" s="1"/>
  <c r="I37" i="8"/>
  <c r="M30" i="13"/>
  <c r="M33" i="13" s="1"/>
  <c r="M37" i="13" s="1"/>
  <c r="C38" i="10"/>
  <c r="C41" i="10" s="1"/>
  <c r="C24" i="7"/>
  <c r="I24" i="7" s="1"/>
  <c r="M37" i="14"/>
  <c r="M40" i="14" s="1"/>
  <c r="N42" i="6"/>
  <c r="C42" i="7"/>
  <c r="I42" i="7" s="1"/>
  <c r="I42" i="9"/>
  <c r="I43" i="9" s="1"/>
  <c r="C41" i="8"/>
  <c r="I41" i="8" s="1"/>
  <c r="C41" i="7"/>
  <c r="C40" i="8"/>
  <c r="I40" i="8" s="1"/>
  <c r="I30" i="9"/>
  <c r="I31" i="9" s="1"/>
  <c r="I37" i="14"/>
  <c r="I40" i="14" s="1"/>
  <c r="M212" i="42"/>
  <c r="C36" i="12"/>
  <c r="C39" i="12" s="1"/>
  <c r="AB59" i="2"/>
  <c r="AL15" i="23"/>
  <c r="AF103" i="23"/>
  <c r="AN103" i="23" s="1"/>
  <c r="I38" i="11"/>
  <c r="I41" i="11" s="1"/>
  <c r="I20" i="7"/>
  <c r="M34" i="10"/>
  <c r="AD59" i="3"/>
  <c r="AF59" i="3" s="1"/>
  <c r="AF57" i="3"/>
  <c r="B42" i="6"/>
  <c r="C34" i="7"/>
  <c r="Q103" i="23"/>
  <c r="S103" i="23" s="1"/>
  <c r="U103" i="23" s="1"/>
  <c r="W103" i="23" s="1"/>
  <c r="Y103" i="23" s="1"/>
  <c r="AA103" i="23" s="1"/>
  <c r="P57" i="2"/>
  <c r="D45" i="5"/>
  <c r="L44" i="5"/>
  <c r="AJ102" i="24"/>
  <c r="AL102" i="24" s="1"/>
  <c r="AL14" i="24"/>
  <c r="M26" i="10"/>
  <c r="C146" i="16"/>
  <c r="E16" i="16" s="1"/>
  <c r="E146" i="16" s="1"/>
  <c r="G16" i="16" s="1"/>
  <c r="G146" i="16" s="1"/>
  <c r="I16" i="16" s="1"/>
  <c r="I146" i="16" s="1"/>
  <c r="K16" i="16" s="1"/>
  <c r="K146" i="16" s="1"/>
  <c r="M16" i="16" s="1"/>
  <c r="M146" i="16" s="1"/>
  <c r="O16" i="16" s="1"/>
  <c r="O146" i="16" s="1"/>
  <c r="Q146" i="16" s="1"/>
  <c r="S146" i="16" s="1"/>
  <c r="U146" i="16" s="1"/>
  <c r="W146" i="16" s="1"/>
  <c r="Y146" i="16" s="1"/>
  <c r="AB16" i="16"/>
  <c r="K39" i="13"/>
  <c r="G49" i="7"/>
  <c r="G40" i="13"/>
  <c r="C37" i="13"/>
  <c r="C40" i="13" s="1"/>
  <c r="AL14" i="25"/>
  <c r="AJ82" i="25"/>
  <c r="K41" i="7"/>
  <c r="K43" i="7" s="1"/>
  <c r="G43" i="7"/>
  <c r="G47" i="7" s="1"/>
  <c r="I41" i="7"/>
  <c r="I34" i="7"/>
  <c r="L41" i="6"/>
  <c r="D42" i="6"/>
  <c r="R59" i="2"/>
  <c r="X57" i="2"/>
  <c r="K102" i="30"/>
  <c r="K156" i="30" s="1"/>
  <c r="B45" i="5" l="1"/>
  <c r="J41" i="6"/>
  <c r="J42" i="6" s="1"/>
  <c r="I26" i="7"/>
  <c r="C47" i="9"/>
  <c r="C50" i="9" s="1"/>
  <c r="I47" i="9"/>
  <c r="I50" i="9" s="1"/>
  <c r="C26" i="7"/>
  <c r="C37" i="7" s="1"/>
  <c r="M261" i="42"/>
  <c r="I43" i="7"/>
  <c r="C42" i="8"/>
  <c r="C46" i="8" s="1"/>
  <c r="C49" i="8" s="1"/>
  <c r="I42" i="8"/>
  <c r="I46" i="8" s="1"/>
  <c r="I49" i="8" s="1"/>
  <c r="C43" i="7"/>
  <c r="X59" i="2"/>
  <c r="AI59" i="2" s="1"/>
  <c r="AI57" i="2"/>
  <c r="AG57" i="2"/>
  <c r="AG59" i="2" s="1"/>
  <c r="L45" i="5"/>
  <c r="S44" i="5"/>
  <c r="AL103" i="23"/>
  <c r="AN15" i="23"/>
  <c r="AB146" i="16"/>
  <c r="AH146" i="16" s="1"/>
  <c r="AJ146" i="16" s="1"/>
  <c r="AH16" i="16"/>
  <c r="AJ16" i="16" s="1"/>
  <c r="I47" i="7"/>
  <c r="I49" i="7"/>
  <c r="K49" i="7"/>
  <c r="M38" i="10"/>
  <c r="M41" i="10" s="1"/>
  <c r="I37" i="7"/>
  <c r="S41" i="6"/>
  <c r="L42" i="6"/>
  <c r="K47" i="7"/>
  <c r="G50" i="7"/>
  <c r="K40" i="13"/>
  <c r="O39" i="13"/>
  <c r="O40" i="13" s="1"/>
  <c r="M39" i="13"/>
  <c r="M40" i="13" s="1"/>
  <c r="V57" i="2"/>
  <c r="V59" i="2" s="1"/>
  <c r="P59" i="2"/>
  <c r="K50" i="7" l="1"/>
  <c r="C47" i="7"/>
  <c r="C50" i="7" s="1"/>
  <c r="I50" i="7"/>
  <c r="U41" i="6"/>
  <c r="S42" i="6"/>
  <c r="U42" i="6" s="1"/>
  <c r="S45" i="5"/>
  <c r="U45" i="5" s="1"/>
  <c r="U44" i="5"/>
</calcChain>
</file>

<file path=xl/sharedStrings.xml><?xml version="1.0" encoding="utf-8"?>
<sst xmlns="http://schemas.openxmlformats.org/spreadsheetml/2006/main" count="3994" uniqueCount="1575">
  <si>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</si>
  <si>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</si>
  <si>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</si>
  <si>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</si>
  <si>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</si>
  <si>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</si>
  <si>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</si>
  <si>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</si>
  <si>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</si>
  <si>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</si>
  <si>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</si>
  <si>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</si>
  <si>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</si>
  <si>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</si>
  <si>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</si>
  <si>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</si>
  <si>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</si>
  <si>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</si>
  <si>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</si>
  <si>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</si>
  <si>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</si>
  <si>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</si>
  <si>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</si>
  <si>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</si>
  <si>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</si>
  <si>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</si>
  <si>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</si>
  <si>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</si>
  <si>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</si>
  <si>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</si>
  <si>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</si>
  <si>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</si>
  <si>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</si>
  <si>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</si>
  <si>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</si>
  <si>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</si>
  <si>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</si>
  <si>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</si>
  <si>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</si>
  <si>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</si>
  <si>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</si>
  <si>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</si>
  <si>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</si>
  <si>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</si>
  <si>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</si>
  <si>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</si>
  <si>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</si>
  <si>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</si>
  <si>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</si>
  <si>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</si>
  <si>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</si>
  <si>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</si>
  <si>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</si>
  <si>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</si>
  <si>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</si>
  <si>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</si>
  <si>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</si>
  <si>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</si>
  <si>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</si>
  <si>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</si>
  <si>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</si>
  <si>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</si>
  <si>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</si>
  <si>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</si>
  <si>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</si>
  <si>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</si>
  <si>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</si>
  <si>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</si>
  <si>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</si>
  <si>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</si>
  <si>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</si>
  <si>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</si>
  <si>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</si>
  <si>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</si>
  <si>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</si>
  <si>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</si>
  <si>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</si>
  <si>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</si>
  <si>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</si>
  <si>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</si>
  <si>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</si>
  <si>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</si>
  <si>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</si>
  <si>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</si>
  <si>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</si>
  <si>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</si>
  <si>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</si>
  <si>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</si>
  <si>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</si>
  <si>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</si>
  <si>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</si>
  <si>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</si>
  <si>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</si>
  <si>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</si>
  <si>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</si>
  <si>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</si>
  <si>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</si>
  <si>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</si>
  <si>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</si>
  <si>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</si>
  <si>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</si>
  <si>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</si>
  <si>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</si>
  <si>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</si>
  <si>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</si>
  <si>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</si>
  <si>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</si>
  <si>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</si>
  <si>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</si>
  <si>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</si>
  <si>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</si>
  <si>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</si>
  <si>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</si>
  <si>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</si>
  <si>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</si>
  <si>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</si>
  <si>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</si>
  <si>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</si>
  <si>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</si>
  <si>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</si>
  <si>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</si>
  <si>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</si>
  <si>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</si>
  <si>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</si>
  <si>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</si>
  <si>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</si>
  <si>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</si>
  <si>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</si>
  <si>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</si>
  <si>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</si>
  <si>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</si>
  <si>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</si>
  <si>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</si>
  <si>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</si>
  <si>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</si>
  <si>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</si>
  <si>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</si>
  <si>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</si>
  <si>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</si>
  <si>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</si>
  <si>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</si>
  <si>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</si>
  <si>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</si>
  <si>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</si>
  <si>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</si>
  <si>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</si>
  <si>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</si>
  <si>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</si>
  <si>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</si>
  <si>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</si>
  <si>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</si>
  <si>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</si>
  <si>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</si>
  <si>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</si>
  <si>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</si>
  <si>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</si>
  <si>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</si>
  <si>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</si>
  <si>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</si>
  <si>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</si>
  <si>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</si>
  <si>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</si>
  <si>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</si>
  <si>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</si>
  <si>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</si>
  <si>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</si>
  <si>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</si>
  <si>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</si>
  <si>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</si>
  <si>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</si>
  <si>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</si>
  <si>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</si>
  <si>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</si>
  <si>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</si>
  <si>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</si>
  <si>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</si>
  <si>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</si>
  <si>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</si>
  <si>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</si>
  <si>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</si>
  <si>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</si>
  <si>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</si>
  <si>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</si>
  <si>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</si>
  <si>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</si>
  <si>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</si>
  <si>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</si>
  <si>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</si>
  <si>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</si>
  <si>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</si>
  <si>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</si>
  <si>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</si>
  <si>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</si>
  <si>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</si>
  <si>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</si>
  <si>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</si>
  <si>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</si>
  <si>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</si>
  <si>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</si>
  <si>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</si>
  <si>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</si>
  <si>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</si>
  <si>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</si>
  <si>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</si>
  <si>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</si>
  <si>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</si>
  <si>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</si>
  <si>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</si>
  <si>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</si>
  <si>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</si>
  <si>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</si>
  <si>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</si>
  <si>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</si>
  <si>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</si>
  <si>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</si>
  <si>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</si>
  <si>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</si>
  <si>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</si>
  <si>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</si>
  <si>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</si>
  <si>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</si>
  <si>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</si>
  <si>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</si>
  <si>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</si>
  <si>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</si>
  <si>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</si>
  <si>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</si>
  <si>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</si>
  <si>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</si>
  <si>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</si>
  <si>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</si>
  <si>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</si>
  <si>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</si>
  <si>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</si>
  <si>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</si>
  <si>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</si>
  <si>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</si>
  <si>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</si>
  <si>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</si>
  <si>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</si>
  <si>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</si>
  <si>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</si>
  <si>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</si>
  <si>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</si>
  <si>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</si>
  <si>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</si>
  <si>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</si>
  <si>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</si>
  <si>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</si>
  <si>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</si>
  <si>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</si>
  <si>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</si>
  <si>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</si>
  <si>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</si>
  <si>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</si>
  <si>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</si>
  <si>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</si>
  <si>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</si>
  <si>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</si>
  <si>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</si>
  <si>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</si>
  <si>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</si>
  <si>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</si>
  <si>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</si>
  <si>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</si>
  <si>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</si>
  <si>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</si>
  <si>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</si>
  <si>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</si>
  <si>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</si>
  <si>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</si>
  <si>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</si>
  <si>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</si>
  <si>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</si>
  <si>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</si>
  <si>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</si>
  <si>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</si>
  <si>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</si>
  <si>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</si>
  <si>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</si>
  <si>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</si>
  <si>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</si>
  <si>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</si>
  <si>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</si>
  <si>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</si>
  <si>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</si>
  <si>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</si>
  <si>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</si>
  <si>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</si>
  <si>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</si>
  <si>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</si>
  <si>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</si>
  <si>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</si>
  <si>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</si>
  <si>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</si>
  <si>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</si>
  <si>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</si>
  <si>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</si>
  <si>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</si>
  <si>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</si>
  <si>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</si>
  <si>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</si>
  <si>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</si>
  <si>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</si>
  <si>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</si>
  <si>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</si>
  <si>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</si>
  <si>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</si>
  <si>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</si>
  <si>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</si>
  <si>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</si>
  <si>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</si>
  <si>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</si>
  <si>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</si>
  <si>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</si>
  <si>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</si>
  <si>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</si>
  <si>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</si>
  <si>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</si>
  <si>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</si>
  <si>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</si>
  <si>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</si>
  <si>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</si>
  <si>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</si>
  <si>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</si>
  <si>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</si>
  <si>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</si>
  <si>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</si>
  <si>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</si>
  <si>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</si>
  <si>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</si>
  <si>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</si>
  <si>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</si>
  <si>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</si>
  <si>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</si>
  <si>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</si>
  <si>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</si>
  <si>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</si>
  <si>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</si>
  <si>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</si>
  <si>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</si>
  <si>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</si>
  <si>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</si>
  <si>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</si>
  <si>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</si>
  <si>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</si>
  <si>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</si>
  <si>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</si>
  <si>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</si>
  <si>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</si>
  <si>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</si>
  <si>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</si>
  <si>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</si>
  <si>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</si>
  <si>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</si>
  <si>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</si>
  <si>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</si>
  <si>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</si>
  <si>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</si>
  <si>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</si>
  <si>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</si>
  <si>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</si>
  <si>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</si>
  <si>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</si>
  <si>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</si>
  <si>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</si>
  <si>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</si>
  <si>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</si>
  <si>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</si>
  <si>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</si>
  <si>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</si>
  <si>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</si>
  <si>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</si>
  <si>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</si>
  <si>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</si>
  <si>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</si>
  <si>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</si>
  <si>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</si>
  <si>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</si>
  <si>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</si>
  <si>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</si>
  <si>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</si>
  <si>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</si>
  <si>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</si>
  <si>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</si>
  <si>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</si>
  <si>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</si>
  <si>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</si>
  <si>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</si>
  <si>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</si>
  <si>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</si>
  <si>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</si>
  <si>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</si>
  <si>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</si>
  <si>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</si>
  <si>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</si>
  <si>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</si>
  <si>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</si>
  <si>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</si>
  <si>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</si>
  <si>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</si>
  <si>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</si>
  <si>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</si>
  <si>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</si>
  <si>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</si>
  <si>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</si>
  <si>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</si>
  <si>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</si>
  <si>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</si>
  <si>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</si>
  <si>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</si>
  <si>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</si>
  <si>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</si>
  <si>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</si>
  <si>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</si>
  <si>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</si>
  <si>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</si>
  <si>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</si>
  <si>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</si>
  <si>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</si>
  <si>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</si>
  <si>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</si>
  <si>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</si>
  <si>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</si>
  <si>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</si>
  <si>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</si>
  <si>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</si>
  <si>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</si>
  <si>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</si>
  <si>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</si>
  <si>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</si>
  <si>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</si>
  <si>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</si>
  <si>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</si>
  <si>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</si>
  <si>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</si>
  <si>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</si>
  <si>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</si>
  <si>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</si>
  <si>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</si>
  <si>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</si>
  <si>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</si>
  <si>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</si>
  <si>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</si>
  <si>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</si>
  <si>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</si>
  <si>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</si>
  <si>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</si>
  <si>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</si>
  <si>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</si>
  <si>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</si>
  <si>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</si>
  <si>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</si>
  <si>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</si>
  <si>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</si>
  <si>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</si>
  <si>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</si>
  <si>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</si>
  <si>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</si>
  <si>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</si>
  <si>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</si>
  <si>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</si>
  <si>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</si>
  <si>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</si>
  <si>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</si>
  <si>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</si>
  <si>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</si>
  <si>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</si>
  <si>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</si>
  <si>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</si>
  <si>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</si>
  <si>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</si>
  <si>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</si>
  <si>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</si>
  <si>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</si>
  <si>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</si>
  <si>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</si>
  <si>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</si>
  <si>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</si>
  <si>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</si>
  <si>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</si>
  <si>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</si>
  <si>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</si>
  <si>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</si>
  <si>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</si>
  <si>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</si>
  <si>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</si>
  <si>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</si>
  <si>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</si>
  <si>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</si>
  <si>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</si>
  <si>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</si>
  <si>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</si>
  <si>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</si>
  <si>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</si>
  <si>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</si>
  <si>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</si>
  <si>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</si>
  <si>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</si>
  <si>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</si>
  <si>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</si>
  <si>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</si>
  <si>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</si>
  <si>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</si>
  <si>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</si>
  <si>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</si>
  <si>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</si>
  <si>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</si>
  <si>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</si>
  <si>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</si>
  <si>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</si>
  <si>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</si>
  <si>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</si>
  <si>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</si>
  <si>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</si>
  <si>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</si>
  <si>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</si>
  <si>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</si>
  <si>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</si>
  <si>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</si>
  <si>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</si>
  <si>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</si>
  <si>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</si>
  <si>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</si>
  <si>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</si>
  <si>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</si>
  <si>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</si>
  <si>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</si>
  <si>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</si>
  <si>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</si>
  <si>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</si>
  <si>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</si>
  <si>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</si>
  <si>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</si>
  <si>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</si>
  <si>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</si>
  <si>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</si>
  <si>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</si>
  <si>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</si>
  <si>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</si>
  <si>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</si>
  <si>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</si>
  <si>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</si>
  <si>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</si>
  <si>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</si>
  <si>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</si>
  <si>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</si>
  <si>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</si>
  <si>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</si>
  <si>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</si>
  <si>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</si>
  <si>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</si>
  <si>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</si>
  <si>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</si>
  <si>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</si>
  <si>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</si>
  <si>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</si>
  <si>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</si>
  <si>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</si>
  <si>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</si>
  <si>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</si>
  <si>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</si>
  <si>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</si>
  <si>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</si>
  <si>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</si>
  <si>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</si>
  <si>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</si>
  <si>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</si>
  <si>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</si>
  <si>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</si>
  <si>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</si>
  <si>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</si>
  <si>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</si>
  <si>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</si>
  <si>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</si>
  <si>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</si>
  <si>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</si>
  <si>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</si>
  <si>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</si>
  <si>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</si>
  <si>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</si>
  <si>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</si>
  <si>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</si>
  <si>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</si>
  <si>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</si>
  <si>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</si>
  <si>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</si>
  <si>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</si>
  <si>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</si>
  <si>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</si>
  <si>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</si>
  <si>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</si>
  <si>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</si>
  <si>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</si>
  <si>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</si>
  <si>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</si>
  <si>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</si>
  <si>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</si>
  <si>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</si>
  <si>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</si>
  <si>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</si>
  <si>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</si>
  <si>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</si>
  <si>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</si>
  <si>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</si>
  <si>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</si>
  <si>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</si>
  <si>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</si>
  <si>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</si>
  <si>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</si>
  <si>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</si>
  <si>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</si>
  <si>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</si>
  <si>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</si>
  <si>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</si>
  <si>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</si>
  <si>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</si>
  <si>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</si>
  <si>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</si>
  <si>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</si>
  <si>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</si>
  <si>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</si>
  <si>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</si>
  <si>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</si>
  <si>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</si>
  <si>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</si>
  <si>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</si>
  <si>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</si>
  <si>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</si>
  <si>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</si>
  <si>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</si>
  <si>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</si>
  <si>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</si>
  <si>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</si>
  <si>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</si>
  <si>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</si>
  <si>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</si>
  <si>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</si>
  <si>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</si>
  <si>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</si>
  <si>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</si>
  <si>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</si>
  <si>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</si>
  <si>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</si>
  <si>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</si>
  <si>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</si>
  <si>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</si>
  <si>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</si>
  <si>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</si>
  <si>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</si>
  <si>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</si>
  <si>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</si>
  <si>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</si>
  <si>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</si>
  <si>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</si>
  <si>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</si>
  <si>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</si>
  <si>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</si>
  <si>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</si>
  <si>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</si>
  <si>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</si>
  <si>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</si>
  <si>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</si>
  <si>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</si>
  <si>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</si>
  <si>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</si>
  <si>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</si>
  <si>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</si>
  <si>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</si>
  <si>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</si>
  <si>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</si>
  <si>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</si>
  <si>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</si>
  <si>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</si>
  <si>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</si>
  <si>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</si>
  <si>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</si>
  <si>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</si>
  <si>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</si>
  <si>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</si>
  <si>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</si>
  <si>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</si>
  <si>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</si>
  <si>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</si>
  <si>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</si>
  <si>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</si>
  <si>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</si>
  <si>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</si>
  <si>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</si>
  <si>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</si>
  <si>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</si>
  <si>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</si>
  <si>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</si>
  <si>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</si>
  <si>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</si>
  <si>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</si>
  <si>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</si>
  <si>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</si>
  <si>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</si>
  <si>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</si>
  <si>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</si>
  <si>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</si>
  <si>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</si>
  <si>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</si>
  <si>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</si>
  <si>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</si>
  <si>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</si>
  <si>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</si>
  <si>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</si>
  <si>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</si>
  <si>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</si>
  <si>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</si>
  <si>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</si>
  <si>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</si>
  <si>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</si>
  <si>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</si>
  <si>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</si>
  <si>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</si>
  <si>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</si>
  <si>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</si>
  <si>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</si>
  <si>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</si>
  <si>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</si>
  <si>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</si>
  <si>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</si>
  <si>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</si>
  <si>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</si>
  <si>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</si>
  <si>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</si>
  <si>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</si>
  <si>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</si>
  <si>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</si>
  <si>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</si>
  <si>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</si>
  <si>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</si>
  <si>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</si>
  <si>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</si>
  <si>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</si>
  <si>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</si>
  <si>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</si>
  <si>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</si>
  <si>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</si>
  <si>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</si>
  <si>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</si>
  <si>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</si>
  <si>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</si>
  <si>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</si>
  <si>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</si>
  <si>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</si>
  <si>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</si>
  <si>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</si>
  <si>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</si>
  <si>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</si>
  <si>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</si>
  <si>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</si>
  <si>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</si>
  <si>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</si>
  <si>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</si>
  <si>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</si>
  <si>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</si>
  <si>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</si>
  <si>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</si>
  <si>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</si>
  <si>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</si>
  <si>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</si>
  <si>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</si>
  <si>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</si>
  <si>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</si>
  <si>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</si>
  <si>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</si>
  <si>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</si>
  <si>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</si>
  <si>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</si>
  <si>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</si>
  <si>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</si>
  <si>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</si>
  <si>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</si>
  <si>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</si>
  <si>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</si>
  <si>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</si>
  <si>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</si>
  <si>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</si>
  <si>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</si>
  <si>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</si>
  <si>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</si>
  <si>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</si>
  <si>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</si>
  <si>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</si>
  <si>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</si>
  <si>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</si>
  <si>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</si>
  <si>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</si>
  <si>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</si>
  <si>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</si>
  <si>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</si>
  <si>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</si>
  <si>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</si>
  <si>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</si>
  <si>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</si>
  <si>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</si>
  <si>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</si>
  <si>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</si>
  <si>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</si>
  <si>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</si>
  <si>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</si>
  <si>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</si>
  <si>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</si>
  <si>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</si>
  <si>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</si>
  <si>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</si>
  <si>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</si>
  <si>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</si>
  <si>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</si>
  <si>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</si>
  <si>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</si>
  <si>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</si>
  <si>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</si>
  <si>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</si>
  <si>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</si>
  <si>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</si>
  <si>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</si>
  <si>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</si>
  <si>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</si>
  <si>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</si>
  <si>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</si>
  <si>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</si>
  <si>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</si>
  <si>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</si>
  <si>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</si>
  <si>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</si>
  <si>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</si>
  <si>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</si>
  <si>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</si>
  <si>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</si>
  <si>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</si>
  <si>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</si>
  <si>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</si>
  <si>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</si>
  <si>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</si>
  <si>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</si>
  <si>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</si>
  <si>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</si>
  <si>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</si>
  <si>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</si>
  <si>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</si>
  <si>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</si>
  <si>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</si>
  <si>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</si>
  <si>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</si>
  <si>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</si>
  <si>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</si>
  <si>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</si>
  <si>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</si>
  <si>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</si>
  <si>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</si>
  <si>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</si>
  <si>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</si>
  <si>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</si>
  <si>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</si>
  <si>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</si>
  <si>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</si>
  <si>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</si>
  <si>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</si>
  <si>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</si>
  <si>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</si>
  <si>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</si>
  <si>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</si>
  <si>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</si>
  <si>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</si>
  <si>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</si>
  <si>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</si>
  <si>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</si>
  <si>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</si>
  <si>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</si>
  <si>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</si>
  <si>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</si>
  <si>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</si>
  <si>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</si>
  <si>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</si>
  <si>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</si>
  <si>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</si>
  <si>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</si>
  <si>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</si>
  <si>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</si>
  <si>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</si>
  <si>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</si>
  <si>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</si>
  <si>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</si>
  <si>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</si>
  <si>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</si>
  <si>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</si>
  <si>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</si>
  <si>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</si>
  <si>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</si>
  <si>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</si>
  <si>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</si>
  <si>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</si>
  <si>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</si>
  <si>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</si>
  <si>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</si>
  <si>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</si>
  <si>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</si>
  <si>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</si>
  <si>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</si>
  <si>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</si>
  <si>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</si>
  <si>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</si>
  <si>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</si>
  <si>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</si>
  <si>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</si>
  <si>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</si>
  <si>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</si>
  <si>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</si>
  <si>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</si>
  <si>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</si>
  <si>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</si>
  <si>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</si>
  <si>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</si>
  <si>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</si>
  <si>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</si>
  <si>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</si>
  <si>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</si>
  <si>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</si>
  <si>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</si>
  <si>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</si>
  <si>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</si>
  <si>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</si>
  <si>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</si>
  <si>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</si>
  <si>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</si>
  <si>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</si>
  <si>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</si>
  <si>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</si>
  <si>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</si>
  <si>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</si>
  <si>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</si>
  <si>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</si>
  <si>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</si>
  <si>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</si>
  <si>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</si>
  <si>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</si>
  <si>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</si>
  <si>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</si>
  <si>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</si>
  <si>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</si>
  <si>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</si>
  <si>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</si>
  <si>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</si>
  <si>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</si>
  <si>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</si>
  <si>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</si>
  <si>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</si>
  <si>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</si>
  <si>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</si>
  <si>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</si>
  <si>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</si>
  <si>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</si>
  <si>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</si>
  <si>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</si>
  <si>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</si>
  <si>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</si>
  <si>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</si>
  <si>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</si>
  <si>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</si>
  <si>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</si>
  <si>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</si>
  <si>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</si>
  <si>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</si>
  <si>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</si>
  <si>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</si>
  <si>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</si>
  <si>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</si>
  <si>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</si>
  <si>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</si>
  <si>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</si>
  <si>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</si>
  <si>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</si>
  <si>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</si>
  <si>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</si>
  <si>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</si>
  <si>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</si>
  <si>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</si>
  <si>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</si>
  <si>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</si>
  <si>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</si>
  <si>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</si>
  <si>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</si>
  <si>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</si>
  <si>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</si>
  <si>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</si>
  <si>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</si>
  <si>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</si>
  <si>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</si>
  <si>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</si>
  <si>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</si>
  <si>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</si>
  <si>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</si>
  <si>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</si>
  <si>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</si>
  <si>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</si>
  <si>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</si>
  <si>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</si>
  <si>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</si>
  <si>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</si>
  <si>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</si>
  <si>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</si>
  <si>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</si>
  <si>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</si>
  <si>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</si>
  <si>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</si>
  <si>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</si>
  <si>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</si>
  <si>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</si>
  <si>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</si>
  <si>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</si>
  <si>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</si>
  <si>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</si>
  <si>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</si>
  <si>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</si>
  <si>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</si>
  <si>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</si>
  <si>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</si>
  <si>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</si>
  <si>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</si>
  <si>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</si>
  <si>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</si>
  <si>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</si>
  <si>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</si>
  <si>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</si>
  <si>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</si>
  <si>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</si>
  <si>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</si>
  <si>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</si>
  <si>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</si>
  <si>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</si>
  <si>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</si>
  <si>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</si>
  <si>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</si>
  <si>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</si>
  <si>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</si>
  <si>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</si>
  <si>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</si>
  <si>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</si>
  <si>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</si>
  <si>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</si>
  <si>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</si>
  <si>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</si>
  <si>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</si>
  <si>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</si>
  <si>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</si>
  <si>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</si>
  <si>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</si>
  <si>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</si>
  <si>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</si>
  <si>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</si>
  <si>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</si>
  <si>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</si>
  <si>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</si>
  <si>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</si>
  <si>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</si>
  <si>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</si>
  <si>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</si>
  <si>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</si>
  <si>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</si>
  <si>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</si>
  <si>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</si>
  <si>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</si>
  <si>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</si>
  <si>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</si>
  <si>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</si>
  <si>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</si>
  <si>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</si>
  <si>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</si>
  <si>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</si>
  <si>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</si>
  <si>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</si>
  <si>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</si>
  <si>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</si>
  <si>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</si>
  <si>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</si>
  <si>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</si>
  <si>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</si>
  <si>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</si>
  <si>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</si>
  <si>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</si>
  <si>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</si>
  <si>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</si>
  <si>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</si>
  <si>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</si>
  <si>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</si>
  <si>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</si>
  <si>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</si>
  <si>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</si>
  <si>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</si>
  <si>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</si>
  <si>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</si>
  <si>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</si>
  <si>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</si>
  <si>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</si>
  <si>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</si>
  <si>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</si>
  <si>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</si>
  <si>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</si>
  <si>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</si>
  <si>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</si>
  <si>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</si>
  <si>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</si>
  <si>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</si>
  <si>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</si>
  <si>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</si>
  <si>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</si>
  <si>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</si>
  <si>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</si>
  <si>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</si>
  <si>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</si>
  <si>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</si>
  <si>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</si>
  <si>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</si>
  <si>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</si>
  <si>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</si>
  <si>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</si>
  <si>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</si>
  <si>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</si>
  <si>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</si>
  <si>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</si>
  <si>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</si>
  <si>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</si>
  <si>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</si>
  <si>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</si>
  <si>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</si>
  <si>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</si>
  <si>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</si>
  <si>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</si>
  <si>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</si>
  <si>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</si>
  <si>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</si>
  <si>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</si>
  <si>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</si>
  <si>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</si>
  <si>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</si>
  <si>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</si>
  <si>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</si>
  <si>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</si>
  <si>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</si>
  <si>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</si>
  <si>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</si>
  <si>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</si>
  <si>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</si>
  <si>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</si>
  <si>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</si>
  <si>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</si>
  <si>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</si>
  <si>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</si>
  <si>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</si>
  <si>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</si>
  <si>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</si>
  <si>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</si>
  <si>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</si>
  <si>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</si>
  <si>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</si>
  <si>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</si>
  <si>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</si>
  <si>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</si>
  <si>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</si>
  <si>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</si>
  <si>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</si>
  <si>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</si>
  <si>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</si>
  <si>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</si>
  <si>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</si>
  <si>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</si>
  <si>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</si>
  <si>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</si>
  <si>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</si>
  <si>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</si>
  <si>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</si>
  <si>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</si>
  <si>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</si>
  <si>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</si>
  <si>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</si>
  <si>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</si>
  <si>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</si>
  <si>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</si>
  <si>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</si>
  <si>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</si>
  <si>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</si>
  <si>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</si>
  <si>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</si>
  <si>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</si>
  <si>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</si>
  <si>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</si>
  <si>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</si>
  <si>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</si>
  <si>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</si>
  <si>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</si>
  <si>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</si>
  <si>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</si>
  <si>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</si>
  <si>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</si>
  <si>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</si>
  <si>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</si>
  <si>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</si>
  <si>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</si>
  <si>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</si>
  <si>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</si>
  <si>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</si>
  <si>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</si>
  <si>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</si>
  <si>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</si>
  <si>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</si>
  <si>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</si>
  <si>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</si>
  <si>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</si>
  <si>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</si>
  <si>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</si>
  <si>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</si>
  <si>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</si>
  <si>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</si>
  <si>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</si>
  <si>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</si>
  <si>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</si>
  <si>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</si>
  <si>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</si>
  <si>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</si>
  <si>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</si>
  <si>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</si>
  <si>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</si>
  <si>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</si>
  <si>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</si>
  <si>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</si>
  <si>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</si>
  <si>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</si>
  <si>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</si>
  <si>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</si>
  <si>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</si>
  <si>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</si>
  <si>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</si>
  <si>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</si>
  <si>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</si>
  <si>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</si>
  <si>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</si>
  <si>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</si>
  <si>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</si>
  <si>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</si>
  <si>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</si>
  <si>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</si>
  <si>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</si>
  <si>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</si>
  <si>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</si>
  <si>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</si>
  <si>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</si>
  <si>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</si>
  <si>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</si>
  <si>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</si>
  <si>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</si>
  <si>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</si>
  <si>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</si>
  <si>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</si>
  <si>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</si>
  <si>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</si>
  <si>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</si>
  <si>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</si>
  <si>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</si>
  <si>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</si>
  <si>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</si>
  <si>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</si>
  <si>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</si>
  <si>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</si>
  <si>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</si>
  <si>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</si>
  <si>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</si>
  <si>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</si>
  <si>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</si>
  <si>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</si>
  <si>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</si>
  <si>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</si>
  <si>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</si>
  <si>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</si>
  <si>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</si>
  <si>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</si>
  <si>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</si>
  <si>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</si>
  <si>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</si>
  <si>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</si>
  <si>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</si>
  <si>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</si>
  <si>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</si>
  <si>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</si>
  <si>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</si>
  <si>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</si>
  <si>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</si>
  <si>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</si>
  <si>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</si>
  <si>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</si>
  <si>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</si>
  <si>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</si>
  <si>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</si>
  <si>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</si>
  <si>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</si>
  <si>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</si>
  <si>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</si>
  <si>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</si>
  <si>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</si>
  <si>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</si>
  <si>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</si>
  <si>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</si>
  <si>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</si>
  <si>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</si>
  <si>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</si>
  <si>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</si>
  <si>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</si>
  <si>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</si>
  <si>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</si>
  <si>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</si>
  <si>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</si>
  <si>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</si>
  <si>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</si>
  <si>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</si>
  <si>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</si>
  <si>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</si>
  <si>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</si>
  <si>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</si>
  <si>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</si>
  <si>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</si>
  <si>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</si>
  <si>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</si>
  <si>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</si>
  <si>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</si>
  <si>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</si>
  <si>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</si>
  <si>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</si>
  <si>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</si>
  <si>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</si>
  <si>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</si>
  <si>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</si>
  <si>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</si>
  <si>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</si>
  <si>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</si>
  <si>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</si>
  <si>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</si>
  <si>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</si>
  <si>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</si>
  <si>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</si>
  <si>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</si>
  <si>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</si>
  <si>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</si>
  <si>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</si>
  <si>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</si>
  <si>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</si>
  <si>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</si>
  <si>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</si>
  <si>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</si>
  <si>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</si>
  <si>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</si>
  <si>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</si>
  <si>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</si>
  <si>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</si>
  <si>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</si>
  <si>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</si>
  <si>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</si>
  <si>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</si>
  <si>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</si>
  <si>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</si>
  <si>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</si>
  <si>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</si>
  <si>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</si>
  <si>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</si>
  <si>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</si>
  <si>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</si>
  <si>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</si>
  <si>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</si>
  <si>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</si>
  <si>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</si>
  <si>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</si>
  <si>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</si>
  <si>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</si>
  <si>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</si>
  <si>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</si>
  <si>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</si>
  <si>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</si>
  <si>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</si>
  <si>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</si>
  <si>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</si>
  <si>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</si>
  <si>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</si>
  <si>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</si>
  <si>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</si>
  <si>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</si>
  <si>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</si>
  <si>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</si>
  <si>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</si>
  <si>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</si>
  <si>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</si>
  <si>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</si>
  <si>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</si>
  <si>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</si>
  <si>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</si>
  <si>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</si>
  <si>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</si>
  <si>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</si>
  <si>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</si>
  <si>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</si>
  <si>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</si>
  <si>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</si>
  <si>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</si>
  <si>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</si>
  <si>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</si>
  <si>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</si>
  <si>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</si>
  <si>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</si>
  <si>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</si>
  <si>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</si>
  <si>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</si>
  <si>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</si>
  <si>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</si>
  <si>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</si>
  <si>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</si>
  <si>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</si>
  <si>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</si>
  <si>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</si>
  <si>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</si>
  <si>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</si>
  <si>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</si>
  <si>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</si>
  <si>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</si>
  <si>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</si>
  <si>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</si>
  <si>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</si>
  <si>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</si>
  <si>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</si>
  <si>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</si>
  <si>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</si>
  <si>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</si>
  <si>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</si>
  <si>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</si>
  <si>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</si>
  <si>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</si>
  <si>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</si>
  <si>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</si>
  <si>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</si>
  <si>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</si>
  <si>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</si>
  <si>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</si>
  <si>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</si>
  <si>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</si>
  <si>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</si>
  <si>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</si>
  <si>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</si>
  <si>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</si>
  <si>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</si>
  <si>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</si>
  <si>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</si>
  <si>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</si>
  <si>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</si>
  <si>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</si>
  <si>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</si>
  <si>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</si>
  <si>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</si>
  <si>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</si>
  <si>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</si>
  <si>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</si>
  <si>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</si>
  <si>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</si>
  <si>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</si>
  <si>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</si>
  <si>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</si>
  <si>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</si>
  <si>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</si>
  <si>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</si>
  <si>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</si>
  <si>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</si>
  <si>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</si>
  <si>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2021</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</si>
  <si>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</si>
  <si>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</si>
  <si>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</si>
  <si>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</si>
  <si>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</si>
  <si>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</si>
  <si>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</si>
  <si>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</si>
  <si>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</si>
  <si>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</si>
  <si>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</si>
  <si>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</si>
  <si>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</si>
  <si>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</si>
  <si>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</si>
  <si>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</si>
  <si>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</si>
  <si>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</si>
  <si>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</si>
  <si>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t>
  </si>
  <si>
    <t>Building Administration Account</t>
  </si>
  <si>
    <t>Business Services Center</t>
  </si>
  <si>
    <t>Centralized Tech Services</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</si>
  <si>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</si>
  <si>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</si>
  <si>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</si>
  <si>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</si>
  <si>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</si>
  <si>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</si>
  <si>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</si>
  <si>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</si>
  <si>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</si>
  <si>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</si>
  <si>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July 31, 2020</t>
  </si>
  <si>
    <t>1st Quarter</t>
  </si>
  <si>
    <t>APRIL - JUNE</t>
  </si>
  <si>
    <t>Dedicated Infrastructure Investment Fund</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</si>
  <si>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</si>
  <si>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</si>
  <si>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</si>
  <si>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</si>
  <si>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</si>
  <si>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</si>
  <si>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</si>
  <si>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</si>
  <si>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</si>
  <si>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August 31, 2020</t>
  </si>
  <si>
    <t>payments for patients residing in State-operated Health and Mental Hygiene facilities, the General</t>
  </si>
  <si>
    <t xml:space="preserve">                        TOTAL GOVERNMENTAL FUNDS                                              YEAR OVER YEAR</t>
  </si>
  <si>
    <t xml:space="preserve">                                                                                                                                                             TOTAL STATE OPERATING FUNDS                                                </t>
  </si>
  <si>
    <t xml:space="preserve">COMPARATIVE SCHEDULE OF TAX RECEIPTS                   </t>
  </si>
  <si>
    <t>September 30, 2020</t>
  </si>
  <si>
    <t>Federal Operating Grants Fund</t>
  </si>
  <si>
    <t>Federal USDA/Food and Nutrition Services Fund</t>
  </si>
  <si>
    <t>Unemployment Insurance Administration Fund</t>
  </si>
  <si>
    <t>Housing Debt Service Fund</t>
  </si>
  <si>
    <t>A portion of Personal Income Tax receipts is transferred to the State Special Revenue School Tax Relief (STAR)</t>
  </si>
  <si>
    <t>Fund to be used to reimburse school districts for the STAR property tax exemptions for homeowners and payments</t>
  </si>
  <si>
    <t>3.</t>
  </si>
  <si>
    <t xml:space="preserve">Debt Service Fund ($4.9m), Medicaid Management Information System Escrow Fund ($122.3m), </t>
  </si>
  <si>
    <t>Unemployment Insurance Interest &amp; Penalty Account</t>
  </si>
  <si>
    <t>GOVT. SPONSORED AGENCIES</t>
  </si>
  <si>
    <t>Dedicated Mass Transportation - Railroad Account</t>
  </si>
  <si>
    <t>Dedicated Mass Transportation - Transit Authority Account</t>
  </si>
  <si>
    <t>Dedicated Mass Transportation - (Non MTA)</t>
  </si>
  <si>
    <t>October 31, 2020</t>
  </si>
  <si>
    <t>OCT. 2020</t>
  </si>
  <si>
    <t>OCT. 2019</t>
  </si>
  <si>
    <t>OCTOBER 2020</t>
  </si>
  <si>
    <t>7 MOS. ENDED</t>
  </si>
  <si>
    <t xml:space="preserve">FOR SEVEN MONTHS ENDED OCTOBER 31, 2020    </t>
  </si>
  <si>
    <t>OCT. 31, 2020</t>
  </si>
  <si>
    <t>OCT. 31, 2019</t>
  </si>
  <si>
    <t>7 Months Ended October 31</t>
  </si>
  <si>
    <t>OCTOBER 1, 2020</t>
  </si>
  <si>
    <t>OCTOBER 31, 2020</t>
  </si>
  <si>
    <t>7 MONTHS ENDED</t>
  </si>
  <si>
    <t xml:space="preserve">FOR THE SEVEN MONTHS ENDED OCTOBER 31, 2020     </t>
  </si>
  <si>
    <t>FOR THE MONTH OF OCTOBER 2020</t>
  </si>
  <si>
    <t>OCTOBER 2019</t>
  </si>
  <si>
    <t>7 Months Ended</t>
  </si>
  <si>
    <t>October</t>
  </si>
  <si>
    <t>7 Months Ended October 31, 2020 (**)</t>
  </si>
  <si>
    <t>2nd Quarter</t>
  </si>
  <si>
    <t>JULY - SEPTEMBER</t>
  </si>
  <si>
    <t>7 MONTHS ENDED OCTOBER 31</t>
  </si>
  <si>
    <t>Fund Balances (Deficits) at October 31, 2020</t>
  </si>
  <si>
    <t>(**)   Source: 2020-21 Mid Year Update dated October 30, 2020.</t>
  </si>
  <si>
    <t xml:space="preserve">As of October 31, 2020, $9,541,097.79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</si>
  <si>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CSRA Inc (eMedNY) General Fund</t>
  </si>
  <si>
    <t xml:space="preserve">the current fiscal quarter.  As of October 31, 2020 - pursuant to a certification of the Budget Director - </t>
  </si>
  <si>
    <t>the reserve amount is ($48.7m), which was funded by a transfer from the General Fund.</t>
  </si>
  <si>
    <t xml:space="preserve">to homeowners for the STAR Property Rebate Program.  School Tax Relief payments were ($0.2m) </t>
  </si>
  <si>
    <t>as of October 31, 2020.</t>
  </si>
  <si>
    <r>
      <t>Capital Projects Funds</t>
    </r>
    <r>
      <rPr>
        <sz val="9"/>
        <rFont val="Arial"/>
        <family val="2"/>
      </rPr>
      <t xml:space="preserve"> “Transfers To Other Funds” includes transfers to the General Fund ($12.4m), </t>
    </r>
  </si>
  <si>
    <t xml:space="preserve"> the General Debt Service Fund - Lease Purchase ($72.2m), and the Revenue Bond Tax Fund ($201.9m).</t>
  </si>
  <si>
    <t xml:space="preserve">operated health, mental hygiene and State University facilities to Debt Service funds ($4.8m), and  </t>
  </si>
  <si>
    <t xml:space="preserve">the State University Income Fund ($238.5m). </t>
  </si>
  <si>
    <t xml:space="preserve">of Health ($71.6m). </t>
  </si>
  <si>
    <t xml:space="preserve">Fund and Department of Health Income Fund ($923.1m) representing the federal share of Medicaid </t>
  </si>
  <si>
    <t>SUNY Capital Projects Fund ($2.0m), and All Other Capital Projects ($24.1m).</t>
  </si>
  <si>
    <t xml:space="preserve">Recruitment Incentive Account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</si>
</sst>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0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70">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9" fontId="39" fillId="0" borderId="0" xfId="2" applyNumberFormat="1" applyFont="1" applyBorder="1" applyAlignment="1"/>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0" fontId="192" fillId="0" borderId="0" xfId="8" applyFont="1"/>
    <xf numFmtId="170" fontId="37"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200" fontId="37" fillId="0" borderId="0" xfId="2" applyNumberFormat="1" applyFont="1" applyFill="1" applyAlignment="1" applyProtection="1"/>
    <xf numFmtId="37" fontId="37" fillId="0" borderId="0" xfId="2" applyNumberFormat="1" applyFont="1" applyFill="1" applyAlignment="1">
      <alignment horizontal="center"/>
    </xf>
    <xf numFmtId="44" fontId="110" fillId="0" borderId="87" xfId="25862" applyFont="1" applyBorder="1"/>
    <xf numFmtId="166" fontId="192" fillId="0" borderId="0" xfId="8" applyNumberFormat="1" applyFont="1" applyFill="1" applyAlignment="1">
      <alignment horizontal="right" vertical="top"/>
    </xf>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4579" applyNumberFormat="1" applyFont="1" applyFill="1" applyAlignment="1">
      <alignment wrapText="1"/>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9"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169" fontId="49" fillId="0" borderId="0" xfId="8" applyNumberFormat="1" applyFont="1" applyAlignment="1">
      <alignment horizontal="right" vertical="top"/>
    </xf>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43" fontId="48" fillId="0" borderId="0" xfId="25872" applyNumberFormat="1" applyFont="1" applyFill="1" applyBorder="1" applyAlignment="1">
      <alignment horizontal="left"/>
    </xf>
    <xf numFmtId="43" fontId="48" fillId="0" borderId="0" xfId="25872" applyNumberFormat="1" applyFont="1" applyFill="1" applyBorder="1"/>
    <xf numFmtId="37" fontId="48" fillId="0" borderId="0" xfId="25872" applyNumberFormat="1" applyFont="1" applyFill="1" applyBorder="1" applyAlignment="1">
      <alignment horizontal="left"/>
    </xf>
    <xf numFmtId="37" fontId="48" fillId="0" borderId="0" xfId="25872" applyNumberFormat="1" applyFont="1" applyFill="1" applyBorder="1"/>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177" fontId="48" fillId="0" borderId="0" xfId="1767" applyNumberFormat="1" applyFont="1" applyFill="1" applyAlignment="1">
      <alignment horizontal="left"/>
    </xf>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44" fontId="0" fillId="0" borderId="0" xfId="0" applyNumberFormat="1" applyFill="1" applyAlignment="1"/>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3"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3" fillId="0" borderId="0" xfId="25863" applyNumberFormat="1" applyFill="1"/>
    <xf numFmtId="0" fontId="196" fillId="0" borderId="0" xfId="25863" quotePrefix="1" applyNumberFormat="1" applyFont="1" applyFill="1" applyAlignment="1">
      <alignment horizontal="left"/>
    </xf>
    <xf numFmtId="0" fontId="48" fillId="0" borderId="0" xfId="25863" applyFont="1" applyFill="1" applyBorder="1" applyAlignment="1">
      <alignment horizontal="left"/>
    </xf>
    <xf numFmtId="0" fontId="202" fillId="0" borderId="0" xfId="25863" applyFont="1" applyFill="1" applyBorder="1" applyAlignment="1">
      <alignment horizontal="center"/>
    </xf>
    <xf numFmtId="43" fontId="0" fillId="0" borderId="0" xfId="25864" applyNumberFormat="1" applyFont="1" applyFill="1" applyBorder="1">
      <alignment horizontal="right"/>
    </xf>
    <xf numFmtId="44" fontId="0" fillId="0" borderId="0" xfId="0" applyNumberFormat="1" applyFill="1"/>
    <xf numFmtId="0" fontId="201" fillId="0" borderId="0" xfId="25863" applyFont="1" applyFill="1" applyBorder="1"/>
    <xf numFmtId="44" fontId="37" fillId="0" borderId="0" xfId="0" applyNumberFormat="1" applyFont="1" applyFill="1"/>
    <xf numFmtId="43" fontId="37" fillId="0" borderId="0" xfId="0" applyNumberFormat="1" applyFont="1" applyFill="1" applyAlignment="1">
      <alignment horizontal="right" wrapText="1"/>
    </xf>
    <xf numFmtId="0" fontId="206" fillId="0" borderId="0" xfId="25863"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5"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70" fontId="165" fillId="0" borderId="0" xfId="2" applyNumberFormat="1" applyFont="1" applyFill="1" applyAlignment="1" applyProtection="1"/>
    <xf numFmtId="170" fontId="165" fillId="0" borderId="0" xfId="2" applyNumberFormat="1" applyFont="1" applyFill="1" applyAlignment="1">
      <alignment horizontal="right"/>
    </xf>
    <xf numFmtId="166" fontId="59" fillId="0" borderId="0" xfId="2" applyNumberFormat="1" applyFont="1" applyFill="1" applyAlignment="1" applyProtection="1">
      <alignment horizontal="right"/>
    </xf>
    <xf numFmtId="170" fontId="137"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37" fillId="0" borderId="0" xfId="25872" applyNumberFormat="1" applyFont="1" applyFill="1" applyBorder="1" applyAlignment="1">
      <alignment horizontal="left"/>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3" fontId="37" fillId="0" borderId="0" xfId="25873" applyNumberFormat="1" applyFont="1" applyFill="1" applyBorder="1"/>
    <xf numFmtId="191" fontId="139" fillId="0" borderId="0" xfId="8" applyNumberFormat="1" applyFont="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69140625" defaultRowHeight="12.5"/>
  <cols>
    <col min="1" max="1" width="2.07421875" style="581" customWidth="1"/>
    <col min="2" max="2" width="22.69140625" style="581" customWidth="1"/>
    <col min="3" max="3" width="6" style="581" customWidth="1"/>
    <col min="4" max="4" width="24.07421875" style="581" customWidth="1"/>
    <col min="5" max="6" width="12.4609375" style="581" customWidth="1"/>
    <col min="7" max="7" width="4" style="581" customWidth="1"/>
    <col min="8" max="8" width="12.4609375" style="581" customWidth="1"/>
    <col min="9" max="9" width="12" style="581" customWidth="1"/>
    <col min="10" max="10" width="3.69140625" style="581" customWidth="1"/>
    <col min="11" max="11" width="28.4609375" style="581" customWidth="1"/>
    <col min="12" max="16384" width="8.69140625" style="581"/>
  </cols>
  <sheetData>
    <row r="1" spans="1:10" s="578" customFormat="1" ht="13">
      <c r="A1" s="576"/>
      <c r="B1" s="576"/>
      <c r="C1" s="576"/>
      <c r="D1" s="576"/>
      <c r="E1" s="576"/>
      <c r="F1" s="576"/>
      <c r="G1" s="576"/>
      <c r="H1" s="576"/>
      <c r="I1" s="576"/>
      <c r="J1" s="577"/>
    </row>
    <row r="2" spans="1:10" s="578" customFormat="1" ht="13">
      <c r="A2" s="576"/>
      <c r="B2" s="576"/>
      <c r="C2" s="576"/>
      <c r="D2" s="576"/>
      <c r="E2" s="576"/>
      <c r="F2" s="576"/>
      <c r="G2" s="576"/>
      <c r="H2" s="576"/>
      <c r="I2" s="576"/>
      <c r="J2" s="577"/>
    </row>
    <row r="3" spans="1:10" s="578" customFormat="1" ht="13">
      <c r="A3" s="576"/>
      <c r="B3" s="576"/>
      <c r="C3" s="576"/>
      <c r="D3" s="576"/>
      <c r="E3" s="576"/>
      <c r="F3" s="576"/>
      <c r="G3" s="576"/>
      <c r="H3" s="576"/>
      <c r="I3" s="576"/>
      <c r="J3" s="577"/>
    </row>
    <row r="4" spans="1:10" s="578" customFormat="1" ht="13">
      <c r="A4" s="576" t="s">
        <v>926</v>
      </c>
      <c r="B4" s="576"/>
      <c r="C4" s="576"/>
      <c r="D4" s="576"/>
      <c r="E4" s="576"/>
      <c r="F4" s="576"/>
      <c r="G4" s="576"/>
      <c r="H4" s="576"/>
      <c r="I4" s="770" t="s">
        <v>922</v>
      </c>
      <c r="J4" s="577"/>
    </row>
    <row r="5" spans="1:10" ht="18">
      <c r="A5" s="576" t="s">
        <v>924</v>
      </c>
      <c r="B5" s="579"/>
      <c r="C5" s="579"/>
      <c r="D5" s="579"/>
      <c r="E5" s="579"/>
      <c r="F5" s="579"/>
      <c r="G5" s="579"/>
      <c r="H5" s="579"/>
      <c r="I5" s="770" t="s">
        <v>923</v>
      </c>
      <c r="J5" s="580"/>
    </row>
    <row r="6" spans="1:10" ht="18">
      <c r="A6" s="576" t="s">
        <v>801</v>
      </c>
      <c r="B6" s="579"/>
      <c r="C6" s="579"/>
      <c r="D6" s="579"/>
      <c r="E6" s="579"/>
      <c r="F6" s="579"/>
      <c r="G6" s="579"/>
      <c r="H6" s="579"/>
      <c r="I6" s="579"/>
      <c r="J6" s="580"/>
    </row>
    <row r="7" spans="1:10" ht="18">
      <c r="A7" s="576" t="s">
        <v>802</v>
      </c>
      <c r="B7" s="579"/>
      <c r="C7" s="579"/>
      <c r="D7" s="579"/>
      <c r="E7" s="579"/>
      <c r="F7" s="579"/>
      <c r="G7" s="579"/>
      <c r="H7" s="579"/>
      <c r="I7" s="579"/>
      <c r="J7" s="580"/>
    </row>
    <row r="8" spans="1:10" ht="18.5" thickBot="1">
      <c r="A8" s="579"/>
      <c r="B8" s="579"/>
      <c r="C8" s="579"/>
      <c r="D8" s="579"/>
      <c r="E8" s="579"/>
      <c r="F8" s="579"/>
      <c r="G8" s="579"/>
      <c r="H8" s="579"/>
      <c r="I8" s="579"/>
      <c r="J8" s="580"/>
    </row>
    <row r="9" spans="1:10" ht="18.5" thickTop="1">
      <c r="A9" s="582" t="s">
        <v>803</v>
      </c>
      <c r="B9" s="583"/>
      <c r="C9" s="583"/>
      <c r="D9" s="583"/>
      <c r="E9" s="583"/>
      <c r="F9" s="583"/>
      <c r="G9" s="583"/>
      <c r="H9" s="583"/>
      <c r="I9" s="583"/>
      <c r="J9" s="584"/>
    </row>
    <row r="10" spans="1:10" ht="18.5" thickBot="1">
      <c r="A10" s="1536" t="s">
        <v>1538</v>
      </c>
      <c r="B10" s="579"/>
      <c r="C10" s="579"/>
      <c r="D10" s="579"/>
      <c r="E10" s="579"/>
      <c r="F10" s="579"/>
      <c r="G10" s="579"/>
      <c r="H10" s="579"/>
      <c r="I10" s="579"/>
      <c r="J10" s="584"/>
    </row>
    <row r="11" spans="1:10" ht="18.5" thickTop="1">
      <c r="A11" s="585"/>
      <c r="B11" s="586"/>
      <c r="C11" s="586"/>
      <c r="D11" s="586"/>
      <c r="E11" s="586"/>
      <c r="F11" s="586"/>
      <c r="G11" s="586"/>
      <c r="H11" s="586"/>
      <c r="I11" s="586"/>
      <c r="J11" s="587"/>
    </row>
    <row r="12" spans="1:10" ht="13">
      <c r="A12" s="576" t="s">
        <v>804</v>
      </c>
      <c r="B12" s="579"/>
      <c r="C12" s="579"/>
      <c r="D12" s="579"/>
      <c r="E12" s="576"/>
      <c r="F12" s="576"/>
      <c r="G12" s="576"/>
      <c r="H12" s="579"/>
      <c r="I12" s="579"/>
      <c r="J12" s="588"/>
    </row>
    <row r="13" spans="1:10" ht="13">
      <c r="A13" s="578"/>
      <c r="J13" s="588"/>
    </row>
    <row r="14" spans="1:10" ht="13">
      <c r="A14" s="578" t="s">
        <v>805</v>
      </c>
      <c r="B14" s="591"/>
      <c r="J14" s="589"/>
    </row>
    <row r="15" spans="1:10" ht="13">
      <c r="A15" s="578"/>
      <c r="B15" s="650"/>
      <c r="J15" s="589"/>
    </row>
    <row r="16" spans="1:10" ht="13">
      <c r="A16" s="578"/>
      <c r="B16" s="1374" t="s">
        <v>836</v>
      </c>
      <c r="D16" s="590" t="s">
        <v>806</v>
      </c>
      <c r="F16" s="591"/>
      <c r="J16" s="651">
        <v>2</v>
      </c>
    </row>
    <row r="17" spans="1:255" ht="13">
      <c r="A17" s="578"/>
      <c r="B17" s="1374" t="s">
        <v>837</v>
      </c>
      <c r="D17" s="581" t="s">
        <v>1150</v>
      </c>
      <c r="E17" s="593"/>
      <c r="F17" s="594"/>
      <c r="G17" s="593"/>
      <c r="H17" s="593"/>
      <c r="I17" s="593"/>
      <c r="J17" s="651">
        <v>3</v>
      </c>
      <c r="M17" s="595"/>
    </row>
    <row r="18" spans="1:255" ht="13">
      <c r="A18" s="596"/>
      <c r="B18" s="1369" t="s">
        <v>1279</v>
      </c>
      <c r="D18" s="598" t="s">
        <v>961</v>
      </c>
      <c r="E18" s="590"/>
      <c r="F18" s="590"/>
      <c r="G18" s="590"/>
      <c r="H18" s="590"/>
      <c r="I18" s="590"/>
      <c r="J18" s="651">
        <v>4</v>
      </c>
    </row>
    <row r="19" spans="1:255" ht="13">
      <c r="A19" s="578"/>
      <c r="B19" s="1369" t="s">
        <v>838</v>
      </c>
      <c r="D19" s="597" t="s">
        <v>807</v>
      </c>
      <c r="E19" s="597"/>
      <c r="F19" s="597"/>
      <c r="G19" s="597"/>
      <c r="H19" s="597"/>
      <c r="I19" s="597"/>
      <c r="J19" s="651">
        <v>5</v>
      </c>
      <c r="M19" s="595"/>
    </row>
    <row r="20" spans="1:255" ht="13">
      <c r="A20" s="578"/>
      <c r="B20" s="1369" t="s">
        <v>839</v>
      </c>
      <c r="D20" s="597" t="s">
        <v>808</v>
      </c>
      <c r="E20" s="597"/>
      <c r="F20" s="597"/>
      <c r="G20" s="597"/>
      <c r="H20" s="597"/>
      <c r="I20" s="597"/>
      <c r="J20" s="651">
        <v>6</v>
      </c>
      <c r="M20" s="595"/>
    </row>
    <row r="21" spans="1:255" ht="13">
      <c r="A21" s="578"/>
      <c r="B21" s="1369" t="s">
        <v>1114</v>
      </c>
      <c r="D21" s="598" t="s">
        <v>1151</v>
      </c>
      <c r="E21" s="597"/>
      <c r="F21" s="597"/>
      <c r="G21" s="597"/>
      <c r="H21" s="597"/>
      <c r="I21" s="597"/>
      <c r="J21" s="651">
        <v>7</v>
      </c>
      <c r="M21" s="595"/>
    </row>
    <row r="22" spans="1:255" ht="13">
      <c r="A22" s="578"/>
      <c r="B22" s="1369" t="s">
        <v>1115</v>
      </c>
      <c r="D22" s="598" t="s">
        <v>1152</v>
      </c>
      <c r="E22" s="597"/>
      <c r="F22" s="597"/>
      <c r="G22" s="597"/>
      <c r="H22" s="597"/>
      <c r="I22" s="597"/>
      <c r="J22" s="651">
        <v>8</v>
      </c>
      <c r="M22" s="595"/>
    </row>
    <row r="23" spans="1:255" ht="13">
      <c r="A23" s="578"/>
      <c r="B23" s="1369" t="s">
        <v>1116</v>
      </c>
      <c r="D23" s="598" t="s">
        <v>1159</v>
      </c>
      <c r="E23" s="597"/>
      <c r="F23" s="597"/>
      <c r="G23" s="597"/>
      <c r="H23" s="597"/>
      <c r="I23" s="597"/>
      <c r="J23" s="651">
        <v>9</v>
      </c>
      <c r="M23" s="595"/>
    </row>
    <row r="24" spans="1:255" ht="13">
      <c r="A24" s="578"/>
      <c r="B24" s="1369" t="s">
        <v>1117</v>
      </c>
      <c r="D24" s="598" t="s">
        <v>1153</v>
      </c>
      <c r="E24" s="597"/>
      <c r="F24" s="597"/>
      <c r="G24" s="597"/>
      <c r="H24" s="597"/>
      <c r="I24" s="597"/>
      <c r="J24" s="651">
        <v>10</v>
      </c>
      <c r="M24" s="595"/>
    </row>
    <row r="25" spans="1:255" ht="13">
      <c r="A25" s="578"/>
      <c r="B25" s="1369" t="s">
        <v>1118</v>
      </c>
      <c r="D25" s="598" t="s">
        <v>1154</v>
      </c>
      <c r="E25" s="597"/>
      <c r="F25" s="597"/>
      <c r="G25" s="597"/>
      <c r="H25" s="597"/>
      <c r="I25" s="597"/>
      <c r="J25" s="651">
        <v>11</v>
      </c>
      <c r="M25" s="595"/>
    </row>
    <row r="26" spans="1:255" ht="13">
      <c r="A26" s="578"/>
      <c r="B26" s="1369" t="s">
        <v>1119</v>
      </c>
      <c r="D26" s="598" t="s">
        <v>1155</v>
      </c>
      <c r="E26" s="597"/>
      <c r="F26" s="597"/>
      <c r="G26" s="597"/>
      <c r="H26" s="597"/>
      <c r="I26" s="597"/>
      <c r="J26" s="651">
        <v>12</v>
      </c>
      <c r="M26" s="595"/>
    </row>
    <row r="27" spans="1:255" ht="13">
      <c r="A27" s="578"/>
      <c r="B27" s="1369" t="s">
        <v>1120</v>
      </c>
      <c r="D27" s="598" t="s">
        <v>1156</v>
      </c>
      <c r="E27" s="597"/>
      <c r="F27" s="597"/>
      <c r="G27" s="597"/>
      <c r="H27" s="597"/>
      <c r="I27" s="597"/>
      <c r="J27" s="651">
        <v>13</v>
      </c>
      <c r="M27" s="595"/>
    </row>
    <row r="28" spans="1:255" ht="13">
      <c r="A28" s="578"/>
      <c r="B28" s="1369" t="s">
        <v>1121</v>
      </c>
      <c r="D28" s="598" t="s">
        <v>1157</v>
      </c>
      <c r="E28" s="597"/>
      <c r="F28" s="597"/>
      <c r="G28" s="597"/>
      <c r="H28" s="597"/>
      <c r="I28" s="597"/>
      <c r="J28" s="651">
        <v>14</v>
      </c>
      <c r="M28" s="595"/>
    </row>
    <row r="29" spans="1:255" ht="13">
      <c r="A29" s="578"/>
      <c r="B29" s="1369" t="s">
        <v>840</v>
      </c>
      <c r="D29" s="599" t="s">
        <v>809</v>
      </c>
      <c r="E29" s="597"/>
      <c r="F29" s="597"/>
      <c r="G29" s="597"/>
      <c r="H29" s="597"/>
      <c r="I29" s="597"/>
      <c r="J29" s="651">
        <v>15</v>
      </c>
      <c r="M29" s="595"/>
    </row>
    <row r="30" spans="1:255" ht="13">
      <c r="A30" s="578"/>
      <c r="B30" s="1374" t="s">
        <v>858</v>
      </c>
      <c r="D30" s="598" t="s">
        <v>1158</v>
      </c>
      <c r="E30" s="598"/>
      <c r="F30" s="598"/>
      <c r="G30" s="598"/>
      <c r="H30" s="598"/>
      <c r="I30" s="598"/>
      <c r="J30" s="651">
        <v>16</v>
      </c>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78"/>
      <c r="DE30" s="578"/>
      <c r="DF30" s="578"/>
      <c r="DG30" s="578"/>
      <c r="DH30" s="578"/>
      <c r="DI30" s="578"/>
      <c r="DJ30" s="578"/>
      <c r="DK30" s="578"/>
      <c r="DL30" s="578"/>
      <c r="DM30" s="578"/>
      <c r="DN30" s="578"/>
      <c r="DO30" s="578"/>
      <c r="DP30" s="578"/>
      <c r="DQ30" s="578"/>
      <c r="DR30" s="578"/>
      <c r="DS30" s="578"/>
      <c r="DT30" s="578"/>
      <c r="DU30" s="578"/>
      <c r="DV30" s="578"/>
      <c r="DW30" s="578"/>
      <c r="DX30" s="578"/>
      <c r="DY30" s="578"/>
      <c r="DZ30" s="578"/>
      <c r="EA30" s="578"/>
      <c r="EB30" s="578"/>
      <c r="EC30" s="578"/>
      <c r="ED30" s="578"/>
      <c r="EE30" s="578"/>
      <c r="EF30" s="578"/>
      <c r="EG30" s="578"/>
      <c r="EH30" s="578"/>
      <c r="EI30" s="578"/>
      <c r="EJ30" s="578"/>
      <c r="EK30" s="578"/>
      <c r="EL30" s="578"/>
      <c r="EM30" s="578"/>
      <c r="EN30" s="578"/>
      <c r="EO30" s="578"/>
      <c r="EP30" s="578"/>
      <c r="EQ30" s="578"/>
      <c r="ER30" s="578"/>
      <c r="ES30" s="578"/>
      <c r="ET30" s="578"/>
      <c r="EU30" s="578"/>
      <c r="EV30" s="578"/>
      <c r="EW30" s="578"/>
      <c r="EX30" s="578"/>
      <c r="EY30" s="578"/>
      <c r="EZ30" s="578"/>
      <c r="FA30" s="578"/>
      <c r="FB30" s="578"/>
      <c r="FC30" s="578"/>
      <c r="FD30" s="578"/>
      <c r="FE30" s="578"/>
      <c r="FF30" s="578"/>
      <c r="FG30" s="578"/>
      <c r="FH30" s="578"/>
      <c r="FI30" s="578"/>
      <c r="FJ30" s="578"/>
      <c r="FK30" s="578"/>
      <c r="FL30" s="578"/>
      <c r="FM30" s="578"/>
      <c r="FN30" s="578"/>
      <c r="FO30" s="578"/>
      <c r="FP30" s="578"/>
      <c r="FQ30" s="578"/>
      <c r="FR30" s="578"/>
      <c r="FS30" s="578"/>
      <c r="FT30" s="578"/>
      <c r="FU30" s="578"/>
      <c r="FV30" s="578"/>
      <c r="FW30" s="578"/>
      <c r="FX30" s="578"/>
      <c r="FY30" s="578"/>
      <c r="FZ30" s="578"/>
      <c r="GA30" s="578"/>
      <c r="GB30" s="578"/>
      <c r="GC30" s="578"/>
      <c r="GD30" s="578"/>
      <c r="GE30" s="578"/>
      <c r="GF30" s="578"/>
      <c r="GG30" s="578"/>
      <c r="GH30" s="578"/>
      <c r="GI30" s="578"/>
      <c r="GJ30" s="578"/>
      <c r="GK30" s="578"/>
      <c r="GL30" s="578"/>
      <c r="GM30" s="578"/>
      <c r="GN30" s="578"/>
      <c r="GO30" s="578"/>
      <c r="GP30" s="578"/>
      <c r="GQ30" s="578"/>
      <c r="GR30" s="578"/>
      <c r="GS30" s="578"/>
      <c r="GT30" s="578"/>
      <c r="GU30" s="578"/>
      <c r="GV30" s="578"/>
      <c r="GW30" s="578"/>
      <c r="GX30" s="578"/>
      <c r="GY30" s="578"/>
      <c r="GZ30" s="578"/>
      <c r="HA30" s="578"/>
      <c r="HB30" s="578"/>
      <c r="HC30" s="578"/>
      <c r="HD30" s="578"/>
      <c r="HE30" s="578"/>
      <c r="HF30" s="578"/>
      <c r="HG30" s="578"/>
      <c r="HH30" s="578"/>
      <c r="HI30" s="578"/>
      <c r="HJ30" s="578"/>
      <c r="HK30" s="578"/>
      <c r="HL30" s="578"/>
      <c r="HM30" s="578"/>
      <c r="HN30" s="578"/>
      <c r="HO30" s="578"/>
      <c r="HP30" s="578"/>
      <c r="HQ30" s="578"/>
      <c r="HR30" s="578"/>
      <c r="HS30" s="578"/>
      <c r="HT30" s="578"/>
      <c r="HU30" s="578"/>
      <c r="HV30" s="578"/>
      <c r="HW30" s="578"/>
      <c r="HX30" s="578"/>
      <c r="HY30" s="578"/>
      <c r="HZ30" s="578"/>
      <c r="IA30" s="578"/>
      <c r="IB30" s="578"/>
      <c r="IC30" s="578"/>
      <c r="ID30" s="578"/>
      <c r="IE30" s="578"/>
      <c r="IF30" s="578"/>
      <c r="IG30" s="578"/>
      <c r="IH30" s="578"/>
      <c r="II30" s="578"/>
      <c r="IJ30" s="578"/>
      <c r="IK30" s="578"/>
      <c r="IL30" s="578"/>
      <c r="IM30" s="578"/>
      <c r="IN30" s="578"/>
      <c r="IO30" s="578"/>
      <c r="IP30" s="578"/>
      <c r="IQ30" s="578"/>
      <c r="IR30" s="578"/>
      <c r="IS30" s="578"/>
      <c r="IT30" s="578"/>
      <c r="IU30" s="578"/>
    </row>
    <row r="31" spans="1:255" ht="13">
      <c r="A31" s="578"/>
      <c r="B31" s="1369" t="s">
        <v>1122</v>
      </c>
      <c r="D31" s="598" t="s">
        <v>1150</v>
      </c>
      <c r="E31" s="593"/>
      <c r="F31" s="593"/>
      <c r="G31" s="593"/>
      <c r="H31" s="593"/>
      <c r="I31" s="593"/>
      <c r="J31" s="651">
        <v>18</v>
      </c>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78"/>
      <c r="DE31" s="578"/>
      <c r="DF31" s="578"/>
      <c r="DG31" s="578"/>
      <c r="DH31" s="578"/>
      <c r="DI31" s="578"/>
      <c r="DJ31" s="578"/>
      <c r="DK31" s="578"/>
      <c r="DL31" s="578"/>
      <c r="DM31" s="578"/>
      <c r="DN31" s="578"/>
      <c r="DO31" s="578"/>
      <c r="DP31" s="578"/>
      <c r="DQ31" s="578"/>
      <c r="DR31" s="578"/>
      <c r="DS31" s="578"/>
      <c r="DT31" s="578"/>
      <c r="DU31" s="578"/>
      <c r="DV31" s="578"/>
      <c r="DW31" s="578"/>
      <c r="DX31" s="578"/>
      <c r="DY31" s="578"/>
      <c r="DZ31" s="578"/>
      <c r="EA31" s="578"/>
      <c r="EB31" s="578"/>
      <c r="EC31" s="578"/>
      <c r="ED31" s="578"/>
      <c r="EE31" s="578"/>
      <c r="EF31" s="578"/>
      <c r="EG31" s="578"/>
      <c r="EH31" s="578"/>
      <c r="EI31" s="578"/>
      <c r="EJ31" s="578"/>
      <c r="EK31" s="578"/>
      <c r="EL31" s="578"/>
      <c r="EM31" s="578"/>
      <c r="EN31" s="578"/>
      <c r="EO31" s="578"/>
      <c r="EP31" s="578"/>
      <c r="EQ31" s="578"/>
      <c r="ER31" s="578"/>
      <c r="ES31" s="578"/>
      <c r="ET31" s="578"/>
      <c r="EU31" s="578"/>
      <c r="EV31" s="578"/>
      <c r="EW31" s="578"/>
      <c r="EX31" s="578"/>
      <c r="EY31" s="578"/>
      <c r="EZ31" s="578"/>
      <c r="FA31" s="578"/>
      <c r="FB31" s="578"/>
      <c r="FC31" s="578"/>
      <c r="FD31" s="578"/>
      <c r="FE31" s="578"/>
      <c r="FF31" s="578"/>
      <c r="FG31" s="578"/>
      <c r="FH31" s="578"/>
      <c r="FI31" s="578"/>
      <c r="FJ31" s="578"/>
      <c r="FK31" s="578"/>
      <c r="FL31" s="578"/>
      <c r="FM31" s="578"/>
      <c r="FN31" s="578"/>
      <c r="FO31" s="578"/>
      <c r="FP31" s="578"/>
      <c r="FQ31" s="578"/>
      <c r="FR31" s="578"/>
      <c r="FS31" s="578"/>
      <c r="FT31" s="578"/>
      <c r="FU31" s="578"/>
      <c r="FV31" s="578"/>
      <c r="FW31" s="578"/>
      <c r="FX31" s="578"/>
      <c r="FY31" s="578"/>
      <c r="FZ31" s="578"/>
      <c r="GA31" s="578"/>
      <c r="GB31" s="578"/>
      <c r="GC31" s="578"/>
      <c r="GD31" s="578"/>
      <c r="GE31" s="578"/>
      <c r="GF31" s="578"/>
      <c r="GG31" s="578"/>
      <c r="GH31" s="578"/>
      <c r="GI31" s="578"/>
      <c r="GJ31" s="578"/>
      <c r="GK31" s="578"/>
      <c r="GL31" s="578"/>
      <c r="GM31" s="578"/>
      <c r="GN31" s="578"/>
      <c r="GO31" s="578"/>
      <c r="GP31" s="578"/>
      <c r="GQ31" s="578"/>
      <c r="GR31" s="578"/>
      <c r="GS31" s="578"/>
      <c r="GT31" s="578"/>
      <c r="GU31" s="578"/>
      <c r="GV31" s="578"/>
      <c r="GW31" s="578"/>
      <c r="GX31" s="578"/>
      <c r="GY31" s="578"/>
      <c r="GZ31" s="578"/>
      <c r="HA31" s="578"/>
      <c r="HB31" s="578"/>
      <c r="HC31" s="578"/>
      <c r="HD31" s="578"/>
      <c r="HE31" s="578"/>
      <c r="HF31" s="578"/>
      <c r="HG31" s="578"/>
      <c r="HH31" s="578"/>
      <c r="HI31" s="578"/>
      <c r="HJ31" s="578"/>
      <c r="HK31" s="578"/>
      <c r="HL31" s="578"/>
      <c r="HM31" s="578"/>
      <c r="HN31" s="578"/>
      <c r="HO31" s="578"/>
      <c r="HP31" s="578"/>
      <c r="HQ31" s="578"/>
      <c r="HR31" s="578"/>
      <c r="HS31" s="578"/>
      <c r="HT31" s="578"/>
      <c r="HU31" s="578"/>
      <c r="HV31" s="578"/>
      <c r="HW31" s="578"/>
      <c r="HX31" s="578"/>
      <c r="HY31" s="578"/>
      <c r="HZ31" s="578"/>
      <c r="IA31" s="578"/>
      <c r="IB31" s="578"/>
      <c r="IC31" s="578"/>
      <c r="ID31" s="578"/>
      <c r="IE31" s="578"/>
      <c r="IF31" s="578"/>
      <c r="IG31" s="578"/>
      <c r="IH31" s="578"/>
      <c r="II31" s="578"/>
      <c r="IJ31" s="578"/>
      <c r="IK31" s="578"/>
      <c r="IL31" s="578"/>
      <c r="IM31" s="578"/>
      <c r="IN31" s="578"/>
      <c r="IO31" s="578"/>
      <c r="IP31" s="578"/>
      <c r="IQ31" s="578"/>
      <c r="IR31" s="578"/>
      <c r="IS31" s="578"/>
      <c r="IT31" s="578"/>
      <c r="IU31" s="578"/>
    </row>
    <row r="32" spans="1:255" ht="13">
      <c r="A32" s="578"/>
      <c r="B32" s="1369"/>
      <c r="D32" s="600"/>
      <c r="E32" s="600"/>
      <c r="F32" s="600"/>
      <c r="G32" s="600"/>
      <c r="H32" s="600"/>
      <c r="I32" s="600"/>
      <c r="J32" s="651"/>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c r="BP32" s="578"/>
      <c r="BQ32" s="578"/>
      <c r="BR32" s="578"/>
      <c r="BS32" s="578"/>
      <c r="BT32" s="578"/>
      <c r="BU32" s="578"/>
      <c r="BV32" s="578"/>
      <c r="BW32" s="578"/>
      <c r="BX32" s="578"/>
      <c r="BY32" s="578"/>
      <c r="BZ32" s="578"/>
      <c r="CA32" s="578"/>
      <c r="CB32" s="578"/>
      <c r="CC32" s="578"/>
      <c r="CD32" s="578"/>
      <c r="CE32" s="578"/>
      <c r="CF32" s="578"/>
      <c r="CG32" s="578"/>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c r="DP32" s="578"/>
      <c r="DQ32" s="578"/>
      <c r="DR32" s="578"/>
      <c r="DS32" s="578"/>
      <c r="DT32" s="578"/>
      <c r="DU32" s="578"/>
      <c r="DV32" s="578"/>
      <c r="DW32" s="578"/>
      <c r="DX32" s="578"/>
      <c r="DY32" s="578"/>
      <c r="DZ32" s="578"/>
      <c r="EA32" s="578"/>
      <c r="EB32" s="578"/>
      <c r="EC32" s="578"/>
      <c r="ED32" s="578"/>
      <c r="EE32" s="578"/>
      <c r="EF32" s="578"/>
      <c r="EG32" s="578"/>
      <c r="EH32" s="578"/>
      <c r="EI32" s="578"/>
      <c r="EJ32" s="578"/>
      <c r="EK32" s="578"/>
      <c r="EL32" s="578"/>
      <c r="EM32" s="578"/>
      <c r="EN32" s="578"/>
      <c r="EO32" s="578"/>
      <c r="EP32" s="578"/>
      <c r="EQ32" s="578"/>
      <c r="ER32" s="578"/>
      <c r="ES32" s="578"/>
      <c r="ET32" s="578"/>
      <c r="EU32" s="578"/>
      <c r="EV32" s="578"/>
      <c r="EW32" s="578"/>
      <c r="EX32" s="578"/>
      <c r="EY32" s="578"/>
      <c r="EZ32" s="578"/>
      <c r="FA32" s="578"/>
      <c r="FB32" s="578"/>
      <c r="FC32" s="578"/>
      <c r="FD32" s="578"/>
      <c r="FE32" s="578"/>
      <c r="FF32" s="578"/>
      <c r="FG32" s="578"/>
      <c r="FH32" s="578"/>
      <c r="FI32" s="578"/>
      <c r="FJ32" s="578"/>
      <c r="FK32" s="578"/>
      <c r="FL32" s="578"/>
      <c r="FM32" s="578"/>
      <c r="FN32" s="578"/>
      <c r="FO32" s="578"/>
      <c r="FP32" s="578"/>
      <c r="FQ32" s="578"/>
      <c r="FR32" s="578"/>
      <c r="FS32" s="578"/>
      <c r="FT32" s="578"/>
      <c r="FU32" s="578"/>
      <c r="FV32" s="578"/>
      <c r="FW32" s="578"/>
      <c r="FX32" s="578"/>
      <c r="FY32" s="578"/>
      <c r="FZ32" s="578"/>
      <c r="GA32" s="578"/>
      <c r="GB32" s="578"/>
      <c r="GC32" s="578"/>
      <c r="GD32" s="578"/>
      <c r="GE32" s="578"/>
      <c r="GF32" s="578"/>
      <c r="GG32" s="578"/>
      <c r="GH32" s="578"/>
      <c r="GI32" s="578"/>
      <c r="GJ32" s="578"/>
      <c r="GK32" s="578"/>
      <c r="GL32" s="578"/>
      <c r="GM32" s="578"/>
      <c r="GN32" s="578"/>
      <c r="GO32" s="578"/>
      <c r="GP32" s="578"/>
      <c r="GQ32" s="578"/>
      <c r="GR32" s="578"/>
      <c r="GS32" s="578"/>
      <c r="GT32" s="578"/>
      <c r="GU32" s="578"/>
      <c r="GV32" s="578"/>
      <c r="GW32" s="578"/>
      <c r="GX32" s="578"/>
      <c r="GY32" s="578"/>
      <c r="GZ32" s="578"/>
      <c r="HA32" s="578"/>
      <c r="HB32" s="578"/>
      <c r="HC32" s="578"/>
      <c r="HD32" s="578"/>
      <c r="HE32" s="578"/>
      <c r="HF32" s="578"/>
      <c r="HG32" s="578"/>
      <c r="HH32" s="578"/>
      <c r="HI32" s="578"/>
      <c r="HJ32" s="578"/>
      <c r="HK32" s="578"/>
      <c r="HL32" s="578"/>
      <c r="HM32" s="578"/>
      <c r="HN32" s="578"/>
      <c r="HO32" s="578"/>
      <c r="HP32" s="578"/>
      <c r="HQ32" s="578"/>
      <c r="HR32" s="578"/>
      <c r="HS32" s="578"/>
      <c r="HT32" s="578"/>
      <c r="HU32" s="578"/>
      <c r="HV32" s="578"/>
      <c r="HW32" s="578"/>
      <c r="HX32" s="578"/>
      <c r="HY32" s="578"/>
      <c r="HZ32" s="578"/>
      <c r="IA32" s="578"/>
      <c r="IB32" s="578"/>
      <c r="IC32" s="578"/>
      <c r="ID32" s="578"/>
      <c r="IE32" s="578"/>
      <c r="IF32" s="578"/>
      <c r="IG32" s="578"/>
      <c r="IH32" s="578"/>
      <c r="II32" s="578"/>
      <c r="IJ32" s="578"/>
      <c r="IK32" s="578"/>
      <c r="IL32" s="578"/>
      <c r="IM32" s="578"/>
      <c r="IN32" s="578"/>
      <c r="IO32" s="578"/>
      <c r="IP32" s="578"/>
      <c r="IQ32" s="578"/>
      <c r="IR32" s="578"/>
      <c r="IS32" s="578"/>
      <c r="IT32" s="578"/>
      <c r="IU32" s="578"/>
    </row>
    <row r="33" spans="1:255" ht="13">
      <c r="A33" s="578"/>
      <c r="B33" s="1370"/>
      <c r="D33" s="600"/>
      <c r="E33" s="600"/>
      <c r="F33" s="600"/>
      <c r="G33" s="600"/>
      <c r="H33" s="600"/>
      <c r="I33" s="600"/>
      <c r="J33" s="651"/>
      <c r="M33" s="595"/>
    </row>
    <row r="34" spans="1:255" ht="13">
      <c r="A34" s="578" t="s">
        <v>810</v>
      </c>
      <c r="B34" s="1371"/>
      <c r="C34" s="578"/>
      <c r="D34" s="578"/>
      <c r="E34" s="578"/>
      <c r="F34" s="578"/>
      <c r="G34" s="578"/>
      <c r="H34" s="578"/>
      <c r="I34" s="578"/>
      <c r="J34" s="652"/>
      <c r="M34" s="595"/>
    </row>
    <row r="35" spans="1:255" ht="13">
      <c r="A35" s="578"/>
      <c r="B35" s="1371"/>
      <c r="C35" s="578"/>
      <c r="D35" s="601"/>
      <c r="E35" s="601"/>
      <c r="F35" s="601"/>
      <c r="G35" s="601"/>
      <c r="H35" s="601"/>
      <c r="I35" s="601"/>
      <c r="J35" s="653"/>
      <c r="M35" s="595"/>
    </row>
    <row r="36" spans="1:255" ht="13">
      <c r="A36" s="578"/>
      <c r="B36" s="1374" t="s">
        <v>841</v>
      </c>
      <c r="D36" s="590" t="s">
        <v>862</v>
      </c>
      <c r="E36" s="590"/>
      <c r="F36" s="590"/>
      <c r="G36" s="590"/>
      <c r="H36" s="590"/>
      <c r="I36" s="590"/>
      <c r="J36" s="651">
        <v>20</v>
      </c>
      <c r="M36" s="595"/>
    </row>
    <row r="37" spans="1:255" ht="13">
      <c r="A37" s="578"/>
      <c r="B37" s="1374" t="s">
        <v>811</v>
      </c>
      <c r="D37" s="600" t="s">
        <v>857</v>
      </c>
      <c r="E37" s="600"/>
      <c r="F37" s="600"/>
      <c r="G37" s="600"/>
      <c r="H37" s="600"/>
      <c r="I37" s="600"/>
      <c r="J37" s="651">
        <v>22</v>
      </c>
      <c r="M37" s="595"/>
    </row>
    <row r="38" spans="1:255" ht="13">
      <c r="A38" s="578"/>
      <c r="B38" s="1374" t="s">
        <v>842</v>
      </c>
      <c r="D38" s="597" t="s">
        <v>1280</v>
      </c>
      <c r="E38" s="597"/>
      <c r="F38" s="597"/>
      <c r="G38" s="597"/>
      <c r="H38" s="597"/>
      <c r="I38" s="597"/>
      <c r="J38" s="651">
        <v>24</v>
      </c>
      <c r="M38" s="595"/>
    </row>
    <row r="39" spans="1:255" ht="13">
      <c r="A39" s="578"/>
      <c r="B39" s="1374" t="s">
        <v>843</v>
      </c>
      <c r="D39" s="597" t="s">
        <v>1281</v>
      </c>
      <c r="E39" s="597"/>
      <c r="F39" s="597"/>
      <c r="G39" s="597"/>
      <c r="H39" s="597"/>
      <c r="I39" s="597"/>
      <c r="J39" s="651">
        <v>26</v>
      </c>
      <c r="M39" s="595"/>
    </row>
    <row r="40" spans="1:255" ht="13">
      <c r="A40" s="578"/>
      <c r="B40" s="1369" t="s">
        <v>812</v>
      </c>
      <c r="D40" s="597" t="s">
        <v>1009</v>
      </c>
      <c r="E40" s="597"/>
      <c r="F40" s="597"/>
      <c r="G40" s="597"/>
      <c r="H40" s="597"/>
      <c r="I40" s="597"/>
      <c r="J40" s="651">
        <v>28</v>
      </c>
      <c r="M40" s="595"/>
    </row>
    <row r="41" spans="1:255" ht="13">
      <c r="A41" s="578"/>
      <c r="B41" s="1374" t="s">
        <v>813</v>
      </c>
      <c r="D41" s="597" t="s">
        <v>969</v>
      </c>
      <c r="E41" s="597"/>
      <c r="F41" s="597"/>
      <c r="G41" s="597"/>
      <c r="H41" s="597"/>
      <c r="I41" s="597"/>
      <c r="J41" s="651">
        <v>29</v>
      </c>
      <c r="M41" s="595"/>
    </row>
    <row r="42" spans="1:255" ht="13">
      <c r="A42" s="578"/>
      <c r="B42" s="1374" t="s">
        <v>844</v>
      </c>
      <c r="D42" s="597" t="s">
        <v>1282</v>
      </c>
      <c r="E42" s="597"/>
      <c r="F42" s="597"/>
      <c r="G42" s="597"/>
      <c r="H42" s="597"/>
      <c r="I42" s="597"/>
      <c r="J42" s="651">
        <v>31</v>
      </c>
      <c r="M42" s="595"/>
    </row>
    <row r="43" spans="1:255" ht="13">
      <c r="A43" s="578"/>
      <c r="B43" s="1374" t="s">
        <v>845</v>
      </c>
      <c r="D43" s="597" t="s">
        <v>1283</v>
      </c>
      <c r="E43" s="597"/>
      <c r="F43" s="597"/>
      <c r="G43" s="597"/>
      <c r="H43" s="597"/>
      <c r="I43" s="597"/>
      <c r="J43" s="651">
        <v>33</v>
      </c>
      <c r="M43" s="595"/>
    </row>
    <row r="44" spans="1:255" ht="13">
      <c r="A44" s="578"/>
      <c r="B44" s="1369" t="s">
        <v>814</v>
      </c>
      <c r="D44" s="597" t="s">
        <v>863</v>
      </c>
      <c r="E44" s="597"/>
      <c r="F44" s="597"/>
      <c r="G44" s="597"/>
      <c r="H44" s="597"/>
      <c r="I44" s="597"/>
      <c r="J44" s="651">
        <v>34</v>
      </c>
      <c r="M44" s="595"/>
    </row>
    <row r="45" spans="1:255" ht="13">
      <c r="A45" s="578"/>
      <c r="B45" s="1374" t="s">
        <v>815</v>
      </c>
      <c r="D45" s="597" t="s">
        <v>859</v>
      </c>
      <c r="E45" s="597"/>
      <c r="F45" s="597"/>
      <c r="G45" s="597"/>
      <c r="H45" s="597"/>
      <c r="I45" s="597"/>
      <c r="J45" s="651">
        <v>35</v>
      </c>
      <c r="M45" s="595"/>
    </row>
    <row r="46" spans="1:255" ht="13">
      <c r="A46" s="578"/>
      <c r="B46" s="1369" t="s">
        <v>816</v>
      </c>
      <c r="D46" s="597" t="s">
        <v>860</v>
      </c>
      <c r="E46" s="597"/>
      <c r="F46" s="597"/>
      <c r="G46" s="597"/>
      <c r="H46" s="597"/>
      <c r="I46" s="597"/>
      <c r="J46" s="651">
        <v>36</v>
      </c>
      <c r="M46" s="595"/>
    </row>
    <row r="47" spans="1:255" ht="13">
      <c r="A47" s="578"/>
      <c r="B47" s="1369" t="s">
        <v>817</v>
      </c>
      <c r="D47" s="598" t="s">
        <v>861</v>
      </c>
      <c r="E47" s="598"/>
      <c r="F47" s="598"/>
      <c r="G47" s="598"/>
      <c r="H47" s="598"/>
      <c r="I47" s="598"/>
      <c r="J47" s="651">
        <v>37</v>
      </c>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78"/>
      <c r="AS47" s="578"/>
      <c r="AT47" s="578"/>
      <c r="AU47" s="578"/>
      <c r="AV47" s="578"/>
      <c r="AW47" s="578"/>
      <c r="AX47" s="578"/>
      <c r="AY47" s="578"/>
      <c r="AZ47" s="578"/>
      <c r="BA47" s="578"/>
      <c r="BB47" s="578"/>
      <c r="BC47" s="578"/>
      <c r="BD47" s="578"/>
      <c r="BE47" s="578"/>
      <c r="BF47" s="578"/>
      <c r="BG47" s="578"/>
      <c r="BH47" s="578"/>
      <c r="BI47" s="578"/>
      <c r="BJ47" s="578"/>
      <c r="BK47" s="578"/>
      <c r="BL47" s="578"/>
      <c r="BM47" s="578"/>
      <c r="BN47" s="578"/>
      <c r="BO47" s="578"/>
      <c r="BP47" s="578"/>
      <c r="BQ47" s="578"/>
      <c r="BR47" s="578"/>
      <c r="BS47" s="578"/>
      <c r="BT47" s="578"/>
      <c r="BU47" s="578"/>
      <c r="BV47" s="578"/>
      <c r="BW47" s="578"/>
      <c r="BX47" s="578"/>
      <c r="BY47" s="578"/>
      <c r="BZ47" s="578"/>
      <c r="CA47" s="578"/>
      <c r="CB47" s="578"/>
      <c r="CC47" s="578"/>
      <c r="CD47" s="578"/>
      <c r="CE47" s="578"/>
      <c r="CF47" s="578"/>
      <c r="CG47" s="578"/>
      <c r="CH47" s="578"/>
      <c r="CI47" s="578"/>
      <c r="CJ47" s="578"/>
      <c r="CK47" s="578"/>
      <c r="CL47" s="578"/>
      <c r="CM47" s="578"/>
      <c r="CN47" s="578"/>
      <c r="CO47" s="578"/>
      <c r="CP47" s="578"/>
      <c r="CQ47" s="578"/>
      <c r="CR47" s="578"/>
      <c r="CS47" s="578"/>
      <c r="CT47" s="578"/>
      <c r="CU47" s="578"/>
      <c r="CV47" s="578"/>
      <c r="CW47" s="578"/>
      <c r="CX47" s="578"/>
      <c r="CY47" s="578"/>
      <c r="CZ47" s="578"/>
      <c r="DA47" s="578"/>
      <c r="DB47" s="578"/>
      <c r="DC47" s="578"/>
      <c r="DD47" s="578"/>
      <c r="DE47" s="578"/>
      <c r="DF47" s="578"/>
      <c r="DG47" s="578"/>
      <c r="DH47" s="578"/>
      <c r="DI47" s="578"/>
      <c r="DJ47" s="578"/>
      <c r="DK47" s="578"/>
      <c r="DL47" s="578"/>
      <c r="DM47" s="578"/>
      <c r="DN47" s="578"/>
      <c r="DO47" s="578"/>
      <c r="DP47" s="578"/>
      <c r="DQ47" s="578"/>
      <c r="DR47" s="578"/>
      <c r="DS47" s="578"/>
      <c r="DT47" s="578"/>
      <c r="DU47" s="578"/>
      <c r="DV47" s="578"/>
      <c r="DW47" s="578"/>
      <c r="DX47" s="578"/>
      <c r="DY47" s="578"/>
      <c r="DZ47" s="578"/>
      <c r="EA47" s="578"/>
      <c r="EB47" s="578"/>
      <c r="EC47" s="578"/>
      <c r="ED47" s="578"/>
      <c r="EE47" s="578"/>
      <c r="EF47" s="578"/>
      <c r="EG47" s="578"/>
      <c r="EH47" s="578"/>
      <c r="EI47" s="578"/>
      <c r="EJ47" s="578"/>
      <c r="EK47" s="578"/>
      <c r="EL47" s="578"/>
      <c r="EM47" s="578"/>
      <c r="EN47" s="578"/>
      <c r="EO47" s="578"/>
      <c r="EP47" s="578"/>
      <c r="EQ47" s="578"/>
      <c r="ER47" s="578"/>
      <c r="ES47" s="578"/>
      <c r="ET47" s="578"/>
      <c r="EU47" s="578"/>
      <c r="EV47" s="578"/>
      <c r="EW47" s="578"/>
      <c r="EX47" s="578"/>
      <c r="EY47" s="578"/>
      <c r="EZ47" s="578"/>
      <c r="FA47" s="578"/>
      <c r="FB47" s="578"/>
      <c r="FC47" s="578"/>
      <c r="FD47" s="578"/>
      <c r="FE47" s="578"/>
      <c r="FF47" s="578"/>
      <c r="FG47" s="578"/>
      <c r="FH47" s="578"/>
      <c r="FI47" s="578"/>
      <c r="FJ47" s="578"/>
      <c r="FK47" s="578"/>
      <c r="FL47" s="578"/>
      <c r="FM47" s="578"/>
      <c r="FN47" s="578"/>
      <c r="FO47" s="578"/>
      <c r="FP47" s="578"/>
      <c r="FQ47" s="578"/>
      <c r="FR47" s="578"/>
      <c r="FS47" s="578"/>
      <c r="FT47" s="578"/>
      <c r="FU47" s="578"/>
      <c r="FV47" s="578"/>
      <c r="FW47" s="578"/>
      <c r="FX47" s="578"/>
      <c r="FY47" s="578"/>
      <c r="FZ47" s="578"/>
      <c r="GA47" s="578"/>
      <c r="GB47" s="578"/>
      <c r="GC47" s="578"/>
      <c r="GD47" s="578"/>
      <c r="GE47" s="578"/>
      <c r="GF47" s="578"/>
      <c r="GG47" s="578"/>
      <c r="GH47" s="578"/>
      <c r="GI47" s="578"/>
      <c r="GJ47" s="578"/>
      <c r="GK47" s="578"/>
      <c r="GL47" s="578"/>
      <c r="GM47" s="578"/>
      <c r="GN47" s="578"/>
      <c r="GO47" s="578"/>
      <c r="GP47" s="578"/>
      <c r="GQ47" s="578"/>
      <c r="GR47" s="578"/>
      <c r="GS47" s="578"/>
      <c r="GT47" s="578"/>
      <c r="GU47" s="578"/>
      <c r="GV47" s="578"/>
      <c r="GW47" s="578"/>
      <c r="GX47" s="578"/>
      <c r="GY47" s="578"/>
      <c r="GZ47" s="578"/>
      <c r="HA47" s="578"/>
      <c r="HB47" s="578"/>
      <c r="HC47" s="578"/>
      <c r="HD47" s="578"/>
      <c r="HE47" s="578"/>
      <c r="HF47" s="578"/>
      <c r="HG47" s="578"/>
      <c r="HH47" s="578"/>
      <c r="HI47" s="578"/>
      <c r="HJ47" s="578"/>
      <c r="HK47" s="578"/>
      <c r="HL47" s="578"/>
      <c r="HM47" s="578"/>
      <c r="HN47" s="578"/>
      <c r="HO47" s="578"/>
      <c r="HP47" s="578"/>
      <c r="HQ47" s="578"/>
      <c r="HR47" s="578"/>
      <c r="HS47" s="578"/>
      <c r="HT47" s="578"/>
      <c r="HU47" s="578"/>
      <c r="HV47" s="578"/>
      <c r="HW47" s="578"/>
      <c r="HX47" s="578"/>
      <c r="HY47" s="578"/>
      <c r="HZ47" s="578"/>
      <c r="IA47" s="578"/>
      <c r="IB47" s="578"/>
      <c r="IC47" s="578"/>
      <c r="ID47" s="578"/>
      <c r="IE47" s="578"/>
      <c r="IF47" s="578"/>
      <c r="IG47" s="578"/>
      <c r="IH47" s="578"/>
      <c r="II47" s="578"/>
      <c r="IJ47" s="578"/>
      <c r="IK47" s="578"/>
      <c r="IL47" s="578"/>
      <c r="IM47" s="578"/>
      <c r="IN47" s="578"/>
      <c r="IO47" s="578"/>
      <c r="IP47" s="578"/>
      <c r="IQ47" s="578"/>
      <c r="IR47" s="578"/>
      <c r="IS47" s="578"/>
      <c r="IT47" s="578"/>
      <c r="IU47" s="578"/>
    </row>
    <row r="48" spans="1:255" ht="13">
      <c r="A48" s="578"/>
      <c r="B48" s="1370"/>
      <c r="D48" s="600"/>
      <c r="E48" s="600"/>
      <c r="F48" s="600"/>
      <c r="G48" s="600"/>
      <c r="H48" s="600"/>
      <c r="I48" s="600"/>
      <c r="J48" s="651"/>
      <c r="M48" s="595"/>
    </row>
    <row r="49" spans="1:13" ht="13">
      <c r="A49" s="578" t="s">
        <v>818</v>
      </c>
      <c r="B49" s="1370"/>
      <c r="D49" s="600"/>
      <c r="E49" s="600"/>
      <c r="F49" s="600"/>
      <c r="G49" s="600"/>
      <c r="H49" s="600"/>
      <c r="I49" s="600"/>
      <c r="J49" s="651"/>
      <c r="M49" s="595"/>
    </row>
    <row r="50" spans="1:13" ht="13">
      <c r="A50" s="578"/>
      <c r="B50" s="1371"/>
      <c r="C50" s="578"/>
      <c r="D50" s="601"/>
      <c r="E50" s="601"/>
      <c r="F50" s="601"/>
      <c r="G50" s="601"/>
      <c r="H50" s="601"/>
      <c r="I50" s="601"/>
      <c r="J50" s="652"/>
      <c r="M50" s="595"/>
    </row>
    <row r="51" spans="1:13" ht="13">
      <c r="A51" s="578"/>
      <c r="B51" s="1369" t="s">
        <v>819</v>
      </c>
      <c r="D51" s="600" t="s">
        <v>864</v>
      </c>
      <c r="E51" s="600"/>
      <c r="F51" s="600"/>
      <c r="G51" s="600"/>
      <c r="H51" s="600"/>
      <c r="I51" s="600"/>
      <c r="J51" s="651">
        <v>38</v>
      </c>
      <c r="M51" s="595"/>
    </row>
    <row r="52" spans="1:13" ht="13">
      <c r="A52" s="578"/>
      <c r="B52" s="1369" t="s">
        <v>820</v>
      </c>
      <c r="D52" s="597" t="s">
        <v>865</v>
      </c>
      <c r="E52" s="597"/>
      <c r="F52" s="597"/>
      <c r="G52" s="597"/>
      <c r="H52" s="597"/>
      <c r="I52" s="597"/>
      <c r="J52" s="651">
        <v>41</v>
      </c>
      <c r="M52" s="595"/>
    </row>
    <row r="53" spans="1:13" ht="13">
      <c r="A53" s="578"/>
      <c r="B53" s="1369" t="s">
        <v>821</v>
      </c>
      <c r="D53" s="597" t="s">
        <v>866</v>
      </c>
      <c r="E53" s="597"/>
      <c r="F53" s="597"/>
      <c r="G53" s="597"/>
      <c r="H53" s="597"/>
      <c r="I53" s="597"/>
      <c r="J53" s="651">
        <v>42</v>
      </c>
      <c r="M53" s="595"/>
    </row>
    <row r="54" spans="1:13" ht="13">
      <c r="A54" s="578"/>
      <c r="B54" s="1369" t="s">
        <v>822</v>
      </c>
      <c r="D54" s="597" t="s">
        <v>869</v>
      </c>
      <c r="E54" s="597"/>
      <c r="F54" s="597"/>
      <c r="G54" s="597"/>
      <c r="H54" s="597"/>
      <c r="I54" s="597"/>
      <c r="J54" s="651">
        <v>43</v>
      </c>
      <c r="M54" s="595"/>
    </row>
    <row r="55" spans="1:13" ht="13">
      <c r="A55" s="578"/>
      <c r="B55" s="1369" t="s">
        <v>823</v>
      </c>
      <c r="D55" s="597" t="s">
        <v>867</v>
      </c>
      <c r="E55" s="597"/>
      <c r="F55" s="597"/>
      <c r="G55" s="597"/>
      <c r="H55" s="597"/>
      <c r="I55" s="597"/>
      <c r="J55" s="651">
        <v>44</v>
      </c>
      <c r="K55" s="602"/>
      <c r="M55" s="595"/>
    </row>
    <row r="56" spans="1:13" ht="13">
      <c r="A56" s="578"/>
      <c r="B56" s="1374" t="s">
        <v>824</v>
      </c>
      <c r="D56" s="597" t="s">
        <v>868</v>
      </c>
      <c r="E56" s="597"/>
      <c r="F56" s="597"/>
      <c r="G56" s="597"/>
      <c r="H56" s="597"/>
      <c r="I56" s="597"/>
      <c r="J56" s="651">
        <v>45</v>
      </c>
      <c r="K56" s="588"/>
    </row>
    <row r="57" spans="1:13" ht="13">
      <c r="A57" s="578"/>
      <c r="B57" s="1369" t="s">
        <v>825</v>
      </c>
      <c r="D57" s="598" t="s">
        <v>826</v>
      </c>
      <c r="E57" s="598"/>
      <c r="F57" s="598"/>
      <c r="G57" s="598"/>
      <c r="H57" s="598"/>
      <c r="I57" s="598"/>
      <c r="J57" s="651">
        <v>46</v>
      </c>
      <c r="K57" s="588"/>
    </row>
    <row r="58" spans="1:13" ht="13">
      <c r="A58" s="578"/>
      <c r="B58" s="1372" t="s">
        <v>846</v>
      </c>
      <c r="D58" s="590" t="s">
        <v>827</v>
      </c>
      <c r="E58" s="590"/>
      <c r="F58" s="590"/>
      <c r="G58" s="590"/>
      <c r="H58" s="590"/>
      <c r="I58" s="590"/>
      <c r="J58" s="651">
        <v>47</v>
      </c>
      <c r="K58" s="588"/>
      <c r="M58" s="595"/>
    </row>
    <row r="59" spans="1:13" ht="13">
      <c r="A59" s="578"/>
      <c r="B59" s="1373" t="s">
        <v>847</v>
      </c>
      <c r="D59" s="593" t="s">
        <v>828</v>
      </c>
      <c r="E59" s="593"/>
      <c r="F59" s="593"/>
      <c r="G59" s="593"/>
      <c r="H59" s="593"/>
      <c r="I59" s="593"/>
      <c r="J59" s="651">
        <v>48</v>
      </c>
      <c r="K59" s="588"/>
      <c r="M59" s="595"/>
    </row>
    <row r="60" spans="1:13" ht="13">
      <c r="A60" s="578"/>
      <c r="B60" s="1373" t="s">
        <v>848</v>
      </c>
      <c r="D60" s="603" t="s">
        <v>829</v>
      </c>
      <c r="E60" s="593"/>
      <c r="F60" s="603"/>
      <c r="G60" s="593"/>
      <c r="H60" s="593"/>
      <c r="I60" s="593"/>
      <c r="J60" s="651">
        <v>49</v>
      </c>
      <c r="K60" s="588"/>
      <c r="M60" s="595"/>
    </row>
    <row r="61" spans="1:13" ht="13">
      <c r="A61" s="578"/>
      <c r="B61" s="1373" t="s">
        <v>849</v>
      </c>
      <c r="D61" s="593" t="s">
        <v>830</v>
      </c>
      <c r="E61" s="593"/>
      <c r="F61" s="593"/>
      <c r="G61" s="593"/>
      <c r="H61" s="593"/>
      <c r="I61" s="593"/>
      <c r="J61" s="651">
        <v>50</v>
      </c>
      <c r="K61" s="600"/>
      <c r="M61" s="595"/>
    </row>
    <row r="62" spans="1:13" ht="13">
      <c r="A62" s="578"/>
      <c r="B62" s="1633" t="s">
        <v>850</v>
      </c>
      <c r="D62" s="593" t="s">
        <v>1284</v>
      </c>
      <c r="E62" s="593"/>
      <c r="F62" s="593"/>
      <c r="G62" s="593"/>
      <c r="H62" s="594"/>
      <c r="I62" s="593"/>
      <c r="J62" s="651">
        <v>51</v>
      </c>
      <c r="K62" s="600"/>
      <c r="M62" s="595"/>
    </row>
    <row r="63" spans="1:13" ht="13">
      <c r="A63" s="578"/>
      <c r="B63" s="1633" t="s">
        <v>851</v>
      </c>
      <c r="D63" s="593" t="s">
        <v>831</v>
      </c>
      <c r="E63" s="593"/>
      <c r="F63" s="593"/>
      <c r="G63" s="593"/>
      <c r="H63" s="594"/>
      <c r="I63" s="593"/>
      <c r="J63" s="651">
        <v>52</v>
      </c>
      <c r="K63" s="600"/>
      <c r="M63" s="595"/>
    </row>
    <row r="64" spans="1:13" ht="13">
      <c r="A64" s="578"/>
      <c r="B64" s="1374" t="s">
        <v>852</v>
      </c>
      <c r="D64" s="593" t="s">
        <v>1224</v>
      </c>
      <c r="E64" s="593"/>
      <c r="F64" s="593"/>
      <c r="G64" s="593"/>
      <c r="H64" s="594"/>
      <c r="I64" s="593"/>
      <c r="J64" s="651">
        <v>56</v>
      </c>
      <c r="K64" s="600"/>
      <c r="M64" s="595"/>
    </row>
    <row r="65" spans="1:13" ht="13.4" customHeight="1">
      <c r="A65" s="578"/>
      <c r="B65" s="1374" t="s">
        <v>1424</v>
      </c>
      <c r="D65" s="593" t="s">
        <v>1454</v>
      </c>
      <c r="E65" s="593"/>
      <c r="F65" s="593"/>
      <c r="G65" s="593"/>
      <c r="H65" s="594"/>
      <c r="I65" s="593"/>
      <c r="J65" s="651">
        <v>57</v>
      </c>
      <c r="K65" s="600"/>
      <c r="M65" s="595"/>
    </row>
    <row r="66" spans="1:13" ht="13.4" customHeight="1">
      <c r="A66" s="578"/>
      <c r="B66" s="1374" t="s">
        <v>1425</v>
      </c>
      <c r="D66" s="593" t="s">
        <v>1455</v>
      </c>
      <c r="E66" s="593"/>
      <c r="F66" s="593"/>
      <c r="G66" s="593"/>
      <c r="H66" s="594"/>
      <c r="I66" s="593"/>
      <c r="J66" s="651">
        <v>58</v>
      </c>
      <c r="K66" s="600"/>
      <c r="M66" s="595"/>
    </row>
    <row r="67" spans="1:13" ht="13.4" customHeight="1">
      <c r="A67" s="578"/>
      <c r="B67" s="604"/>
      <c r="D67" s="605"/>
      <c r="E67" s="605"/>
      <c r="F67" s="605"/>
      <c r="G67" s="605"/>
      <c r="H67" s="605"/>
      <c r="I67" s="605"/>
      <c r="J67" s="592"/>
      <c r="K67" s="600"/>
      <c r="M67" s="595"/>
    </row>
    <row r="68" spans="1:13" ht="13.4" customHeight="1">
      <c r="A68" s="578"/>
      <c r="B68" s="604"/>
      <c r="D68" s="605"/>
      <c r="E68" s="605"/>
      <c r="F68" s="605"/>
      <c r="G68" s="605"/>
      <c r="H68" s="605"/>
      <c r="I68" s="605"/>
      <c r="J68" s="592"/>
      <c r="K68" s="600"/>
      <c r="M68" s="595"/>
    </row>
    <row r="69" spans="1:13" ht="13.4" customHeight="1">
      <c r="A69" s="578"/>
      <c r="B69" s="604"/>
      <c r="D69" s="605"/>
      <c r="E69" s="605"/>
      <c r="F69" s="605"/>
      <c r="G69" s="605"/>
      <c r="H69" s="605"/>
      <c r="I69" s="605"/>
      <c r="J69" s="592"/>
      <c r="K69" s="600"/>
      <c r="M69" s="595"/>
    </row>
    <row r="70" spans="1:13" ht="13.4" customHeight="1">
      <c r="A70" s="578"/>
      <c r="B70" s="604"/>
      <c r="D70" s="605"/>
      <c r="E70" s="605"/>
      <c r="F70" s="605"/>
      <c r="G70" s="605"/>
      <c r="H70" s="605"/>
      <c r="I70" s="605"/>
      <c r="J70" s="592"/>
      <c r="K70" s="600"/>
      <c r="M70" s="595"/>
    </row>
    <row r="71" spans="1:13" ht="13.4" customHeight="1">
      <c r="A71" s="578"/>
      <c r="B71" s="604"/>
      <c r="D71" s="605"/>
      <c r="E71" s="605"/>
      <c r="F71" s="605"/>
      <c r="G71" s="605"/>
      <c r="H71" s="605"/>
      <c r="I71" s="605"/>
      <c r="J71" s="592"/>
      <c r="K71" s="600"/>
      <c r="M71" s="595"/>
    </row>
    <row r="72" spans="1:13" ht="13.4" customHeight="1">
      <c r="A72" s="578"/>
      <c r="B72" s="604"/>
      <c r="D72" s="605"/>
      <c r="E72" s="605"/>
      <c r="F72" s="605"/>
      <c r="G72" s="605"/>
      <c r="H72" s="605"/>
      <c r="I72" s="605"/>
      <c r="J72" s="592"/>
      <c r="K72" s="600"/>
      <c r="M72" s="595"/>
    </row>
    <row r="73" spans="1:13" ht="13.4" customHeight="1">
      <c r="A73" s="578"/>
      <c r="B73" s="604"/>
      <c r="D73" s="605"/>
      <c r="E73" s="605"/>
      <c r="F73" s="605"/>
      <c r="G73" s="605"/>
      <c r="H73" s="605"/>
      <c r="I73" s="605"/>
      <c r="J73" s="592"/>
      <c r="K73" s="600"/>
      <c r="M73" s="595"/>
    </row>
    <row r="74" spans="1:13" ht="13.4" customHeight="1">
      <c r="A74" s="578"/>
      <c r="B74" s="604"/>
      <c r="D74" s="605"/>
      <c r="E74" s="605"/>
      <c r="F74" s="605"/>
      <c r="G74" s="605"/>
      <c r="H74" s="605"/>
      <c r="I74" s="605"/>
      <c r="J74" s="592"/>
      <c r="K74" s="600"/>
      <c r="M74" s="595"/>
    </row>
    <row r="75" spans="1:13" ht="13.4" customHeight="1">
      <c r="A75" s="578"/>
      <c r="B75" s="604"/>
      <c r="D75" s="605"/>
      <c r="E75" s="605"/>
      <c r="F75" s="605"/>
      <c r="G75" s="605"/>
      <c r="H75" s="605"/>
      <c r="I75" s="605"/>
      <c r="J75" s="592"/>
      <c r="K75" s="600"/>
      <c r="M75" s="595"/>
    </row>
    <row r="76" spans="1:13" ht="13.4" customHeight="1">
      <c r="A76" s="578"/>
      <c r="B76" s="604"/>
      <c r="D76" s="605"/>
      <c r="E76" s="605"/>
      <c r="F76" s="605"/>
      <c r="G76" s="605"/>
      <c r="H76" s="605"/>
      <c r="I76" s="605"/>
      <c r="J76" s="592"/>
      <c r="K76" s="600"/>
      <c r="M76" s="595"/>
    </row>
    <row r="77" spans="1:13" ht="13.4" customHeight="1">
      <c r="A77" s="578"/>
      <c r="B77" s="604"/>
      <c r="D77" s="605"/>
      <c r="E77" s="605"/>
      <c r="F77" s="605"/>
      <c r="G77" s="605"/>
      <c r="H77" s="605"/>
      <c r="I77" s="605"/>
      <c r="J77" s="592"/>
      <c r="K77" s="600"/>
      <c r="M77" s="595"/>
    </row>
    <row r="78" spans="1:13" ht="13.4" customHeight="1">
      <c r="A78" s="578"/>
      <c r="B78" s="604"/>
      <c r="D78" s="605"/>
      <c r="E78" s="605"/>
      <c r="F78" s="605"/>
      <c r="G78" s="605"/>
      <c r="H78" s="605"/>
      <c r="I78" s="605"/>
      <c r="J78" s="592"/>
      <c r="K78" s="600"/>
      <c r="M78" s="595"/>
    </row>
    <row r="79" spans="1:13" ht="13.4" customHeight="1">
      <c r="A79" s="578"/>
      <c r="B79" s="604"/>
      <c r="D79" s="605"/>
      <c r="E79" s="605"/>
      <c r="F79" s="605"/>
      <c r="G79" s="605"/>
      <c r="H79" s="605"/>
      <c r="I79" s="605"/>
      <c r="J79" s="592"/>
      <c r="K79" s="600"/>
      <c r="M79" s="595"/>
    </row>
    <row r="80" spans="1:13" ht="13.4" customHeight="1">
      <c r="A80" s="578"/>
      <c r="B80" s="604"/>
      <c r="D80" s="605"/>
      <c r="E80" s="605"/>
      <c r="F80" s="605"/>
      <c r="G80" s="605"/>
      <c r="H80" s="605"/>
      <c r="I80" s="605"/>
      <c r="J80" s="592"/>
      <c r="K80" s="600"/>
      <c r="M80" s="595"/>
    </row>
    <row r="81" spans="1:13" ht="13.4" customHeight="1">
      <c r="A81" s="578"/>
      <c r="B81" s="604"/>
      <c r="D81" s="605"/>
      <c r="E81" s="605"/>
      <c r="F81" s="605"/>
      <c r="G81" s="605"/>
      <c r="H81" s="605"/>
      <c r="I81" s="605"/>
      <c r="J81" s="592"/>
      <c r="K81" s="600"/>
      <c r="M81" s="595"/>
    </row>
    <row r="82" spans="1:13" ht="13.4" customHeight="1">
      <c r="A82" s="578"/>
      <c r="B82" s="604"/>
      <c r="D82" s="605"/>
      <c r="E82" s="605"/>
      <c r="F82" s="605"/>
      <c r="G82" s="605"/>
      <c r="H82" s="605"/>
      <c r="I82" s="605"/>
      <c r="J82" s="592"/>
      <c r="K82" s="600"/>
      <c r="M82" s="595"/>
    </row>
    <row r="83" spans="1:13" ht="13.4" customHeight="1">
      <c r="A83" s="578"/>
      <c r="B83" s="604"/>
      <c r="D83" s="605"/>
      <c r="E83" s="605"/>
      <c r="F83" s="605"/>
      <c r="G83" s="605"/>
      <c r="H83" s="605"/>
      <c r="I83" s="605"/>
      <c r="J83" s="592"/>
      <c r="K83" s="600"/>
      <c r="M83" s="595"/>
    </row>
    <row r="84" spans="1:13" ht="13.4" customHeight="1">
      <c r="A84" s="578"/>
      <c r="B84" s="604"/>
      <c r="D84" s="605"/>
      <c r="E84" s="605"/>
      <c r="F84" s="605"/>
      <c r="G84" s="605"/>
      <c r="H84" s="605"/>
      <c r="I84" s="605"/>
      <c r="J84" s="592"/>
      <c r="K84" s="600"/>
      <c r="M84" s="595"/>
    </row>
    <row r="85" spans="1:13" ht="13.4" customHeight="1">
      <c r="A85" s="578"/>
      <c r="B85" s="604"/>
      <c r="D85" s="605"/>
      <c r="E85" s="605"/>
      <c r="F85" s="605"/>
      <c r="G85" s="605"/>
      <c r="H85" s="605"/>
      <c r="I85" s="605"/>
      <c r="J85" s="592"/>
      <c r="K85" s="600"/>
      <c r="M85" s="595"/>
    </row>
    <row r="86" spans="1:13" ht="13.4" customHeight="1">
      <c r="A86" s="578"/>
      <c r="B86" s="604"/>
      <c r="D86" s="605"/>
      <c r="E86" s="605"/>
      <c r="F86" s="605"/>
      <c r="G86" s="605"/>
      <c r="H86" s="605"/>
      <c r="I86" s="605"/>
      <c r="J86" s="592"/>
      <c r="K86" s="600"/>
      <c r="M86" s="595"/>
    </row>
    <row r="87" spans="1:13" ht="13.4" customHeight="1">
      <c r="A87" s="578"/>
      <c r="B87" s="604"/>
      <c r="D87" s="605"/>
      <c r="E87" s="605"/>
      <c r="F87" s="605"/>
      <c r="G87" s="605"/>
      <c r="H87" s="605"/>
      <c r="I87" s="605"/>
      <c r="J87" s="592"/>
      <c r="K87" s="600"/>
      <c r="M87" s="595"/>
    </row>
    <row r="88" spans="1:13" ht="13.4" customHeight="1">
      <c r="A88" s="578"/>
      <c r="B88" s="604"/>
      <c r="D88" s="605"/>
      <c r="E88" s="605"/>
      <c r="F88" s="605"/>
      <c r="G88" s="605"/>
      <c r="H88" s="605"/>
      <c r="I88" s="605"/>
      <c r="J88" s="592"/>
      <c r="K88" s="600"/>
      <c r="M88" s="595"/>
    </row>
    <row r="89" spans="1:13" ht="13.4" customHeight="1">
      <c r="A89" s="578"/>
      <c r="B89" s="604"/>
      <c r="D89" s="605"/>
      <c r="E89" s="605"/>
      <c r="F89" s="605"/>
      <c r="G89" s="605"/>
      <c r="H89" s="605"/>
      <c r="I89" s="605"/>
      <c r="J89" s="592"/>
      <c r="K89" s="600"/>
      <c r="M89" s="595"/>
    </row>
    <row r="90" spans="1:13" ht="13.4" customHeight="1">
      <c r="A90" s="578"/>
      <c r="B90" s="604"/>
      <c r="D90" s="605"/>
      <c r="E90" s="605"/>
      <c r="F90" s="605"/>
      <c r="G90" s="605"/>
      <c r="H90" s="605"/>
      <c r="I90" s="605"/>
      <c r="J90" s="592"/>
      <c r="K90" s="600"/>
      <c r="M90" s="595"/>
    </row>
    <row r="91" spans="1:13" ht="13.4" customHeight="1">
      <c r="A91" s="578"/>
      <c r="B91" s="604"/>
      <c r="D91" s="605"/>
      <c r="E91" s="605"/>
      <c r="F91" s="605"/>
      <c r="G91" s="605"/>
      <c r="H91" s="605"/>
      <c r="I91" s="605"/>
      <c r="J91" s="592"/>
      <c r="K91" s="600"/>
      <c r="M91" s="595"/>
    </row>
    <row r="92" spans="1:13" ht="13.4" customHeight="1">
      <c r="A92" s="578"/>
      <c r="B92" s="604"/>
      <c r="D92" s="605"/>
      <c r="E92" s="605"/>
      <c r="F92" s="605"/>
      <c r="G92" s="605"/>
      <c r="H92" s="605"/>
      <c r="I92" s="605"/>
      <c r="J92" s="592"/>
      <c r="M92" s="595"/>
    </row>
    <row r="93" spans="1:13" ht="13.4" customHeight="1">
      <c r="A93" s="578"/>
      <c r="B93" s="604"/>
      <c r="D93" s="605"/>
      <c r="E93" s="605"/>
      <c r="F93" s="605"/>
      <c r="G93" s="605"/>
      <c r="H93" s="605"/>
      <c r="I93" s="605"/>
      <c r="J93" s="592"/>
      <c r="M93" s="595"/>
    </row>
    <row r="94" spans="1:13" ht="13.4" customHeight="1">
      <c r="A94" s="578"/>
      <c r="B94" s="604"/>
      <c r="D94" s="605"/>
      <c r="E94" s="605"/>
      <c r="F94" s="605"/>
      <c r="G94" s="605"/>
      <c r="H94" s="605"/>
      <c r="I94" s="605"/>
      <c r="J94" s="592"/>
      <c r="M94" s="595"/>
    </row>
    <row r="95" spans="1:13" ht="13.4" customHeight="1">
      <c r="A95" s="578"/>
      <c r="B95" s="604"/>
      <c r="D95" s="605"/>
      <c r="E95" s="605"/>
      <c r="F95" s="605"/>
      <c r="G95" s="605"/>
      <c r="H95" s="605"/>
      <c r="I95" s="605"/>
      <c r="J95" s="592"/>
      <c r="M95" s="595"/>
    </row>
    <row r="96" spans="1:13" ht="13.4" customHeight="1">
      <c r="A96" s="578"/>
      <c r="B96" s="604"/>
      <c r="D96" s="605"/>
      <c r="E96" s="605"/>
      <c r="F96" s="605"/>
      <c r="G96" s="605"/>
      <c r="H96" s="605"/>
      <c r="I96" s="605"/>
      <c r="J96" s="592"/>
      <c r="M96" s="595"/>
    </row>
    <row r="97" spans="1:13" ht="13.4" customHeight="1">
      <c r="A97" s="578"/>
      <c r="B97" s="604"/>
      <c r="D97" s="605"/>
      <c r="E97" s="605"/>
      <c r="F97" s="605"/>
      <c r="G97" s="605"/>
      <c r="H97" s="605"/>
      <c r="I97" s="605"/>
      <c r="J97" s="592"/>
      <c r="M97" s="595"/>
    </row>
    <row r="98" spans="1:13" ht="13.4" customHeight="1">
      <c r="A98" s="578"/>
      <c r="B98" s="604"/>
      <c r="D98" s="605"/>
      <c r="E98" s="605"/>
      <c r="F98" s="605"/>
      <c r="G98" s="605"/>
      <c r="H98" s="605"/>
      <c r="I98" s="605"/>
      <c r="J98" s="592"/>
      <c r="M98" s="595"/>
    </row>
    <row r="99" spans="1:13" ht="13.4" customHeight="1">
      <c r="A99" s="578"/>
      <c r="B99" s="604"/>
      <c r="D99" s="605"/>
      <c r="E99" s="605"/>
      <c r="F99" s="605"/>
      <c r="G99" s="605"/>
      <c r="H99" s="605"/>
      <c r="I99" s="605"/>
      <c r="J99" s="592"/>
      <c r="M99" s="595"/>
    </row>
    <row r="100" spans="1:13" ht="13.4" customHeight="1">
      <c r="A100" s="578"/>
      <c r="B100" s="604"/>
      <c r="D100" s="605"/>
      <c r="E100" s="605"/>
      <c r="F100" s="605"/>
      <c r="G100" s="605"/>
      <c r="H100" s="605"/>
      <c r="I100" s="605"/>
      <c r="J100" s="592"/>
      <c r="M100" s="595"/>
    </row>
    <row r="101" spans="1:13">
      <c r="A101" s="600"/>
      <c r="B101" s="606"/>
      <c r="C101" s="600"/>
      <c r="D101" s="600"/>
      <c r="E101" s="600"/>
      <c r="F101" s="600"/>
      <c r="G101" s="600"/>
      <c r="H101" s="600"/>
      <c r="I101" s="600"/>
      <c r="J101" s="608"/>
    </row>
    <row r="102" spans="1:13">
      <c r="B102" s="604"/>
      <c r="J102" s="607"/>
    </row>
    <row r="103" spans="1:13">
      <c r="B103" s="604"/>
      <c r="J103" s="607"/>
    </row>
    <row r="104" spans="1:13">
      <c r="B104" s="604"/>
    </row>
    <row r="105" spans="1:13">
      <c r="B105" s="604"/>
    </row>
    <row r="106" spans="1:13">
      <c r="B106" s="604"/>
    </row>
    <row r="107" spans="1:13">
      <c r="B107" s="604"/>
    </row>
    <row r="108" spans="1:13">
      <c r="B108" s="604"/>
    </row>
    <row r="109" spans="1:13">
      <c r="B109" s="604"/>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zoomScaleNormal="70" workbookViewId="0"/>
  </sheetViews>
  <sheetFormatPr defaultColWidth="8.69140625" defaultRowHeight="15.5"/>
  <cols>
    <col min="1" max="1" width="50.07421875" style="929" customWidth="1"/>
    <col min="2" max="2" width="3.69140625" style="620" customWidth="1"/>
    <col min="3" max="3" width="16.69140625" style="620" customWidth="1"/>
    <col min="4" max="4" width="1.53515625" style="620" customWidth="1"/>
    <col min="5" max="5" width="16.4609375" style="422" customWidth="1"/>
    <col min="6" max="6" width="3.07421875" style="933" customWidth="1"/>
    <col min="7" max="7" width="14.07421875" style="933" customWidth="1"/>
    <col min="8" max="8" width="2.07421875" style="933" customWidth="1"/>
    <col min="9" max="9" width="14.07421875" style="933" customWidth="1"/>
    <col min="10" max="10" width="1.07421875" style="933" customWidth="1"/>
    <col min="11" max="11" width="14.07421875" style="933" customWidth="1"/>
    <col min="12" max="12" width="1.07421875" style="933" customWidth="1"/>
    <col min="13" max="13" width="16.07421875" style="933" customWidth="1"/>
    <col min="14" max="14" width="1.53515625" style="620" customWidth="1"/>
    <col min="15" max="15" width="12.53515625" style="620" customWidth="1"/>
    <col min="16" max="16" width="11.4609375" style="620" customWidth="1"/>
    <col min="17" max="17" width="1.69140625" style="620" customWidth="1"/>
    <col min="18" max="18" width="11.69140625" style="620" customWidth="1"/>
    <col min="19" max="19" width="2.07421875" style="620" customWidth="1"/>
    <col min="20" max="20" width="11.4609375" style="620" customWidth="1"/>
    <col min="21" max="21" width="0.53515625" style="620" customWidth="1"/>
    <col min="22" max="22" width="2.07421875" style="620" customWidth="1"/>
    <col min="23" max="23" width="10.53515625" style="620" customWidth="1"/>
    <col min="24" max="24" width="11.07421875" style="620" customWidth="1"/>
    <col min="25" max="25" width="2.07421875" style="620" customWidth="1"/>
    <col min="26" max="26" width="11.07421875" style="620" customWidth="1"/>
    <col min="27" max="27" width="2.07421875" style="620" customWidth="1"/>
    <col min="28" max="28" width="12.4609375" style="620" customWidth="1"/>
    <col min="29" max="33" width="8.69140625" style="620"/>
    <col min="34" max="34" width="8.69140625" style="933"/>
    <col min="35" max="16384" width="8.69140625" style="929"/>
  </cols>
  <sheetData>
    <row r="1" spans="1:28">
      <c r="A1" s="642" t="s">
        <v>963</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7.25" customHeight="1">
      <c r="A3" s="188" t="s">
        <v>0</v>
      </c>
      <c r="B3" s="153"/>
      <c r="C3" s="153"/>
      <c r="D3" s="153"/>
      <c r="E3" s="419"/>
      <c r="F3" s="140"/>
      <c r="G3" s="140"/>
      <c r="H3" s="140"/>
      <c r="I3" s="140"/>
      <c r="J3" s="140"/>
      <c r="K3" s="140"/>
      <c r="L3" s="140"/>
      <c r="M3" s="820"/>
      <c r="N3" s="140"/>
      <c r="O3" s="820" t="s">
        <v>83</v>
      </c>
      <c r="P3" s="153"/>
      <c r="Q3" s="153"/>
      <c r="R3" s="153"/>
      <c r="S3" s="153"/>
      <c r="T3" s="153"/>
      <c r="U3" s="153"/>
      <c r="V3" s="153"/>
      <c r="W3" s="153"/>
      <c r="X3" s="153"/>
      <c r="Y3" s="153"/>
      <c r="Z3" s="153"/>
      <c r="AA3" s="153"/>
      <c r="AB3" s="189"/>
    </row>
    <row r="4" spans="1:28" ht="17.25" customHeight="1">
      <c r="A4" s="188" t="s">
        <v>82</v>
      </c>
      <c r="B4" s="153"/>
      <c r="C4" s="153"/>
      <c r="D4" s="153"/>
      <c r="E4" s="419"/>
      <c r="F4" s="140"/>
      <c r="G4" s="140"/>
      <c r="H4" s="140"/>
      <c r="I4" s="140"/>
      <c r="J4" s="140"/>
      <c r="K4" s="140"/>
      <c r="L4" s="140"/>
      <c r="M4" s="821"/>
      <c r="N4" s="140"/>
      <c r="O4" s="821"/>
      <c r="P4" s="153"/>
      <c r="Q4" s="153"/>
      <c r="R4" s="153"/>
      <c r="S4" s="153"/>
      <c r="T4" s="153"/>
      <c r="U4" s="153"/>
      <c r="V4" s="153"/>
      <c r="W4" s="153"/>
      <c r="X4" s="153"/>
      <c r="Y4" s="153"/>
      <c r="Z4" s="153"/>
      <c r="AA4" s="153"/>
      <c r="AB4" s="153"/>
    </row>
    <row r="5" spans="1:28" ht="17.25" customHeight="1">
      <c r="A5" s="3923" t="str">
        <f>'Exh D-Governmental  '!A5:E5</f>
        <v>FISCAL YEAR 2020-2021</v>
      </c>
      <c r="B5" s="3924"/>
      <c r="C5" s="3924"/>
      <c r="D5" s="3924"/>
      <c r="E5" s="3924"/>
      <c r="F5" s="140"/>
      <c r="G5" s="140"/>
      <c r="H5" s="140"/>
      <c r="I5" s="140"/>
      <c r="J5" s="140"/>
      <c r="K5" s="140"/>
      <c r="L5" s="140"/>
      <c r="M5" s="140"/>
      <c r="N5" s="140"/>
      <c r="O5" s="153"/>
      <c r="P5" s="153"/>
      <c r="Q5" s="153"/>
      <c r="R5" s="153"/>
      <c r="S5" s="153"/>
      <c r="T5" s="153"/>
      <c r="U5" s="153"/>
      <c r="V5" s="153"/>
      <c r="W5" s="153"/>
      <c r="X5" s="153"/>
      <c r="Y5" s="153"/>
      <c r="Z5" s="153"/>
      <c r="AA5" s="153"/>
      <c r="AB5" s="153"/>
    </row>
    <row r="6" spans="1:28" ht="17.25" customHeight="1">
      <c r="A6" s="1471" t="str">
        <f>+'Exh D-Governmental  '!A6</f>
        <v xml:space="preserve">FOR SEVEN MONTHS ENDED OCTOBER 31, 2020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8">
      <c r="A7" s="188" t="s">
        <v>1366</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c r="A11" s="688"/>
      <c r="C11" s="1174"/>
      <c r="D11" s="1174"/>
      <c r="E11" s="1196"/>
      <c r="F11" s="1176"/>
      <c r="G11" s="1415" t="s">
        <v>1128</v>
      </c>
      <c r="H11" s="1636"/>
      <c r="I11" s="1415"/>
      <c r="J11" s="1636"/>
      <c r="K11" s="1636"/>
      <c r="L11" s="1176"/>
      <c r="M11" s="1176"/>
      <c r="N11" s="1179"/>
      <c r="O11" s="1173"/>
      <c r="P11" s="191"/>
      <c r="Q11" s="191"/>
      <c r="R11" s="191"/>
      <c r="S11" s="191"/>
      <c r="T11" s="191"/>
      <c r="U11" s="191"/>
      <c r="V11" s="148"/>
      <c r="W11" s="191"/>
      <c r="X11" s="192"/>
      <c r="Y11" s="191"/>
      <c r="Z11" s="191"/>
      <c r="AA11" s="191"/>
      <c r="AB11" s="191"/>
    </row>
    <row r="12" spans="1:28">
      <c r="A12" s="688"/>
      <c r="E12" s="423"/>
      <c r="F12" s="193"/>
      <c r="G12" s="194"/>
      <c r="H12" s="194"/>
      <c r="I12" s="194"/>
      <c r="J12" s="194"/>
      <c r="K12" s="194"/>
      <c r="L12" s="193"/>
      <c r="M12" s="193" t="s">
        <v>84</v>
      </c>
      <c r="N12" s="148"/>
      <c r="O12" s="193" t="s">
        <v>84</v>
      </c>
      <c r="P12" s="191"/>
      <c r="Q12" s="191"/>
      <c r="R12" s="191"/>
      <c r="S12" s="191"/>
      <c r="T12" s="191"/>
      <c r="U12" s="191"/>
      <c r="V12" s="148"/>
      <c r="W12" s="191"/>
      <c r="X12" s="192"/>
      <c r="Y12" s="191"/>
      <c r="Z12" s="191"/>
      <c r="AA12" s="191"/>
      <c r="AB12" s="191"/>
    </row>
    <row r="13" spans="1:28">
      <c r="A13" s="688"/>
      <c r="E13" s="423"/>
      <c r="F13" s="193"/>
      <c r="G13" s="194"/>
      <c r="H13" s="194"/>
      <c r="I13" s="194"/>
      <c r="J13" s="194"/>
      <c r="K13" s="194"/>
      <c r="L13" s="193"/>
      <c r="M13" s="196" t="s">
        <v>874</v>
      </c>
      <c r="N13" s="148"/>
      <c r="O13" s="196" t="s">
        <v>874</v>
      </c>
      <c r="P13" s="191"/>
      <c r="Q13" s="191"/>
      <c r="R13" s="191"/>
      <c r="S13" s="191"/>
      <c r="T13" s="191"/>
      <c r="U13" s="191"/>
      <c r="V13" s="148"/>
      <c r="W13" s="191"/>
      <c r="X13" s="192"/>
      <c r="Y13" s="191"/>
      <c r="Z13" s="191"/>
      <c r="AA13" s="191"/>
      <c r="AB13" s="191"/>
    </row>
    <row r="14" spans="1:28">
      <c r="A14" s="688"/>
      <c r="B14" s="148"/>
      <c r="C14" s="151" t="s">
        <v>1075</v>
      </c>
      <c r="D14" s="148"/>
      <c r="E14" s="150" t="s">
        <v>1076</v>
      </c>
      <c r="F14" s="195"/>
      <c r="G14" s="195"/>
      <c r="H14" s="195"/>
      <c r="I14" s="195"/>
      <c r="J14" s="195"/>
      <c r="K14" s="195"/>
      <c r="L14" s="195"/>
      <c r="M14" s="150" t="s">
        <v>85</v>
      </c>
      <c r="N14" s="148"/>
      <c r="O14" s="150" t="s">
        <v>85</v>
      </c>
      <c r="P14" s="148"/>
      <c r="Q14" s="148"/>
      <c r="R14" s="148"/>
      <c r="S14" s="148"/>
      <c r="T14" s="197"/>
      <c r="U14" s="198"/>
      <c r="V14" s="148"/>
      <c r="W14" s="148"/>
      <c r="X14" s="148"/>
      <c r="Y14" s="148"/>
      <c r="Z14" s="148"/>
      <c r="AA14" s="148"/>
      <c r="AB14" s="197"/>
    </row>
    <row r="15" spans="1:28">
      <c r="A15" s="688"/>
      <c r="B15" s="199"/>
      <c r="C15" s="150" t="s">
        <v>1112</v>
      </c>
      <c r="D15" s="199"/>
      <c r="E15" s="150" t="s">
        <v>1112</v>
      </c>
      <c r="F15" s="149"/>
      <c r="G15" s="149"/>
      <c r="H15" s="149"/>
      <c r="I15" s="149"/>
      <c r="J15" s="149"/>
      <c r="K15" s="149"/>
      <c r="L15" s="149"/>
      <c r="M15" s="150" t="s">
        <v>1075</v>
      </c>
      <c r="N15" s="148"/>
      <c r="O15" s="150" t="s">
        <v>1076</v>
      </c>
      <c r="P15" s="198"/>
      <c r="Q15" s="148"/>
      <c r="R15" s="148"/>
      <c r="S15" s="148"/>
      <c r="T15" s="197"/>
      <c r="U15" s="198"/>
      <c r="V15" s="148"/>
      <c r="W15" s="197"/>
      <c r="X15" s="198"/>
      <c r="Y15" s="148"/>
      <c r="Z15" s="148"/>
      <c r="AA15" s="148"/>
      <c r="AB15" s="197"/>
    </row>
    <row r="16" spans="1:28">
      <c r="A16" s="688"/>
      <c r="B16" s="198"/>
      <c r="C16" s="1178" t="s">
        <v>1113</v>
      </c>
      <c r="D16" s="198"/>
      <c r="E16" s="150" t="s">
        <v>1510</v>
      </c>
      <c r="F16" s="149"/>
      <c r="G16" s="151" t="s">
        <v>84</v>
      </c>
      <c r="H16" s="151"/>
      <c r="I16" s="1638" t="s">
        <v>1250</v>
      </c>
      <c r="J16" s="151"/>
      <c r="K16" s="1638" t="s">
        <v>800</v>
      </c>
      <c r="L16" s="149"/>
      <c r="M16" s="150" t="s">
        <v>86</v>
      </c>
      <c r="N16" s="148"/>
      <c r="O16" s="1178" t="s">
        <v>86</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c r="A18" s="29" t="s">
        <v>14</v>
      </c>
      <c r="B18" s="922"/>
      <c r="C18" s="922"/>
      <c r="D18" s="922"/>
      <c r="E18" s="655"/>
      <c r="F18" s="655"/>
      <c r="G18" s="655"/>
      <c r="H18" s="655"/>
      <c r="I18" s="655"/>
      <c r="J18" s="655"/>
      <c r="K18" s="655"/>
      <c r="L18" s="655"/>
      <c r="M18" s="655"/>
      <c r="N18" s="922"/>
      <c r="O18" s="922"/>
      <c r="P18" s="922"/>
      <c r="Q18" s="922"/>
      <c r="R18" s="922"/>
      <c r="S18" s="922"/>
      <c r="T18" s="922"/>
      <c r="U18" s="922"/>
      <c r="V18" s="922"/>
      <c r="W18" s="922"/>
      <c r="X18" s="922"/>
      <c r="Y18" s="922"/>
      <c r="Z18" s="922"/>
      <c r="AA18" s="922"/>
      <c r="AB18" s="922"/>
    </row>
    <row r="19" spans="1:28">
      <c r="A19" s="818" t="s">
        <v>87</v>
      </c>
      <c r="B19" s="923"/>
      <c r="C19" s="923"/>
      <c r="D19" s="923"/>
      <c r="E19" s="655"/>
      <c r="F19" s="655"/>
      <c r="G19" s="655"/>
      <c r="H19" s="655"/>
      <c r="I19" s="655"/>
      <c r="J19" s="655"/>
      <c r="K19" s="655"/>
      <c r="L19" s="923"/>
      <c r="M19" s="655"/>
      <c r="N19" s="922"/>
      <c r="O19" s="1541"/>
      <c r="P19" s="922"/>
      <c r="Q19" s="922"/>
      <c r="R19" s="922"/>
      <c r="S19" s="922"/>
      <c r="T19" s="922"/>
      <c r="U19" s="922"/>
      <c r="V19" s="922"/>
      <c r="W19" s="922"/>
      <c r="X19" s="922"/>
      <c r="Y19" s="922"/>
      <c r="Z19" s="922"/>
      <c r="AA19" s="922"/>
      <c r="AB19" s="922"/>
    </row>
    <row r="20" spans="1:28">
      <c r="A20" s="818" t="s">
        <v>88</v>
      </c>
      <c r="B20" s="923"/>
      <c r="C20" s="1010">
        <f>'Exh D Special Revenue State Fed'!C20+'Exh D Special Revenue State Fed'!N20</f>
        <v>1</v>
      </c>
      <c r="D20" s="1935"/>
      <c r="E20" s="1010">
        <f>'Exh D Special Revenue State Fed'!E20+'Exh D Special Revenue State Fed'!P20</f>
        <v>0</v>
      </c>
      <c r="F20" s="658"/>
      <c r="G20" s="939">
        <f>+'Exh D Special Revenue State Fed'!G20</f>
        <v>0.2</v>
      </c>
      <c r="H20" s="939"/>
      <c r="I20" s="939">
        <v>0</v>
      </c>
      <c r="J20" s="939"/>
      <c r="K20" s="939">
        <f t="shared" ref="K20:K25" si="0">+G20+I20</f>
        <v>0.2</v>
      </c>
      <c r="L20" s="658"/>
      <c r="M20" s="656">
        <f>ROUND(SUM(K20)-SUM(C20),1)</f>
        <v>-0.8</v>
      </c>
      <c r="N20" s="922"/>
      <c r="O20" s="656">
        <f>K20-E20</f>
        <v>0.2</v>
      </c>
      <c r="P20" s="922"/>
      <c r="Q20" s="922"/>
      <c r="R20" s="922"/>
      <c r="S20" s="922"/>
      <c r="T20" s="922"/>
      <c r="U20" s="922"/>
      <c r="V20" s="922"/>
      <c r="W20" s="922"/>
      <c r="X20" s="922"/>
      <c r="Y20" s="922"/>
      <c r="Z20" s="922"/>
      <c r="AA20" s="922"/>
      <c r="AB20" s="922"/>
    </row>
    <row r="21" spans="1:28">
      <c r="A21" s="818" t="s">
        <v>89</v>
      </c>
      <c r="B21" s="922"/>
      <c r="C21" s="683">
        <f>'Exh D Special Revenue State Fed'!C21+'Exh D Special Revenue State Fed'!N21</f>
        <v>1017</v>
      </c>
      <c r="D21" s="1936"/>
      <c r="E21" s="683">
        <f>'Exh D Special Revenue State Fed'!E21+'Exh D Special Revenue State Fed'!P21</f>
        <v>1022</v>
      </c>
      <c r="F21" s="641"/>
      <c r="G21" s="641">
        <f>+'Exh D Special Revenue State Fed'!G21</f>
        <v>1023.2</v>
      </c>
      <c r="H21" s="1529"/>
      <c r="I21" s="1529">
        <v>0</v>
      </c>
      <c r="J21" s="1529"/>
      <c r="K21" s="1529">
        <f t="shared" si="0"/>
        <v>1023.2</v>
      </c>
      <c r="L21" s="641"/>
      <c r="M21" s="1529">
        <f>ROUND(SUM(K21)-SUM(C21),1)</f>
        <v>6.2</v>
      </c>
      <c r="N21" s="941"/>
      <c r="O21" s="1529">
        <f>K21-E21</f>
        <v>1.2000000000000455</v>
      </c>
      <c r="P21" s="922"/>
      <c r="Q21" s="922"/>
      <c r="R21" s="922"/>
      <c r="S21" s="922"/>
      <c r="T21" s="922"/>
      <c r="U21" s="922"/>
      <c r="V21" s="922"/>
      <c r="W21" s="922"/>
      <c r="X21" s="922"/>
      <c r="Y21" s="922"/>
      <c r="Z21" s="922"/>
      <c r="AA21" s="922"/>
      <c r="AB21" s="922"/>
    </row>
    <row r="22" spans="1:28">
      <c r="A22" s="818" t="s">
        <v>90</v>
      </c>
      <c r="B22" s="923"/>
      <c r="C22" s="683">
        <f>'Exh D Special Revenue State Fed'!C22+'Exh D Special Revenue State Fed'!N22</f>
        <v>921</v>
      </c>
      <c r="D22" s="1935"/>
      <c r="E22" s="683">
        <f>'Exh D Special Revenue State Fed'!E22+'Exh D Special Revenue State Fed'!P22</f>
        <v>901</v>
      </c>
      <c r="F22" s="679"/>
      <c r="G22" s="641">
        <f>+'Exh D Special Revenue State Fed'!G22</f>
        <v>914.8</v>
      </c>
      <c r="H22" s="1529"/>
      <c r="I22" s="1529">
        <v>0</v>
      </c>
      <c r="J22" s="1529"/>
      <c r="K22" s="1529">
        <f t="shared" si="0"/>
        <v>914.8</v>
      </c>
      <c r="L22" s="679"/>
      <c r="M22" s="1529">
        <f t="shared" ref="M22:M25" si="1">ROUND(SUM(K22)-SUM(C22),1)</f>
        <v>-6.2</v>
      </c>
      <c r="N22" s="942"/>
      <c r="O22" s="1529">
        <f t="shared" ref="O22:O25" si="2">K22-E22</f>
        <v>13.799999999999955</v>
      </c>
      <c r="P22" s="922"/>
      <c r="Q22" s="943"/>
      <c r="R22" s="922"/>
      <c r="S22" s="943"/>
      <c r="T22" s="922"/>
      <c r="U22" s="922"/>
      <c r="V22" s="943"/>
      <c r="W22" s="922"/>
      <c r="X22" s="922"/>
      <c r="Y22" s="943"/>
      <c r="Z22" s="200"/>
      <c r="AA22" s="943"/>
      <c r="AB22" s="922"/>
    </row>
    <row r="23" spans="1:28" ht="15" customHeight="1">
      <c r="A23" s="818" t="s">
        <v>20</v>
      </c>
      <c r="B23" s="922"/>
      <c r="C23" s="683">
        <f>'Exh D Special Revenue State Fed'!C23+'Exh D Special Revenue State Fed'!N23</f>
        <v>9584</v>
      </c>
      <c r="D23" s="1936"/>
      <c r="E23" s="683">
        <f>'Exh D Special Revenue State Fed'!E23+'Exh D Special Revenue State Fed'!P23</f>
        <v>10083</v>
      </c>
      <c r="F23" s="641"/>
      <c r="G23" s="641">
        <f>+'Exh D Special Revenue State Fed'!G23+'Exh D Special Revenue State Fed'!R23</f>
        <v>9687.5</v>
      </c>
      <c r="H23" s="1529"/>
      <c r="I23" s="1529">
        <v>0</v>
      </c>
      <c r="J23" s="1529"/>
      <c r="K23" s="1529">
        <f t="shared" si="0"/>
        <v>9687.5</v>
      </c>
      <c r="L23" s="641"/>
      <c r="M23" s="1529">
        <f t="shared" si="1"/>
        <v>103.5</v>
      </c>
      <c r="N23" s="941"/>
      <c r="O23" s="1529">
        <f t="shared" si="2"/>
        <v>-395.5</v>
      </c>
      <c r="P23" s="922"/>
      <c r="Q23" s="922"/>
      <c r="R23" s="922"/>
      <c r="S23" s="922"/>
      <c r="T23" s="922"/>
      <c r="U23" s="922"/>
      <c r="V23" s="922"/>
      <c r="W23" s="922"/>
      <c r="X23" s="922"/>
      <c r="Y23" s="922"/>
      <c r="Z23" s="922"/>
      <c r="AA23" s="922"/>
      <c r="AB23" s="922"/>
    </row>
    <row r="24" spans="1:28" ht="15" customHeight="1">
      <c r="A24" s="818" t="s">
        <v>21</v>
      </c>
      <c r="B24" s="922"/>
      <c r="C24" s="683">
        <f>'Exh D Special Revenue State Fed'!C24+'Exh D Special Revenue State Fed'!N24</f>
        <v>40246</v>
      </c>
      <c r="D24" s="1936"/>
      <c r="E24" s="683">
        <f>'Exh D Special Revenue State Fed'!E24+'Exh D Special Revenue State Fed'!P24</f>
        <v>47350</v>
      </c>
      <c r="F24" s="641"/>
      <c r="G24" s="641">
        <f>+'Exh D Special Revenue State Fed'!G24+'Exh D Special Revenue State Fed'!R24</f>
        <v>49228.5</v>
      </c>
      <c r="H24" s="1529"/>
      <c r="I24" s="1529">
        <v>0</v>
      </c>
      <c r="J24" s="1529"/>
      <c r="K24" s="1529">
        <f t="shared" si="0"/>
        <v>49228.5</v>
      </c>
      <c r="L24" s="641"/>
      <c r="M24" s="1529">
        <f t="shared" si="1"/>
        <v>8982.5</v>
      </c>
      <c r="N24" s="941"/>
      <c r="O24" s="1529">
        <f t="shared" si="2"/>
        <v>1878.5</v>
      </c>
      <c r="P24" s="945"/>
      <c r="Q24" s="922"/>
      <c r="R24" s="945"/>
      <c r="S24" s="922"/>
      <c r="T24" s="945"/>
      <c r="U24" s="946"/>
      <c r="V24" s="922"/>
      <c r="W24" s="922"/>
      <c r="X24" s="922"/>
      <c r="Y24" s="922"/>
      <c r="Z24" s="922"/>
      <c r="AA24" s="922"/>
      <c r="AB24" s="922"/>
    </row>
    <row r="25" spans="1:28">
      <c r="A25" s="818" t="s">
        <v>1512</v>
      </c>
      <c r="B25" s="945"/>
      <c r="C25" s="1714">
        <f>'Exh D Special Revenue State Fed'!C25+'Exh D Special Revenue State Fed'!N25</f>
        <v>2035</v>
      </c>
      <c r="D25" s="1937"/>
      <c r="E25" s="1714">
        <f>'Exh D Special Revenue State Fed'!E25+'Exh D Special Revenue State Fed'!P25</f>
        <v>2003</v>
      </c>
      <c r="F25" s="641"/>
      <c r="G25" s="926">
        <f>+'Exh D Special Revenue State Fed'!G25</f>
        <v>2125.1999999999998</v>
      </c>
      <c r="H25" s="942"/>
      <c r="I25" s="1481">
        <f>+'Exhibit G'!AB111</f>
        <v>-494.4</v>
      </c>
      <c r="J25" s="942"/>
      <c r="K25" s="927">
        <f t="shared" si="0"/>
        <v>1630.7999999999997</v>
      </c>
      <c r="L25" s="641"/>
      <c r="M25" s="1406">
        <f t="shared" si="1"/>
        <v>-404.2</v>
      </c>
      <c r="N25" s="941"/>
      <c r="O25" s="1406">
        <f t="shared" si="2"/>
        <v>-372.20000000000027</v>
      </c>
      <c r="P25" s="945"/>
      <c r="Q25" s="922"/>
      <c r="R25" s="945"/>
      <c r="S25" s="922"/>
      <c r="T25" s="945"/>
      <c r="U25" s="946"/>
      <c r="V25" s="922"/>
      <c r="W25" s="922"/>
      <c r="X25" s="922"/>
      <c r="Y25" s="922"/>
      <c r="Z25" s="922"/>
      <c r="AA25" s="922"/>
      <c r="AB25" s="922"/>
    </row>
    <row r="26" spans="1:28" ht="18" customHeight="1">
      <c r="A26" s="1119" t="s">
        <v>108</v>
      </c>
      <c r="B26" s="148"/>
      <c r="C26" s="827">
        <f>ROUND(SUM(C20:C25),1)</f>
        <v>53804</v>
      </c>
      <c r="D26" s="148"/>
      <c r="E26" s="827">
        <f>ROUND(SUM(E20:E25),1)</f>
        <v>61359</v>
      </c>
      <c r="F26" s="920"/>
      <c r="G26" s="827">
        <f>ROUND(SUM(G20:G25),1)</f>
        <v>62979.4</v>
      </c>
      <c r="H26" s="1530"/>
      <c r="I26" s="827">
        <f>ROUND(SUM(I20:I25),1)</f>
        <v>-494.4</v>
      </c>
      <c r="J26" s="1530"/>
      <c r="K26" s="827">
        <f>ROUND(SUM(K20:K25),1)</f>
        <v>62485</v>
      </c>
      <c r="L26" s="920"/>
      <c r="M26" s="827">
        <f>ROUND(SUM(M20:M25),1)</f>
        <v>8681</v>
      </c>
      <c r="N26" s="74"/>
      <c r="O26" s="72">
        <f>ROUND(SUM(O20:O25),1)</f>
        <v>1126</v>
      </c>
      <c r="P26" s="148"/>
      <c r="Q26" s="148"/>
      <c r="R26" s="148"/>
      <c r="S26" s="148"/>
      <c r="T26" s="148"/>
      <c r="U26" s="148"/>
      <c r="V26" s="148"/>
      <c r="W26" s="148"/>
      <c r="X26" s="148"/>
      <c r="Y26" s="148"/>
      <c r="Z26" s="148"/>
      <c r="AA26" s="148"/>
      <c r="AB26" s="148"/>
    </row>
    <row r="27" spans="1:28">
      <c r="A27" s="688"/>
      <c r="B27" s="922"/>
      <c r="C27" s="941"/>
      <c r="D27" s="922"/>
      <c r="E27" s="941"/>
      <c r="F27" s="641"/>
      <c r="G27" s="686"/>
      <c r="H27" s="941"/>
      <c r="I27" s="941"/>
      <c r="J27" s="941"/>
      <c r="K27" s="941"/>
      <c r="L27" s="641"/>
      <c r="M27" s="686"/>
      <c r="N27" s="941"/>
      <c r="O27" s="686"/>
      <c r="P27" s="922"/>
      <c r="Q27" s="922"/>
      <c r="R27" s="922"/>
      <c r="S27" s="922"/>
      <c r="T27" s="922"/>
      <c r="U27" s="922"/>
      <c r="V27" s="922"/>
      <c r="W27" s="922"/>
      <c r="X27" s="922"/>
      <c r="Y27" s="922"/>
      <c r="Z27" s="922"/>
      <c r="AA27" s="922"/>
      <c r="AB27" s="922"/>
    </row>
    <row r="28" spans="1:28">
      <c r="A28" s="29" t="s">
        <v>23</v>
      </c>
      <c r="B28" s="922"/>
      <c r="C28" s="941"/>
      <c r="D28" s="922"/>
      <c r="E28" s="941"/>
      <c r="F28" s="641"/>
      <c r="G28" s="641"/>
      <c r="H28" s="1529"/>
      <c r="I28" s="1529"/>
      <c r="J28" s="1529"/>
      <c r="K28" s="1529"/>
      <c r="L28" s="641"/>
      <c r="M28" s="641"/>
      <c r="N28" s="941"/>
      <c r="O28" s="1529"/>
      <c r="P28" s="922"/>
      <c r="Q28" s="922"/>
      <c r="R28" s="922"/>
      <c r="S28" s="922"/>
      <c r="T28" s="922"/>
      <c r="U28" s="922"/>
      <c r="V28" s="922"/>
      <c r="W28" s="922"/>
      <c r="X28" s="922"/>
      <c r="Y28" s="922"/>
      <c r="Z28" s="922"/>
      <c r="AA28" s="922"/>
      <c r="AB28" s="922"/>
    </row>
    <row r="29" spans="1:28">
      <c r="A29" s="818" t="s">
        <v>93</v>
      </c>
      <c r="B29" s="943"/>
      <c r="C29" s="683">
        <f>'Exh D Special Revenue State Fed'!C29+'Exh D Special Revenue State Fed'!N29</f>
        <v>43688</v>
      </c>
      <c r="D29" s="1938"/>
      <c r="E29" s="683">
        <f>'Exh D Special Revenue State Fed'!E29+'Exh D Special Revenue State Fed'!P29</f>
        <v>48311</v>
      </c>
      <c r="F29" s="641"/>
      <c r="G29" s="679">
        <f>+'Exh D Special Revenue State Fed'!G29+'Exh D Special Revenue State Fed'!R29</f>
        <v>47619.3</v>
      </c>
      <c r="H29" s="679"/>
      <c r="I29" s="679">
        <v>0</v>
      </c>
      <c r="J29" s="679"/>
      <c r="K29" s="1529">
        <f>+G29+I29</f>
        <v>47619.3</v>
      </c>
      <c r="L29" s="641"/>
      <c r="M29" s="1529">
        <f t="shared" ref="M29:M33" si="3">ROUND(SUM(K29)-SUM(C29),1)</f>
        <v>3931.3</v>
      </c>
      <c r="N29" s="941"/>
      <c r="O29" s="1529">
        <f t="shared" ref="O29:O33" si="4">K29-E29</f>
        <v>-691.69999999999709</v>
      </c>
      <c r="P29" s="945"/>
      <c r="Q29" s="922"/>
      <c r="R29" s="945"/>
      <c r="S29" s="922"/>
      <c r="T29" s="945"/>
      <c r="U29" s="946"/>
      <c r="V29" s="922"/>
      <c r="W29" s="922"/>
      <c r="X29" s="922"/>
      <c r="Y29" s="922"/>
      <c r="Z29" s="922"/>
      <c r="AA29" s="922"/>
      <c r="AB29" s="922"/>
    </row>
    <row r="30" spans="1:28">
      <c r="A30" s="818" t="s">
        <v>94</v>
      </c>
      <c r="B30" s="943"/>
      <c r="C30" s="683">
        <f>'Exh D Special Revenue State Fed'!C30+'Exh D Special Revenue State Fed'!N30</f>
        <v>5724</v>
      </c>
      <c r="D30" s="1938"/>
      <c r="E30" s="683">
        <f>'Exh D Special Revenue State Fed'!E30+'Exh D Special Revenue State Fed'!P30</f>
        <v>7052</v>
      </c>
      <c r="F30" s="641"/>
      <c r="G30" s="679">
        <f>+'Exh D Special Revenue State Fed'!G30+'Exh D Special Revenue State Fed'!R30</f>
        <v>7018.1</v>
      </c>
      <c r="H30" s="679"/>
      <c r="I30" s="679">
        <v>0</v>
      </c>
      <c r="J30" s="679"/>
      <c r="K30" s="1529">
        <f>+G30+I30</f>
        <v>7018.1</v>
      </c>
      <c r="L30" s="641"/>
      <c r="M30" s="1529">
        <f t="shared" si="3"/>
        <v>1294.0999999999999</v>
      </c>
      <c r="N30" s="941"/>
      <c r="O30" s="1529">
        <f t="shared" si="4"/>
        <v>-33.899999999999636</v>
      </c>
      <c r="P30" s="943"/>
      <c r="Q30" s="922"/>
      <c r="R30" s="943"/>
      <c r="S30" s="922"/>
      <c r="T30" s="945"/>
      <c r="U30" s="922"/>
      <c r="V30" s="922"/>
      <c r="W30" s="945"/>
      <c r="X30" s="945"/>
      <c r="Y30" s="922"/>
      <c r="Z30" s="945"/>
      <c r="AA30" s="922"/>
      <c r="AB30" s="945"/>
    </row>
    <row r="31" spans="1:28">
      <c r="A31" s="818" t="s">
        <v>69</v>
      </c>
      <c r="B31" s="943"/>
      <c r="C31" s="683">
        <f>'Exh D Special Revenue State Fed'!C31+'Exh D Special Revenue State Fed'!N31</f>
        <v>766</v>
      </c>
      <c r="D31" s="1938"/>
      <c r="E31" s="683">
        <f>'Exh D Special Revenue State Fed'!E31+'Exh D Special Revenue State Fed'!P31</f>
        <v>815</v>
      </c>
      <c r="F31" s="641"/>
      <c r="G31" s="679">
        <f>+'Exh D Special Revenue State Fed'!G31+'Exh D Special Revenue State Fed'!R31</f>
        <v>792.09999999999991</v>
      </c>
      <c r="H31" s="679"/>
      <c r="I31" s="679">
        <v>0</v>
      </c>
      <c r="J31" s="679"/>
      <c r="K31" s="1529">
        <f>+G31+I31</f>
        <v>792.09999999999991</v>
      </c>
      <c r="L31" s="641"/>
      <c r="M31" s="1529">
        <f t="shared" si="3"/>
        <v>26.1</v>
      </c>
      <c r="N31" s="941"/>
      <c r="O31" s="1529">
        <f t="shared" si="4"/>
        <v>-22.900000000000091</v>
      </c>
      <c r="P31" s="945"/>
      <c r="Q31" s="922"/>
      <c r="R31" s="945"/>
      <c r="S31" s="922"/>
      <c r="T31" s="945"/>
      <c r="U31" s="946"/>
      <c r="V31" s="922"/>
      <c r="W31" s="945"/>
      <c r="X31" s="945"/>
      <c r="Y31" s="922"/>
      <c r="Z31" s="945"/>
      <c r="AA31" s="922"/>
      <c r="AB31" s="945"/>
    </row>
    <row r="32" spans="1:28">
      <c r="A32" s="818" t="s">
        <v>42</v>
      </c>
      <c r="B32" s="943"/>
      <c r="C32" s="683">
        <f>'Exh D Special Revenue State Fed'!C32+'Exh D Special Revenue State Fed'!N32</f>
        <v>0</v>
      </c>
      <c r="D32" s="1938"/>
      <c r="E32" s="683">
        <f>'Exh D Special Revenue State Fed'!E32+'Exh D Special Revenue State Fed'!P32</f>
        <v>2</v>
      </c>
      <c r="F32" s="641"/>
      <c r="G32" s="684">
        <f>+'Exh D Special Revenue State Fed'!G32+'Exh D Special Revenue State Fed'!R32</f>
        <v>2.2999999999999998</v>
      </c>
      <c r="H32" s="684"/>
      <c r="I32" s="684">
        <v>0</v>
      </c>
      <c r="J32" s="684"/>
      <c r="K32" s="1529">
        <f>+G32+I32</f>
        <v>2.2999999999999998</v>
      </c>
      <c r="L32" s="641"/>
      <c r="M32" s="1529">
        <f t="shared" si="3"/>
        <v>2.2999999999999998</v>
      </c>
      <c r="N32" s="941"/>
      <c r="O32" s="1529">
        <f t="shared" si="4"/>
        <v>0.29999999999999982</v>
      </c>
      <c r="P32" s="945"/>
      <c r="Q32" s="922"/>
      <c r="R32" s="945"/>
      <c r="S32" s="922"/>
      <c r="T32" s="945"/>
      <c r="U32" s="946"/>
      <c r="V32" s="922"/>
      <c r="W32" s="922"/>
      <c r="X32" s="922"/>
      <c r="Y32" s="922"/>
      <c r="Z32" s="922"/>
      <c r="AA32" s="922"/>
      <c r="AB32" s="922"/>
    </row>
    <row r="33" spans="1:28">
      <c r="A33" s="818" t="s">
        <v>1513</v>
      </c>
      <c r="B33" s="943"/>
      <c r="C33" s="683">
        <f>'Exh D Special Revenue State Fed'!C33+'Exh D Special Revenue State Fed'!N33</f>
        <v>1164</v>
      </c>
      <c r="D33" s="1938"/>
      <c r="E33" s="683">
        <f>'Exh D Special Revenue State Fed'!E33+'Exh D Special Revenue State Fed'!P33</f>
        <v>1431</v>
      </c>
      <c r="F33" s="641"/>
      <c r="G33" s="679">
        <f>+'Exh D Special Revenue State Fed'!G33+'Exh D Special Revenue State Fed'!R33</f>
        <v>1675.9</v>
      </c>
      <c r="H33" s="679"/>
      <c r="I33" s="682">
        <f>-'Exhibit G'!AB112</f>
        <v>-494.4</v>
      </c>
      <c r="J33" s="679"/>
      <c r="K33" s="1529">
        <f>+G33+I33</f>
        <v>1181.5</v>
      </c>
      <c r="L33" s="641"/>
      <c r="M33" s="1529">
        <f t="shared" si="3"/>
        <v>17.5</v>
      </c>
      <c r="N33" s="941"/>
      <c r="O33" s="1529">
        <f t="shared" si="4"/>
        <v>-249.5</v>
      </c>
      <c r="P33" s="945"/>
      <c r="Q33" s="922"/>
      <c r="R33" s="945"/>
      <c r="S33" s="922"/>
      <c r="T33" s="945"/>
      <c r="U33" s="946"/>
      <c r="V33" s="922"/>
      <c r="W33" s="922"/>
      <c r="X33" s="922"/>
      <c r="Y33" s="922"/>
      <c r="Z33" s="922"/>
      <c r="AA33" s="922"/>
      <c r="AB33" s="922"/>
    </row>
    <row r="34" spans="1:28" ht="18" customHeight="1">
      <c r="A34" s="1539" t="s">
        <v>117</v>
      </c>
      <c r="B34" s="148"/>
      <c r="C34" s="1872">
        <f>ROUND(SUM(C29:C33),1)</f>
        <v>51342</v>
      </c>
      <c r="D34" s="148"/>
      <c r="E34" s="1872">
        <f>ROUND(SUM(E29:E33),1)</f>
        <v>57611</v>
      </c>
      <c r="F34" s="920"/>
      <c r="G34" s="212">
        <f>ROUND(SUM(G29:G33),1)</f>
        <v>57107.7</v>
      </c>
      <c r="H34" s="1530"/>
      <c r="I34" s="1540">
        <f>ROUND(SUM(I29:I33),1)</f>
        <v>-494.4</v>
      </c>
      <c r="J34" s="1530"/>
      <c r="K34" s="1540">
        <f>ROUND(SUM(K29:K33),1)</f>
        <v>56613.3</v>
      </c>
      <c r="L34" s="920"/>
      <c r="M34" s="212">
        <f>ROUND(SUM(M29:M33),1)</f>
        <v>5271.3</v>
      </c>
      <c r="N34" s="74"/>
      <c r="O34" s="212">
        <f>ROUND(SUM(O29:O33),1)</f>
        <v>-997.7</v>
      </c>
      <c r="P34" s="148"/>
      <c r="Q34" s="148"/>
      <c r="R34" s="148"/>
      <c r="S34" s="148"/>
      <c r="T34" s="148"/>
      <c r="U34" s="148"/>
      <c r="V34" s="148"/>
      <c r="W34" s="148"/>
      <c r="X34" s="148"/>
      <c r="Y34" s="148"/>
      <c r="Z34" s="148"/>
      <c r="AA34" s="148"/>
      <c r="AB34" s="148"/>
    </row>
    <row r="35" spans="1:28">
      <c r="A35" s="688"/>
      <c r="B35" s="922"/>
      <c r="C35" s="941"/>
      <c r="D35" s="922"/>
      <c r="E35" s="941"/>
      <c r="F35" s="641"/>
      <c r="G35" s="686"/>
      <c r="H35" s="941"/>
      <c r="I35" s="941"/>
      <c r="J35" s="941"/>
      <c r="K35" s="941"/>
      <c r="L35" s="641"/>
      <c r="M35" s="686"/>
      <c r="N35" s="941"/>
      <c r="O35" s="686"/>
      <c r="P35" s="922"/>
      <c r="Q35" s="922"/>
      <c r="R35" s="922"/>
      <c r="S35" s="922"/>
      <c r="T35" s="922"/>
      <c r="U35" s="922"/>
      <c r="V35" s="922"/>
      <c r="W35" s="922"/>
      <c r="X35" s="922"/>
      <c r="Y35" s="922"/>
      <c r="Z35" s="922"/>
      <c r="AA35" s="922"/>
      <c r="AB35" s="922"/>
    </row>
    <row r="36" spans="1:28">
      <c r="A36" s="29" t="s">
        <v>118</v>
      </c>
      <c r="B36" s="922"/>
      <c r="C36" s="941"/>
      <c r="D36" s="922"/>
      <c r="E36" s="941"/>
      <c r="F36" s="641"/>
      <c r="G36" s="641"/>
      <c r="H36" s="1529"/>
      <c r="I36" s="1529"/>
      <c r="J36" s="1529"/>
      <c r="K36" s="1529"/>
      <c r="L36" s="641"/>
      <c r="M36" s="641"/>
      <c r="N36" s="941"/>
      <c r="O36" s="1529"/>
      <c r="P36" s="922"/>
      <c r="Q36" s="922"/>
      <c r="R36" s="922"/>
      <c r="S36" s="922"/>
      <c r="T36" s="922"/>
      <c r="U36" s="922"/>
      <c r="V36" s="922"/>
      <c r="W36" s="922"/>
      <c r="X36" s="922"/>
      <c r="Y36" s="922"/>
      <c r="Z36" s="922"/>
      <c r="AA36" s="922"/>
      <c r="AB36" s="922"/>
    </row>
    <row r="37" spans="1:28">
      <c r="A37" s="29" t="s">
        <v>119</v>
      </c>
      <c r="B37" s="922"/>
      <c r="C37" s="941"/>
      <c r="D37" s="922"/>
      <c r="E37" s="941"/>
      <c r="F37" s="641"/>
      <c r="G37" s="641"/>
      <c r="H37" s="1529"/>
      <c r="I37" s="1529"/>
      <c r="J37" s="1529"/>
      <c r="K37" s="1529"/>
      <c r="L37" s="641"/>
      <c r="M37" s="641"/>
      <c r="N37" s="941"/>
      <c r="O37" s="1529"/>
      <c r="P37" s="922"/>
      <c r="Q37" s="922"/>
      <c r="R37" s="922"/>
      <c r="S37" s="922"/>
      <c r="T37" s="922"/>
      <c r="U37" s="922"/>
      <c r="V37" s="922"/>
      <c r="W37" s="922"/>
      <c r="X37" s="922"/>
      <c r="Y37" s="922"/>
      <c r="Z37" s="922"/>
      <c r="AA37" s="922"/>
      <c r="AB37" s="922"/>
    </row>
    <row r="38" spans="1:28">
      <c r="A38" s="1119" t="s">
        <v>102</v>
      </c>
      <c r="B38" s="172"/>
      <c r="C38" s="1530">
        <f>ROUND(SUM(C26)-SUM(C34),1)</f>
        <v>2462</v>
      </c>
      <c r="D38" s="172"/>
      <c r="E38" s="1530">
        <f>ROUND(SUM(E26)-SUM(E34),1)</f>
        <v>3748</v>
      </c>
      <c r="F38" s="82"/>
      <c r="G38" s="74">
        <f>ROUND(SUM(G26)-SUM(G34),1)</f>
        <v>5871.7</v>
      </c>
      <c r="H38" s="1530"/>
      <c r="I38" s="1530">
        <v>0</v>
      </c>
      <c r="J38" s="1530"/>
      <c r="K38" s="1530">
        <f>+G38+I38</f>
        <v>5871.7</v>
      </c>
      <c r="L38" s="82"/>
      <c r="M38" s="74">
        <f>ROUND(SUM(M26)-SUM(M34),1)</f>
        <v>3409.7</v>
      </c>
      <c r="N38" s="389"/>
      <c r="O38" s="1530">
        <f>ROUND(SUM(O26)-SUM(O34),1)</f>
        <v>2123.6999999999998</v>
      </c>
      <c r="P38" s="148"/>
      <c r="Q38" s="171"/>
      <c r="R38" s="148"/>
      <c r="S38" s="171"/>
      <c r="T38" s="148"/>
      <c r="U38" s="148"/>
      <c r="V38" s="171"/>
      <c r="W38" s="148"/>
      <c r="X38" s="148"/>
      <c r="Y38" s="171"/>
      <c r="Z38" s="148"/>
      <c r="AA38" s="171"/>
      <c r="AB38" s="148"/>
    </row>
    <row r="39" spans="1:28" ht="15" customHeight="1">
      <c r="C39" s="668"/>
      <c r="E39" s="668"/>
      <c r="F39" s="930"/>
      <c r="G39" s="668"/>
      <c r="H39" s="668"/>
      <c r="I39" s="668"/>
      <c r="J39" s="668"/>
      <c r="K39" s="668"/>
      <c r="L39" s="930"/>
      <c r="M39" s="668"/>
      <c r="N39" s="668"/>
      <c r="O39" s="668"/>
    </row>
    <row r="40" spans="1:28">
      <c r="A40" s="1119" t="str">
        <f>+'Exh D-Governmental  '!A49</f>
        <v>Fund Balances (Deficits) at April 1</v>
      </c>
      <c r="C40" s="1939">
        <f>'Exh D Special Revenue State Fed'!C40+'Exh D Special Revenue State Fed'!N40</f>
        <v>6312</v>
      </c>
      <c r="D40" s="1940"/>
      <c r="E40" s="1939">
        <f>'Exh D Special Revenue State Fed'!E40+'Exh D Special Revenue State Fed'!P40</f>
        <v>6311</v>
      </c>
      <c r="F40" s="930"/>
      <c r="G40" s="1530">
        <f>'Exh D Special Revenue State Fed'!G40+'Exh D Special Revenue State Fed'!R40</f>
        <v>6312.0999999999995</v>
      </c>
      <c r="H40" s="1530"/>
      <c r="I40" s="1530">
        <v>0</v>
      </c>
      <c r="J40" s="1530"/>
      <c r="K40" s="1530">
        <f>+G40+I40</f>
        <v>6312.0999999999995</v>
      </c>
      <c r="L40" s="930"/>
      <c r="M40" s="72">
        <f t="shared" ref="M40" si="5">ROUND(SUM(K40)-SUM(C40),1)</f>
        <v>0.1</v>
      </c>
      <c r="N40" s="668"/>
      <c r="O40" s="72">
        <f>K40-E40</f>
        <v>1.0999999999994543</v>
      </c>
    </row>
    <row r="41" spans="1:28" ht="18" customHeight="1" thickBot="1">
      <c r="A41" s="1347" t="str">
        <f>+'Exh D-Governmental  '!A50</f>
        <v>Fund Balances (Deficits) at October 31, 2020</v>
      </c>
      <c r="B41" s="172"/>
      <c r="C41" s="95">
        <f>ROUND(SUM(C38:C40),1)</f>
        <v>8774</v>
      </c>
      <c r="D41" s="172"/>
      <c r="E41" s="95">
        <f>ROUND(SUM(E38:E40),1)</f>
        <v>10059</v>
      </c>
      <c r="F41" s="178"/>
      <c r="G41" s="95">
        <f>ROUND(SUM(G38:G40),1)</f>
        <v>12183.8</v>
      </c>
      <c r="H41" s="216"/>
      <c r="I41" s="95">
        <f>ROUND(SUM(I38:I40),1)</f>
        <v>0</v>
      </c>
      <c r="J41" s="216"/>
      <c r="K41" s="95">
        <f>ROUND(SUM(K38:K40),1)</f>
        <v>12183.8</v>
      </c>
      <c r="L41" s="178"/>
      <c r="M41" s="95">
        <f>ROUND(SUM(M38:M40),1)</f>
        <v>3409.8</v>
      </c>
      <c r="O41" s="95">
        <f>ROUND(SUM(O38:O40),1)</f>
        <v>2124.8000000000002</v>
      </c>
    </row>
    <row r="42" spans="1:28" ht="15" customHeight="1" thickTop="1">
      <c r="A42" s="152"/>
      <c r="E42" s="687"/>
      <c r="F42" s="947"/>
      <c r="G42" s="947"/>
      <c r="H42" s="947"/>
      <c r="I42" s="947"/>
      <c r="J42" s="947"/>
      <c r="K42" s="947"/>
      <c r="L42" s="947"/>
      <c r="M42" s="947"/>
      <c r="O42" s="1542"/>
    </row>
    <row r="43" spans="1:28">
      <c r="A43" s="934" t="str">
        <f>'Exh D-Governmental  '!A52</f>
        <v>(*)    Source: 2020-21 Enacted Financial Plan dated April 25, 2020.</v>
      </c>
    </row>
    <row r="44" spans="1:28">
      <c r="A44" s="934" t="str">
        <f>'Exh D-Governmental  '!A53</f>
        <v>(**)   Source: 2020-21 Mid Year Update dated October 30, 2020.</v>
      </c>
    </row>
    <row r="45" spans="1:28">
      <c r="A45" s="1497" t="s">
        <v>1511</v>
      </c>
    </row>
    <row r="46" spans="1:28">
      <c r="A46" s="1497"/>
    </row>
    <row r="47" spans="1:28">
      <c r="A47" s="948"/>
    </row>
    <row r="49" spans="1:1">
      <c r="A49" s="201"/>
    </row>
    <row r="50" spans="1:1">
      <c r="A50" s="201"/>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8"/>
  <sheetViews>
    <sheetView showGridLines="0" zoomScale="90" workbookViewId="0"/>
  </sheetViews>
  <sheetFormatPr defaultColWidth="8.69140625" defaultRowHeight="15.5"/>
  <cols>
    <col min="1" max="1" width="53.07421875" style="929" customWidth="1"/>
    <col min="2" max="2" width="0.69140625" style="620" customWidth="1"/>
    <col min="3" max="3" width="15.69140625" style="422" customWidth="1"/>
    <col min="4" max="4" width="0.69140625" style="933" customWidth="1"/>
    <col min="5" max="5" width="15.69140625" style="422" customWidth="1"/>
    <col min="6" max="6" width="0.69140625" style="933" customWidth="1"/>
    <col min="7" max="7" width="15.69140625" style="933" customWidth="1"/>
    <col min="8" max="8" width="0.69140625" style="933" customWidth="1"/>
    <col min="9" max="9" width="15.69140625" style="933" customWidth="1"/>
    <col min="10" max="10" width="0.69140625" style="933" customWidth="1"/>
    <col min="11" max="11" width="15.69140625" style="933" customWidth="1"/>
    <col min="12" max="12" width="1.69140625" style="620" customWidth="1"/>
    <col min="13" max="13" width="0.69140625" style="620" customWidth="1"/>
    <col min="14" max="14" width="15.69140625" style="620" customWidth="1"/>
    <col min="15" max="15" width="1.07421875" style="620" customWidth="1"/>
    <col min="16" max="16" width="15.69140625" style="620" customWidth="1"/>
    <col min="17" max="17" width="1.07421875" style="620" customWidth="1"/>
    <col min="18" max="18" width="15.69140625" style="620" customWidth="1"/>
    <col min="19" max="19" width="0.53515625" style="620" customWidth="1"/>
    <col min="20" max="20" width="15.69140625" style="620" customWidth="1"/>
    <col min="21" max="21" width="1.07421875" style="620" customWidth="1"/>
    <col min="22" max="22" width="15.69140625" style="422" customWidth="1"/>
    <col min="23" max="23" width="1" style="620" customWidth="1"/>
    <col min="24" max="24" width="3.69140625" style="422" customWidth="1"/>
    <col min="25" max="25" width="1" style="620" customWidth="1"/>
    <col min="26" max="26" width="15.69140625" style="620" customWidth="1"/>
    <col min="27" max="27" width="0.69140625" style="620" customWidth="1"/>
    <col min="28" max="28" width="15.69140625" style="620" customWidth="1"/>
    <col min="29" max="29" width="7.421875E-2" style="620" customWidth="1"/>
    <col min="30" max="30" width="11.69140625" style="620" customWidth="1"/>
    <col min="31" max="31" width="11.4609375" style="620" customWidth="1"/>
    <col min="32" max="32" width="1.69140625" style="620" customWidth="1"/>
    <col min="33" max="33" width="11.69140625" style="620" customWidth="1"/>
    <col min="34" max="34" width="2.07421875" style="620" customWidth="1"/>
    <col min="35" max="35" width="11.4609375" style="620" customWidth="1"/>
    <col min="36" max="36" width="0.53515625" style="620" customWidth="1"/>
    <col min="37" max="37" width="2.07421875" style="620" customWidth="1"/>
    <col min="38" max="38" width="10.53515625" style="620" customWidth="1"/>
    <col min="39" max="39" width="11.07421875" style="620" customWidth="1"/>
    <col min="40" max="40" width="2.07421875" style="620" customWidth="1"/>
    <col min="41" max="41" width="11.07421875" style="620" customWidth="1"/>
    <col min="42" max="42" width="2.07421875" style="620" customWidth="1"/>
    <col min="43" max="43" width="12.4609375" style="620" customWidth="1"/>
    <col min="44" max="48" width="8.69140625" style="620"/>
    <col min="49" max="49" width="8.69140625" style="933"/>
    <col min="50" max="16384" width="8.69140625" style="929"/>
  </cols>
  <sheetData>
    <row r="1" spans="1:49">
      <c r="A1" s="935" t="s">
        <v>963</v>
      </c>
      <c r="B1" s="183"/>
      <c r="C1" s="416"/>
      <c r="D1" s="184"/>
      <c r="E1" s="416"/>
      <c r="F1" s="184"/>
      <c r="G1" s="184"/>
      <c r="H1" s="184"/>
      <c r="I1" s="184"/>
      <c r="J1" s="184"/>
      <c r="K1" s="184"/>
      <c r="L1" s="183"/>
      <c r="M1" s="183"/>
      <c r="N1" s="183"/>
      <c r="O1" s="183"/>
      <c r="P1" s="183"/>
      <c r="Q1" s="183"/>
      <c r="R1" s="183"/>
      <c r="S1" s="183"/>
      <c r="T1" s="183"/>
      <c r="U1" s="183"/>
      <c r="V1" s="1180"/>
      <c r="W1" s="183"/>
      <c r="X1" s="1180"/>
      <c r="Y1" s="183"/>
      <c r="Z1" s="183"/>
      <c r="AA1" s="183"/>
      <c r="AB1" s="183"/>
      <c r="AC1" s="184"/>
      <c r="AD1" s="183"/>
      <c r="AE1" s="183"/>
      <c r="AF1" s="183"/>
      <c r="AG1" s="183"/>
      <c r="AH1" s="183"/>
      <c r="AI1" s="183"/>
      <c r="AJ1" s="183"/>
      <c r="AK1" s="183"/>
      <c r="AL1" s="183"/>
      <c r="AM1" s="183"/>
      <c r="AN1" s="183"/>
      <c r="AO1" s="183"/>
      <c r="AP1" s="183"/>
      <c r="AQ1" s="183"/>
      <c r="AR1" s="929"/>
      <c r="AS1" s="929"/>
      <c r="AT1" s="929"/>
      <c r="AU1" s="929"/>
      <c r="AV1" s="929"/>
      <c r="AW1" s="929"/>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80"/>
      <c r="W2" s="183"/>
      <c r="X2" s="1180"/>
      <c r="Y2" s="183"/>
      <c r="Z2" s="1181"/>
      <c r="AA2" s="183"/>
      <c r="AB2" s="183"/>
      <c r="AC2" s="184"/>
      <c r="AD2" s="183"/>
      <c r="AE2" s="183"/>
      <c r="AF2" s="183"/>
      <c r="AG2" s="183"/>
      <c r="AH2" s="183"/>
      <c r="AI2" s="183"/>
      <c r="AJ2" s="183"/>
      <c r="AK2" s="183"/>
      <c r="AL2" s="183"/>
      <c r="AM2" s="183"/>
      <c r="AN2" s="183"/>
      <c r="AO2" s="183"/>
      <c r="AP2" s="183"/>
      <c r="AQ2" s="183"/>
      <c r="AR2" s="929"/>
      <c r="AS2" s="929"/>
      <c r="AT2" s="929"/>
      <c r="AU2" s="929"/>
      <c r="AV2" s="929"/>
      <c r="AW2" s="929"/>
    </row>
    <row r="3" spans="1:49" ht="17.25" customHeight="1">
      <c r="A3" s="188" t="s">
        <v>0</v>
      </c>
      <c r="B3" s="145"/>
      <c r="C3" s="418"/>
      <c r="D3" s="140"/>
      <c r="E3" s="418"/>
      <c r="F3" s="140"/>
      <c r="G3" s="140"/>
      <c r="H3" s="140"/>
      <c r="I3" s="140"/>
      <c r="J3" s="140"/>
      <c r="K3" s="140"/>
      <c r="L3" s="153"/>
      <c r="M3" s="153"/>
      <c r="N3" s="153"/>
      <c r="O3" s="153"/>
      <c r="P3" s="153"/>
      <c r="Q3" s="153"/>
      <c r="R3" s="153"/>
      <c r="S3" s="153"/>
      <c r="T3" s="820"/>
      <c r="U3" s="153"/>
      <c r="V3" s="820" t="s">
        <v>83</v>
      </c>
      <c r="W3" s="153"/>
      <c r="X3" s="1182"/>
      <c r="Y3" s="153"/>
      <c r="Z3" s="153"/>
      <c r="AA3" s="153"/>
      <c r="AB3" s="1183"/>
      <c r="AC3" s="140"/>
      <c r="AD3" s="153"/>
      <c r="AE3" s="153"/>
      <c r="AF3" s="153"/>
      <c r="AG3" s="153"/>
      <c r="AH3" s="153"/>
      <c r="AI3" s="153"/>
      <c r="AJ3" s="153"/>
      <c r="AK3" s="153"/>
      <c r="AL3" s="153"/>
      <c r="AM3" s="153"/>
      <c r="AN3" s="153"/>
      <c r="AO3" s="153"/>
      <c r="AP3" s="153"/>
      <c r="AQ3" s="189"/>
      <c r="AR3" s="929"/>
      <c r="AS3" s="929"/>
      <c r="AT3" s="929"/>
      <c r="AU3" s="929"/>
      <c r="AV3" s="929"/>
      <c r="AW3" s="929"/>
    </row>
    <row r="4" spans="1:49" ht="17.25" customHeight="1">
      <c r="A4" s="188" t="s">
        <v>82</v>
      </c>
      <c r="B4" s="145"/>
      <c r="C4" s="418"/>
      <c r="D4" s="140"/>
      <c r="E4" s="418"/>
      <c r="F4" s="140"/>
      <c r="G4" s="140"/>
      <c r="H4" s="140"/>
      <c r="I4" s="140"/>
      <c r="J4" s="140"/>
      <c r="K4" s="140"/>
      <c r="L4" s="153"/>
      <c r="M4" s="153"/>
      <c r="N4" s="153"/>
      <c r="O4" s="153"/>
      <c r="P4" s="153"/>
      <c r="Q4" s="153"/>
      <c r="R4" s="153"/>
      <c r="S4" s="153"/>
      <c r="T4" s="821"/>
      <c r="U4" s="153"/>
      <c r="V4" s="821"/>
      <c r="W4" s="153"/>
      <c r="X4" s="1182"/>
      <c r="Y4" s="153"/>
      <c r="Z4" s="153"/>
      <c r="AA4" s="153"/>
      <c r="AB4" s="1184"/>
      <c r="AC4" s="140"/>
      <c r="AD4" s="153"/>
      <c r="AE4" s="153"/>
      <c r="AF4" s="153"/>
      <c r="AG4" s="153"/>
      <c r="AH4" s="153"/>
      <c r="AI4" s="153"/>
      <c r="AJ4" s="153"/>
      <c r="AK4" s="153"/>
      <c r="AL4" s="153"/>
      <c r="AM4" s="153"/>
      <c r="AN4" s="153"/>
      <c r="AO4" s="153"/>
      <c r="AP4" s="153"/>
      <c r="AQ4" s="153"/>
      <c r="AR4" s="929"/>
      <c r="AS4" s="929"/>
      <c r="AT4" s="929"/>
      <c r="AU4" s="929"/>
      <c r="AV4" s="929"/>
      <c r="AW4" s="929"/>
    </row>
    <row r="5" spans="1:49" ht="17.25" customHeight="1">
      <c r="A5" s="3923" t="str">
        <f>'Exh D-Governmental  '!A5:E5</f>
        <v>FISCAL YEAR 2020-2021</v>
      </c>
      <c r="B5" s="3924"/>
      <c r="C5" s="3924"/>
      <c r="D5" s="3924"/>
      <c r="E5" s="3924"/>
      <c r="F5" s="140"/>
      <c r="G5" s="813"/>
      <c r="H5" s="140"/>
      <c r="I5" s="140"/>
      <c r="J5" s="140"/>
      <c r="K5" s="140"/>
      <c r="L5" s="153"/>
      <c r="M5" s="153"/>
      <c r="N5" s="2054"/>
      <c r="O5" s="153"/>
      <c r="P5" s="153"/>
      <c r="Q5" s="153"/>
      <c r="R5" s="153"/>
      <c r="S5" s="153"/>
      <c r="T5" s="153"/>
      <c r="U5" s="153"/>
      <c r="V5" s="1182"/>
      <c r="W5" s="153"/>
      <c r="X5" s="1182"/>
      <c r="Y5" s="153"/>
      <c r="Z5" s="153"/>
      <c r="AA5" s="153"/>
      <c r="AB5" s="153"/>
      <c r="AC5" s="140"/>
      <c r="AD5" s="153"/>
      <c r="AE5" s="153"/>
      <c r="AF5" s="153"/>
      <c r="AG5" s="153"/>
      <c r="AH5" s="153"/>
      <c r="AI5" s="153"/>
      <c r="AJ5" s="153"/>
      <c r="AK5" s="153"/>
      <c r="AL5" s="153"/>
      <c r="AM5" s="153"/>
      <c r="AN5" s="153"/>
      <c r="AO5" s="153"/>
      <c r="AP5" s="153"/>
      <c r="AQ5" s="153"/>
      <c r="AR5" s="929"/>
      <c r="AS5" s="929"/>
      <c r="AT5" s="929"/>
      <c r="AU5" s="929"/>
      <c r="AV5" s="929"/>
      <c r="AW5" s="929"/>
    </row>
    <row r="6" spans="1:49" ht="17.25" customHeight="1">
      <c r="A6" s="1472" t="str">
        <f>'Exh D-Governmental  '!A6</f>
        <v xml:space="preserve">FOR SEVEN MONTHS ENDED OCTOBER 31, 2020    </v>
      </c>
      <c r="B6" s="3902"/>
      <c r="C6" s="3903"/>
      <c r="D6" s="3904"/>
      <c r="E6" s="3903"/>
      <c r="F6" s="140"/>
      <c r="G6" s="140"/>
      <c r="H6" s="140"/>
      <c r="I6" s="140"/>
      <c r="J6" s="140"/>
      <c r="K6" s="140"/>
      <c r="L6" s="153"/>
      <c r="M6" s="153"/>
      <c r="N6" s="153"/>
      <c r="O6" s="153"/>
      <c r="P6" s="153"/>
      <c r="Q6" s="153"/>
      <c r="R6" s="153"/>
      <c r="S6" s="153"/>
      <c r="T6" s="153"/>
      <c r="U6" s="153"/>
      <c r="V6" s="1182"/>
      <c r="W6" s="153"/>
      <c r="X6" s="1182"/>
      <c r="Y6" s="153"/>
      <c r="Z6" s="153"/>
      <c r="AA6" s="153"/>
      <c r="AB6" s="153"/>
      <c r="AC6" s="140"/>
      <c r="AD6" s="153"/>
      <c r="AE6" s="153"/>
      <c r="AF6" s="153"/>
      <c r="AG6" s="153"/>
      <c r="AH6" s="153"/>
      <c r="AI6" s="153"/>
      <c r="AJ6" s="153"/>
      <c r="AK6" s="153"/>
      <c r="AL6" s="153"/>
      <c r="AM6" s="153"/>
      <c r="AN6" s="153"/>
      <c r="AO6" s="153"/>
      <c r="AP6" s="153"/>
      <c r="AQ6" s="153"/>
      <c r="AR6" s="929"/>
      <c r="AS6" s="929"/>
      <c r="AT6" s="929"/>
      <c r="AU6" s="929"/>
      <c r="AV6" s="929"/>
      <c r="AW6" s="929"/>
    </row>
    <row r="7" spans="1:49" ht="18">
      <c r="A7" s="188" t="s">
        <v>1366</v>
      </c>
      <c r="B7" s="145"/>
      <c r="C7" s="418"/>
      <c r="D7" s="140"/>
      <c r="E7" s="418"/>
      <c r="F7" s="140"/>
      <c r="G7" s="140"/>
      <c r="H7" s="140"/>
      <c r="I7" s="140"/>
      <c r="J7" s="140"/>
      <c r="K7" s="140"/>
      <c r="L7" s="153"/>
      <c r="M7" s="153"/>
      <c r="N7" s="153"/>
      <c r="O7" s="153"/>
      <c r="P7" s="153"/>
      <c r="Q7" s="153"/>
      <c r="R7" s="153"/>
      <c r="S7" s="153"/>
      <c r="T7" s="153"/>
      <c r="U7" s="153"/>
      <c r="V7" s="1182"/>
      <c r="W7" s="153"/>
      <c r="X7" s="1182"/>
      <c r="Y7" s="153"/>
      <c r="Z7" s="153"/>
      <c r="AA7" s="153"/>
      <c r="AB7" s="153"/>
      <c r="AC7" s="140"/>
      <c r="AD7" s="153"/>
      <c r="AE7" s="153"/>
      <c r="AF7" s="153"/>
      <c r="AG7" s="153"/>
      <c r="AH7" s="153"/>
      <c r="AI7" s="153"/>
      <c r="AJ7" s="153"/>
      <c r="AK7" s="153"/>
      <c r="AL7" s="153"/>
      <c r="AM7" s="153"/>
      <c r="AN7" s="153"/>
      <c r="AO7" s="153"/>
      <c r="AP7" s="153"/>
      <c r="AQ7" s="153"/>
      <c r="AR7" s="929"/>
      <c r="AS7" s="929"/>
      <c r="AT7" s="929"/>
      <c r="AU7" s="929"/>
      <c r="AV7" s="929"/>
      <c r="AW7" s="929"/>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82"/>
      <c r="W8" s="153"/>
      <c r="X8" s="1182"/>
      <c r="Y8" s="153"/>
      <c r="Z8" s="153"/>
      <c r="AA8" s="153"/>
      <c r="AB8" s="153"/>
      <c r="AC8" s="140"/>
      <c r="AD8" s="153"/>
      <c r="AE8" s="153"/>
      <c r="AF8" s="153"/>
      <c r="AG8" s="153"/>
      <c r="AH8" s="153"/>
      <c r="AI8" s="153"/>
      <c r="AJ8" s="153"/>
      <c r="AK8" s="153"/>
      <c r="AL8" s="153"/>
      <c r="AM8" s="153"/>
      <c r="AN8" s="153"/>
      <c r="AO8" s="153"/>
      <c r="AP8" s="153"/>
      <c r="AQ8" s="153"/>
      <c r="AR8" s="929"/>
      <c r="AS8" s="929"/>
      <c r="AT8" s="929"/>
      <c r="AU8" s="929"/>
      <c r="AV8" s="929"/>
      <c r="AW8" s="929"/>
    </row>
    <row r="9" spans="1:49">
      <c r="A9" s="147"/>
      <c r="B9" s="153"/>
      <c r="C9" s="419"/>
      <c r="D9" s="140"/>
      <c r="E9" s="419"/>
      <c r="F9" s="140"/>
      <c r="G9" s="140"/>
      <c r="H9" s="140"/>
      <c r="I9" s="140"/>
      <c r="J9" s="140"/>
      <c r="K9" s="140"/>
      <c r="L9" s="153"/>
      <c r="M9" s="153"/>
      <c r="N9" s="153"/>
      <c r="O9" s="153"/>
      <c r="P9" s="153"/>
      <c r="Q9" s="153"/>
      <c r="R9" s="153"/>
      <c r="S9" s="153"/>
      <c r="T9" s="153"/>
      <c r="U9" s="153"/>
      <c r="V9" s="1182"/>
      <c r="W9" s="153"/>
      <c r="X9" s="1182"/>
      <c r="Y9" s="153"/>
      <c r="Z9" s="153"/>
      <c r="AA9" s="153"/>
      <c r="AB9" s="153"/>
      <c r="AC9" s="140"/>
      <c r="AD9" s="153"/>
      <c r="AE9" s="153"/>
      <c r="AF9" s="153"/>
      <c r="AG9" s="153"/>
      <c r="AH9" s="153"/>
      <c r="AI9" s="153"/>
      <c r="AJ9" s="153"/>
      <c r="AK9" s="153"/>
      <c r="AL9" s="153"/>
      <c r="AM9" s="153"/>
      <c r="AN9" s="153"/>
      <c r="AO9" s="153"/>
      <c r="AP9" s="153"/>
      <c r="AQ9" s="153"/>
      <c r="AR9" s="929"/>
      <c r="AS9" s="929"/>
      <c r="AT9" s="929"/>
      <c r="AU9" s="929"/>
      <c r="AV9" s="929"/>
      <c r="AW9" s="929"/>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62"/>
      <c r="W10" s="144"/>
      <c r="X10" s="962"/>
      <c r="Y10" s="144"/>
      <c r="Z10" s="144"/>
      <c r="AA10" s="144"/>
      <c r="AB10" s="144"/>
      <c r="AC10" s="140"/>
      <c r="AD10" s="153"/>
      <c r="AE10" s="153"/>
      <c r="AF10" s="153"/>
      <c r="AG10" s="153"/>
      <c r="AH10" s="153"/>
      <c r="AI10" s="153"/>
      <c r="AJ10" s="153"/>
      <c r="AK10" s="153"/>
      <c r="AL10" s="153"/>
      <c r="AM10" s="153"/>
      <c r="AN10" s="153"/>
      <c r="AO10" s="153"/>
      <c r="AP10" s="153"/>
      <c r="AQ10" s="153"/>
      <c r="AR10" s="929"/>
      <c r="AS10" s="929"/>
      <c r="AT10" s="929"/>
      <c r="AU10" s="929"/>
      <c r="AV10" s="929"/>
      <c r="AW10" s="929"/>
    </row>
    <row r="11" spans="1:49">
      <c r="A11" s="688"/>
      <c r="C11" s="3925" t="s">
        <v>1124</v>
      </c>
      <c r="D11" s="3925"/>
      <c r="E11" s="3925"/>
      <c r="F11" s="3925"/>
      <c r="G11" s="3925"/>
      <c r="H11" s="3925"/>
      <c r="I11" s="3925"/>
      <c r="J11" s="1176"/>
      <c r="K11" s="1176"/>
      <c r="L11" s="193"/>
      <c r="M11" s="191"/>
      <c r="N11" s="3925" t="s">
        <v>1125</v>
      </c>
      <c r="O11" s="3925"/>
      <c r="P11" s="3925"/>
      <c r="Q11" s="3925"/>
      <c r="R11" s="3925"/>
      <c r="S11" s="3925"/>
      <c r="T11" s="3925"/>
      <c r="U11" s="1185"/>
      <c r="V11" s="1414"/>
      <c r="W11" s="1435"/>
      <c r="X11" s="1435"/>
      <c r="Y11" s="1435"/>
      <c r="Z11" s="1435"/>
      <c r="AA11" s="1435"/>
      <c r="AB11" s="1435"/>
      <c r="AC11" s="148"/>
      <c r="AD11" s="191"/>
      <c r="AE11" s="191"/>
      <c r="AF11" s="191"/>
      <c r="AG11" s="191"/>
      <c r="AH11" s="191"/>
      <c r="AI11" s="191"/>
      <c r="AJ11" s="191"/>
      <c r="AK11" s="148"/>
      <c r="AL11" s="191"/>
      <c r="AM11" s="192"/>
      <c r="AN11" s="191"/>
      <c r="AO11" s="191"/>
      <c r="AP11" s="191"/>
      <c r="AQ11" s="191"/>
      <c r="AR11" s="929"/>
      <c r="AS11" s="929"/>
      <c r="AT11" s="929"/>
      <c r="AU11" s="929"/>
      <c r="AV11" s="929"/>
      <c r="AW11" s="929"/>
    </row>
    <row r="12" spans="1:49">
      <c r="A12" s="688"/>
      <c r="C12" s="420"/>
      <c r="D12" s="193"/>
      <c r="E12" s="420"/>
      <c r="F12" s="193"/>
      <c r="G12" s="194"/>
      <c r="H12" s="193"/>
      <c r="I12" s="193" t="s">
        <v>84</v>
      </c>
      <c r="J12" s="193"/>
      <c r="K12" s="193" t="s">
        <v>84</v>
      </c>
      <c r="L12" s="193"/>
      <c r="M12" s="1200"/>
      <c r="N12" s="420"/>
      <c r="O12" s="193"/>
      <c r="P12" s="420"/>
      <c r="Q12" s="193"/>
      <c r="R12" s="194"/>
      <c r="S12" s="193"/>
      <c r="T12" s="193" t="s">
        <v>84</v>
      </c>
      <c r="U12" s="191"/>
      <c r="V12" s="193" t="s">
        <v>84</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29"/>
      <c r="AS12" s="929"/>
      <c r="AT12" s="929"/>
      <c r="AU12" s="929"/>
      <c r="AV12" s="929"/>
      <c r="AW12" s="929"/>
    </row>
    <row r="13" spans="1:49">
      <c r="A13" s="688"/>
      <c r="B13" s="148"/>
      <c r="C13" s="421"/>
      <c r="D13" s="195"/>
      <c r="E13" s="421"/>
      <c r="F13" s="195"/>
      <c r="G13" s="195"/>
      <c r="H13" s="195"/>
      <c r="I13" s="196" t="s">
        <v>874</v>
      </c>
      <c r="J13" s="196"/>
      <c r="K13" s="196" t="s">
        <v>874</v>
      </c>
      <c r="L13" s="965"/>
      <c r="M13" s="1201"/>
      <c r="N13" s="421"/>
      <c r="O13" s="195"/>
      <c r="P13" s="421"/>
      <c r="Q13" s="195"/>
      <c r="R13" s="195"/>
      <c r="S13" s="195"/>
      <c r="T13" s="196" t="s">
        <v>874</v>
      </c>
      <c r="U13" s="198"/>
      <c r="V13" s="196" t="s">
        <v>874</v>
      </c>
      <c r="W13" s="964"/>
      <c r="X13" s="963"/>
      <c r="Y13" s="964"/>
      <c r="Z13" s="964"/>
      <c r="AA13" s="964"/>
      <c r="AB13" s="965"/>
      <c r="AC13" s="148"/>
      <c r="AD13" s="148"/>
      <c r="AE13" s="148"/>
      <c r="AF13" s="148"/>
      <c r="AG13" s="148"/>
      <c r="AH13" s="148"/>
      <c r="AI13" s="197"/>
      <c r="AJ13" s="198"/>
      <c r="AK13" s="148"/>
      <c r="AL13" s="148"/>
      <c r="AM13" s="148"/>
      <c r="AN13" s="148"/>
      <c r="AO13" s="148"/>
      <c r="AP13" s="148"/>
      <c r="AQ13" s="197"/>
      <c r="AR13" s="929"/>
      <c r="AS13" s="929"/>
      <c r="AT13" s="929"/>
      <c r="AU13" s="929"/>
      <c r="AV13" s="929"/>
      <c r="AW13" s="929"/>
    </row>
    <row r="14" spans="1:49">
      <c r="A14" s="688"/>
      <c r="B14" s="199"/>
      <c r="C14" s="151" t="s">
        <v>1075</v>
      </c>
      <c r="D14" s="929"/>
      <c r="E14" s="150" t="s">
        <v>1076</v>
      </c>
      <c r="F14" s="149"/>
      <c r="G14" s="149"/>
      <c r="H14" s="149"/>
      <c r="I14" s="150" t="s">
        <v>85</v>
      </c>
      <c r="J14" s="150"/>
      <c r="K14" s="150" t="s">
        <v>85</v>
      </c>
      <c r="L14" s="198"/>
      <c r="M14" s="1201"/>
      <c r="N14" s="151" t="s">
        <v>1075</v>
      </c>
      <c r="O14" s="929"/>
      <c r="P14" s="150" t="s">
        <v>1076</v>
      </c>
      <c r="Q14" s="149"/>
      <c r="R14" s="149"/>
      <c r="S14" s="149"/>
      <c r="T14" s="150" t="s">
        <v>85</v>
      </c>
      <c r="U14" s="198"/>
      <c r="V14" s="150" t="s">
        <v>85</v>
      </c>
      <c r="W14" s="689"/>
      <c r="X14" s="198"/>
      <c r="Y14" s="148"/>
      <c r="Z14" s="148"/>
      <c r="AA14" s="148"/>
      <c r="AB14" s="198"/>
      <c r="AC14" s="148"/>
      <c r="AD14" s="197"/>
      <c r="AE14" s="198"/>
      <c r="AF14" s="148"/>
      <c r="AG14" s="148"/>
      <c r="AH14" s="148"/>
      <c r="AI14" s="197"/>
      <c r="AJ14" s="198"/>
      <c r="AK14" s="148"/>
      <c r="AL14" s="197"/>
      <c r="AM14" s="198"/>
      <c r="AN14" s="148"/>
      <c r="AO14" s="148"/>
      <c r="AP14" s="148"/>
      <c r="AQ14" s="197"/>
      <c r="AR14" s="929"/>
      <c r="AS14" s="929"/>
      <c r="AT14" s="929"/>
      <c r="AU14" s="929"/>
      <c r="AV14" s="929"/>
      <c r="AW14" s="929"/>
    </row>
    <row r="15" spans="1:49">
      <c r="A15" s="688"/>
      <c r="B15" s="199"/>
      <c r="C15" s="150" t="s">
        <v>1112</v>
      </c>
      <c r="D15" s="149"/>
      <c r="E15" s="150" t="s">
        <v>1112</v>
      </c>
      <c r="F15" s="149"/>
      <c r="G15" s="149"/>
      <c r="H15" s="149"/>
      <c r="I15" s="150" t="s">
        <v>1075</v>
      </c>
      <c r="J15" s="150"/>
      <c r="K15" s="150" t="s">
        <v>1076</v>
      </c>
      <c r="L15" s="198"/>
      <c r="M15" s="1201"/>
      <c r="N15" s="150" t="s">
        <v>1112</v>
      </c>
      <c r="O15" s="149"/>
      <c r="P15" s="150" t="s">
        <v>1112</v>
      </c>
      <c r="Q15" s="149"/>
      <c r="R15" s="149"/>
      <c r="S15" s="149"/>
      <c r="T15" s="150" t="s">
        <v>1075</v>
      </c>
      <c r="U15" s="198"/>
      <c r="V15" s="150" t="s">
        <v>1076</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29"/>
      <c r="AS15" s="929"/>
      <c r="AT15" s="929"/>
      <c r="AU15" s="929"/>
      <c r="AV15" s="929"/>
      <c r="AW15" s="929"/>
    </row>
    <row r="16" spans="1:49">
      <c r="A16" s="688"/>
      <c r="B16" s="198"/>
      <c r="C16" s="150" t="s">
        <v>1113</v>
      </c>
      <c r="D16" s="149"/>
      <c r="E16" s="150" t="s">
        <v>1510</v>
      </c>
      <c r="F16" s="149"/>
      <c r="G16" s="151" t="s">
        <v>84</v>
      </c>
      <c r="H16" s="149"/>
      <c r="I16" s="150" t="s">
        <v>86</v>
      </c>
      <c r="J16" s="198"/>
      <c r="K16" s="150" t="s">
        <v>86</v>
      </c>
      <c r="L16" s="198"/>
      <c r="M16" s="1208"/>
      <c r="N16" s="1209" t="s">
        <v>1113</v>
      </c>
      <c r="O16" s="149"/>
      <c r="P16" s="150" t="s">
        <v>1510</v>
      </c>
      <c r="Q16" s="149"/>
      <c r="R16" s="151" t="s">
        <v>84</v>
      </c>
      <c r="S16" s="149"/>
      <c r="T16" s="150" t="s">
        <v>86</v>
      </c>
      <c r="U16" s="198"/>
      <c r="V16" s="150" t="s">
        <v>86</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29"/>
      <c r="AS16" s="929"/>
      <c r="AT16" s="929"/>
      <c r="AU16" s="929"/>
      <c r="AV16" s="929"/>
      <c r="AW16" s="929"/>
    </row>
    <row r="17" spans="1:49">
      <c r="A17" s="152"/>
      <c r="B17" s="153"/>
      <c r="C17" s="154"/>
      <c r="D17" s="140"/>
      <c r="E17" s="154"/>
      <c r="F17" s="140"/>
      <c r="G17" s="154"/>
      <c r="H17" s="140"/>
      <c r="I17" s="154"/>
      <c r="J17" s="153"/>
      <c r="K17" s="154"/>
      <c r="L17" s="153"/>
      <c r="M17" s="1202"/>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29"/>
      <c r="AS17" s="929"/>
      <c r="AT17" s="929"/>
      <c r="AU17" s="929"/>
      <c r="AV17" s="929"/>
      <c r="AW17" s="929"/>
    </row>
    <row r="18" spans="1:49">
      <c r="A18" s="29" t="s">
        <v>14</v>
      </c>
      <c r="B18" s="922"/>
      <c r="C18" s="655"/>
      <c r="D18" s="655"/>
      <c r="E18" s="655"/>
      <c r="F18" s="655"/>
      <c r="G18" s="655"/>
      <c r="H18" s="655"/>
      <c r="I18" s="922"/>
      <c r="J18" s="655"/>
      <c r="K18" s="922"/>
      <c r="L18" s="922"/>
      <c r="M18" s="1203"/>
      <c r="N18" s="655"/>
      <c r="O18" s="655"/>
      <c r="P18" s="655"/>
      <c r="Q18" s="655"/>
      <c r="R18" s="655"/>
      <c r="S18" s="655"/>
      <c r="T18" s="655"/>
      <c r="U18" s="922"/>
      <c r="V18" s="922"/>
      <c r="W18" s="922"/>
      <c r="X18" s="922"/>
      <c r="Y18" s="922"/>
      <c r="Z18" s="922"/>
      <c r="AA18" s="922"/>
      <c r="AB18" s="922"/>
      <c r="AC18" s="922"/>
      <c r="AD18" s="922"/>
      <c r="AE18" s="922"/>
      <c r="AF18" s="922"/>
      <c r="AG18" s="922"/>
      <c r="AH18" s="922"/>
      <c r="AI18" s="922"/>
      <c r="AJ18" s="922"/>
      <c r="AK18" s="922"/>
      <c r="AL18" s="922"/>
      <c r="AM18" s="922"/>
      <c r="AN18" s="922"/>
      <c r="AO18" s="922"/>
      <c r="AP18" s="922"/>
      <c r="AQ18" s="922"/>
      <c r="AR18" s="929"/>
      <c r="AS18" s="929"/>
      <c r="AT18" s="929"/>
      <c r="AU18" s="929"/>
      <c r="AV18" s="929"/>
      <c r="AW18" s="929"/>
    </row>
    <row r="19" spans="1:49">
      <c r="A19" s="818" t="s">
        <v>87</v>
      </c>
      <c r="B19" s="923"/>
      <c r="C19" s="655"/>
      <c r="D19" s="923"/>
      <c r="E19" s="655"/>
      <c r="F19" s="923"/>
      <c r="G19" s="655"/>
      <c r="H19" s="923"/>
      <c r="I19" s="922"/>
      <c r="J19" s="655"/>
      <c r="K19" s="922"/>
      <c r="L19" s="922"/>
      <c r="M19" s="1203"/>
      <c r="N19" s="655"/>
      <c r="O19" s="923"/>
      <c r="P19" s="655"/>
      <c r="Q19" s="923"/>
      <c r="R19" s="655"/>
      <c r="S19" s="923"/>
      <c r="T19" s="655"/>
      <c r="U19" s="922"/>
      <c r="V19" s="922"/>
      <c r="W19" s="922"/>
      <c r="X19" s="922"/>
      <c r="Y19" s="922"/>
      <c r="Z19" s="922"/>
      <c r="AA19" s="943"/>
      <c r="AB19" s="922"/>
      <c r="AC19" s="922"/>
      <c r="AD19" s="922"/>
      <c r="AE19" s="922"/>
      <c r="AF19" s="922"/>
      <c r="AG19" s="922"/>
      <c r="AH19" s="922"/>
      <c r="AI19" s="922"/>
      <c r="AJ19" s="922"/>
      <c r="AK19" s="922"/>
      <c r="AL19" s="922"/>
      <c r="AM19" s="922"/>
      <c r="AN19" s="922"/>
      <c r="AO19" s="922"/>
      <c r="AP19" s="922"/>
      <c r="AQ19" s="922"/>
      <c r="AR19" s="929"/>
      <c r="AS19" s="929"/>
      <c r="AT19" s="929"/>
      <c r="AU19" s="929"/>
      <c r="AV19" s="929"/>
      <c r="AW19" s="929"/>
    </row>
    <row r="20" spans="1:49">
      <c r="A20" s="818" t="s">
        <v>88</v>
      </c>
      <c r="B20" s="923" t="s">
        <v>15</v>
      </c>
      <c r="C20" s="2054">
        <v>1</v>
      </c>
      <c r="D20" s="658"/>
      <c r="E20" s="2054">
        <v>0</v>
      </c>
      <c r="F20" s="658"/>
      <c r="G20" s="656">
        <f>'Exhibit G State'!AD17</f>
        <v>0.2</v>
      </c>
      <c r="H20" s="658"/>
      <c r="I20" s="969">
        <f>ROUND(SUM(G20)-SUM(C20),1)</f>
        <v>-0.8</v>
      </c>
      <c r="J20" s="656"/>
      <c r="K20" s="969">
        <f>G20-E20</f>
        <v>0.2</v>
      </c>
      <c r="L20" s="969"/>
      <c r="M20" s="1203"/>
      <c r="N20" s="2054">
        <v>0</v>
      </c>
      <c r="O20" s="891"/>
      <c r="P20" s="2054">
        <v>0</v>
      </c>
      <c r="Q20" s="658"/>
      <c r="R20" s="656">
        <v>0</v>
      </c>
      <c r="S20" s="658"/>
      <c r="T20" s="969">
        <f>ROUND(SUM(R20)-SUM(N20),1)</f>
        <v>0</v>
      </c>
      <c r="U20" s="922"/>
      <c r="V20" s="969">
        <f>R20-P20</f>
        <v>0</v>
      </c>
      <c r="W20" s="967"/>
      <c r="X20" s="970"/>
      <c r="Y20" s="967"/>
      <c r="Z20" s="968"/>
      <c r="AA20" s="967"/>
      <c r="AB20" s="969"/>
      <c r="AC20" s="922"/>
      <c r="AD20" s="922"/>
      <c r="AE20" s="922"/>
      <c r="AF20" s="922"/>
      <c r="AG20" s="922"/>
      <c r="AH20" s="922"/>
      <c r="AI20" s="922"/>
      <c r="AJ20" s="922"/>
      <c r="AK20" s="922"/>
      <c r="AL20" s="922"/>
      <c r="AM20" s="922"/>
      <c r="AN20" s="922"/>
      <c r="AO20" s="922"/>
      <c r="AP20" s="922"/>
      <c r="AQ20" s="922"/>
      <c r="AR20" s="929"/>
      <c r="AS20" s="929"/>
      <c r="AT20" s="929"/>
      <c r="AU20" s="929"/>
      <c r="AV20" s="929"/>
      <c r="AW20" s="929"/>
    </row>
    <row r="21" spans="1:49">
      <c r="A21" s="818" t="s">
        <v>89</v>
      </c>
      <c r="B21" s="922" t="s">
        <v>15</v>
      </c>
      <c r="C21" s="1120">
        <v>1017</v>
      </c>
      <c r="D21" s="1529"/>
      <c r="E21" s="1120">
        <v>1022</v>
      </c>
      <c r="F21" s="641"/>
      <c r="G21" s="641">
        <f>'Exhibit G State'!AD28</f>
        <v>1023.2</v>
      </c>
      <c r="H21" s="641"/>
      <c r="I21" s="1529">
        <f t="shared" ref="I21:I25" si="0">ROUND(SUM(G21)-SUM(C21),1)</f>
        <v>6.2</v>
      </c>
      <c r="J21" s="641"/>
      <c r="K21" s="941">
        <f>G21-E21</f>
        <v>1.2000000000000455</v>
      </c>
      <c r="L21" s="941"/>
      <c r="M21" s="1203"/>
      <c r="N21" s="1120">
        <v>0</v>
      </c>
      <c r="O21" s="893"/>
      <c r="P21" s="1120">
        <v>0</v>
      </c>
      <c r="Q21" s="641"/>
      <c r="R21" s="641">
        <v>0</v>
      </c>
      <c r="S21" s="641"/>
      <c r="T21" s="1529">
        <f t="shared" ref="T21:T25" si="1">ROUND(SUM(R21)-SUM(N21),1)</f>
        <v>0</v>
      </c>
      <c r="U21" s="922"/>
      <c r="V21" s="941">
        <f t="shared" ref="V21:V25" si="2">R21-P21</f>
        <v>0</v>
      </c>
      <c r="W21" s="941"/>
      <c r="X21" s="970"/>
      <c r="Y21" s="941"/>
      <c r="Z21" s="941"/>
      <c r="AA21" s="941"/>
      <c r="AB21" s="941"/>
      <c r="AC21" s="941"/>
      <c r="AD21" s="941"/>
      <c r="AE21" s="922"/>
      <c r="AF21" s="922"/>
      <c r="AG21" s="922"/>
      <c r="AH21" s="922"/>
      <c r="AI21" s="922"/>
      <c r="AJ21" s="922"/>
      <c r="AK21" s="922"/>
      <c r="AL21" s="922"/>
      <c r="AM21" s="922"/>
      <c r="AN21" s="922"/>
      <c r="AO21" s="922"/>
      <c r="AP21" s="922"/>
      <c r="AQ21" s="922"/>
      <c r="AR21" s="929"/>
      <c r="AS21" s="929"/>
      <c r="AT21" s="929"/>
      <c r="AU21" s="929"/>
      <c r="AV21" s="929"/>
      <c r="AW21" s="929"/>
    </row>
    <row r="22" spans="1:49">
      <c r="A22" s="818" t="s">
        <v>90</v>
      </c>
      <c r="B22" s="923" t="s">
        <v>15</v>
      </c>
      <c r="C22" s="1120">
        <v>921</v>
      </c>
      <c r="D22" s="679"/>
      <c r="E22" s="1120">
        <v>901</v>
      </c>
      <c r="F22" s="679"/>
      <c r="G22" s="641">
        <f>'Exhibit G State'!AD35</f>
        <v>914.8</v>
      </c>
      <c r="H22" s="679"/>
      <c r="I22" s="1529">
        <f t="shared" si="0"/>
        <v>-6.2</v>
      </c>
      <c r="J22" s="641"/>
      <c r="K22" s="941">
        <f t="shared" ref="K22:K25" si="3">G22-E22</f>
        <v>13.799999999999955</v>
      </c>
      <c r="L22" s="941"/>
      <c r="M22" s="1203"/>
      <c r="N22" s="1120">
        <v>0</v>
      </c>
      <c r="O22" s="682"/>
      <c r="P22" s="1120">
        <v>0</v>
      </c>
      <c r="Q22" s="679"/>
      <c r="R22" s="930">
        <v>0</v>
      </c>
      <c r="S22" s="679"/>
      <c r="T22" s="1529">
        <f t="shared" si="1"/>
        <v>0</v>
      </c>
      <c r="U22" s="922"/>
      <c r="V22" s="941">
        <f t="shared" si="2"/>
        <v>0</v>
      </c>
      <c r="W22" s="942"/>
      <c r="X22" s="970"/>
      <c r="Y22" s="942"/>
      <c r="Z22" s="941"/>
      <c r="AA22" s="942"/>
      <c r="AB22" s="941"/>
      <c r="AC22" s="942"/>
      <c r="AD22" s="941"/>
      <c r="AE22" s="922"/>
      <c r="AF22" s="943"/>
      <c r="AG22" s="922"/>
      <c r="AH22" s="943"/>
      <c r="AI22" s="922"/>
      <c r="AJ22" s="922"/>
      <c r="AK22" s="943"/>
      <c r="AL22" s="922"/>
      <c r="AM22" s="922"/>
      <c r="AN22" s="943"/>
      <c r="AO22" s="200"/>
      <c r="AP22" s="943"/>
      <c r="AQ22" s="922"/>
      <c r="AR22" s="929"/>
      <c r="AS22" s="929"/>
      <c r="AT22" s="929"/>
      <c r="AU22" s="929"/>
      <c r="AV22" s="929"/>
      <c r="AW22" s="929"/>
    </row>
    <row r="23" spans="1:49" ht="15" customHeight="1">
      <c r="A23" s="818" t="s">
        <v>20</v>
      </c>
      <c r="B23" s="922" t="s">
        <v>15</v>
      </c>
      <c r="C23" s="1120">
        <v>9476</v>
      </c>
      <c r="D23" s="940"/>
      <c r="E23" s="1120">
        <v>9968</v>
      </c>
      <c r="F23" s="940"/>
      <c r="G23" s="641">
        <f>'Exhibit G State'!AD80</f>
        <v>9563.1</v>
      </c>
      <c r="H23" s="641"/>
      <c r="I23" s="1529">
        <f t="shared" si="0"/>
        <v>87.1</v>
      </c>
      <c r="J23" s="641"/>
      <c r="K23" s="941">
        <f t="shared" si="3"/>
        <v>-404.89999999999964</v>
      </c>
      <c r="L23" s="941"/>
      <c r="M23" s="1203"/>
      <c r="N23" s="1120">
        <v>108</v>
      </c>
      <c r="O23" s="1973"/>
      <c r="P23" s="1120">
        <v>115</v>
      </c>
      <c r="Q23" s="940"/>
      <c r="R23" s="684">
        <f>'Exhibit G Federal'!AD52</f>
        <v>124.4</v>
      </c>
      <c r="S23" s="641"/>
      <c r="T23" s="1529">
        <f t="shared" si="1"/>
        <v>16.399999999999999</v>
      </c>
      <c r="U23" s="922"/>
      <c r="V23" s="941">
        <f t="shared" si="2"/>
        <v>9.4000000000000057</v>
      </c>
      <c r="W23" s="941"/>
      <c r="X23" s="970"/>
      <c r="Y23" s="941"/>
      <c r="Z23" s="941"/>
      <c r="AA23" s="941"/>
      <c r="AB23" s="941"/>
      <c r="AC23" s="941"/>
      <c r="AD23" s="941"/>
      <c r="AE23" s="922"/>
      <c r="AF23" s="922"/>
      <c r="AG23" s="922"/>
      <c r="AH23" s="922"/>
      <c r="AI23" s="922"/>
      <c r="AJ23" s="922"/>
      <c r="AK23" s="922"/>
      <c r="AL23" s="922"/>
      <c r="AM23" s="922"/>
      <c r="AN23" s="922"/>
      <c r="AO23" s="922"/>
      <c r="AP23" s="922"/>
      <c r="AQ23" s="922"/>
      <c r="AR23" s="929"/>
      <c r="AS23" s="929"/>
      <c r="AT23" s="929"/>
      <c r="AU23" s="929"/>
      <c r="AV23" s="929"/>
      <c r="AW23" s="929"/>
    </row>
    <row r="24" spans="1:49" ht="15" customHeight="1">
      <c r="A24" s="818" t="s">
        <v>21</v>
      </c>
      <c r="B24" s="922" t="s">
        <v>15</v>
      </c>
      <c r="C24" s="1120">
        <v>0</v>
      </c>
      <c r="D24" s="1529"/>
      <c r="E24" s="1120">
        <v>37</v>
      </c>
      <c r="F24" s="641"/>
      <c r="G24" s="684">
        <f>'Exhibit G State'!AD82</f>
        <v>40.799999999999997</v>
      </c>
      <c r="H24" s="641"/>
      <c r="I24" s="1529">
        <f t="shared" si="0"/>
        <v>40.799999999999997</v>
      </c>
      <c r="J24" s="641"/>
      <c r="K24" s="941">
        <f t="shared" si="3"/>
        <v>3.7999999999999972</v>
      </c>
      <c r="L24" s="941"/>
      <c r="M24" s="1203"/>
      <c r="N24" s="1120">
        <v>40246</v>
      </c>
      <c r="O24" s="893"/>
      <c r="P24" s="1120">
        <v>47313</v>
      </c>
      <c r="Q24" s="641"/>
      <c r="R24" s="684">
        <f>'Exhibit G Federal'!AD54</f>
        <v>49187.7</v>
      </c>
      <c r="S24" s="641"/>
      <c r="T24" s="1529">
        <f t="shared" si="1"/>
        <v>8941.7000000000007</v>
      </c>
      <c r="U24" s="922"/>
      <c r="V24" s="941">
        <f t="shared" si="2"/>
        <v>1874.6999999999971</v>
      </c>
      <c r="W24" s="941"/>
      <c r="X24" s="970"/>
      <c r="Y24" s="941"/>
      <c r="Z24" s="941"/>
      <c r="AA24" s="941"/>
      <c r="AB24" s="941"/>
      <c r="AC24" s="941"/>
      <c r="AD24" s="944"/>
      <c r="AE24" s="945"/>
      <c r="AF24" s="922"/>
      <c r="AG24" s="945"/>
      <c r="AH24" s="922"/>
      <c r="AI24" s="945"/>
      <c r="AJ24" s="946"/>
      <c r="AK24" s="922"/>
      <c r="AL24" s="922"/>
      <c r="AM24" s="922"/>
      <c r="AN24" s="922"/>
      <c r="AO24" s="922"/>
      <c r="AP24" s="922"/>
      <c r="AQ24" s="922"/>
      <c r="AR24" s="929"/>
      <c r="AS24" s="929"/>
      <c r="AT24" s="929"/>
      <c r="AU24" s="929"/>
      <c r="AV24" s="929"/>
      <c r="AW24" s="929"/>
    </row>
    <row r="25" spans="1:49">
      <c r="A25" s="818" t="s">
        <v>47</v>
      </c>
      <c r="B25" s="946" t="s">
        <v>15</v>
      </c>
      <c r="C25" s="1120">
        <v>2035</v>
      </c>
      <c r="D25" s="941"/>
      <c r="E25" s="1120">
        <v>2003</v>
      </c>
      <c r="F25" s="941"/>
      <c r="G25" s="1030">
        <f>'Exhibit G State'!AD111</f>
        <v>2125.1999999999998</v>
      </c>
      <c r="H25" s="641"/>
      <c r="I25" s="1529">
        <f t="shared" si="0"/>
        <v>90.2</v>
      </c>
      <c r="J25" s="941"/>
      <c r="K25" s="941">
        <f t="shared" si="3"/>
        <v>122.19999999999982</v>
      </c>
      <c r="L25" s="941"/>
      <c r="M25" s="1204"/>
      <c r="N25" s="1120">
        <v>0</v>
      </c>
      <c r="O25" s="893"/>
      <c r="P25" s="1120">
        <v>0</v>
      </c>
      <c r="Q25" s="941"/>
      <c r="R25" s="1030">
        <f>+'Exhibit G Federal'!AD83</f>
        <v>0</v>
      </c>
      <c r="S25" s="641"/>
      <c r="T25" s="1529">
        <f t="shared" si="1"/>
        <v>0</v>
      </c>
      <c r="U25" s="946"/>
      <c r="V25" s="941">
        <f t="shared" si="2"/>
        <v>0</v>
      </c>
      <c r="W25" s="941"/>
      <c r="X25" s="970"/>
      <c r="Y25" s="941"/>
      <c r="Z25" s="942"/>
      <c r="AA25" s="941"/>
      <c r="AB25" s="941"/>
      <c r="AC25" s="941"/>
      <c r="AD25" s="944"/>
      <c r="AE25" s="945"/>
      <c r="AF25" s="922"/>
      <c r="AG25" s="945"/>
      <c r="AH25" s="922"/>
      <c r="AI25" s="945"/>
      <c r="AJ25" s="946"/>
      <c r="AK25" s="922"/>
      <c r="AL25" s="922"/>
      <c r="AM25" s="922"/>
      <c r="AN25" s="922"/>
      <c r="AO25" s="922"/>
      <c r="AP25" s="922"/>
      <c r="AQ25" s="922"/>
      <c r="AR25" s="929"/>
      <c r="AS25" s="929"/>
      <c r="AT25" s="929"/>
      <c r="AU25" s="929"/>
      <c r="AV25" s="929"/>
      <c r="AW25" s="929"/>
    </row>
    <row r="26" spans="1:49" ht="18" customHeight="1">
      <c r="A26" s="170" t="s">
        <v>108</v>
      </c>
      <c r="B26" s="148" t="s">
        <v>15</v>
      </c>
      <c r="C26" s="212">
        <f>ROUND(SUM(C20:C25),1)</f>
        <v>13450</v>
      </c>
      <c r="D26" s="920"/>
      <c r="E26" s="212">
        <f>ROUND(SUM(E20:E25),1)</f>
        <v>13931</v>
      </c>
      <c r="F26" s="920"/>
      <c r="G26" s="212">
        <f>ROUND(SUM(G20:G25),1)</f>
        <v>13667.3</v>
      </c>
      <c r="H26" s="920"/>
      <c r="I26" s="1540">
        <f>ROUND(SUM(I20:I25),1)</f>
        <v>217.3</v>
      </c>
      <c r="J26" s="74"/>
      <c r="K26" s="1540">
        <f>ROUND(SUM(K20:K25),1)</f>
        <v>-263.7</v>
      </c>
      <c r="L26" s="74"/>
      <c r="M26" s="1203"/>
      <c r="N26" s="212">
        <f>ROUND(SUM(N20:N25),1)</f>
        <v>40354</v>
      </c>
      <c r="O26" s="920"/>
      <c r="P26" s="212">
        <f>ROUND(SUM(P20:P25),1)</f>
        <v>47428</v>
      </c>
      <c r="Q26" s="920"/>
      <c r="R26" s="291">
        <f>ROUND(SUM(R20:R25),1)</f>
        <v>49312.1</v>
      </c>
      <c r="S26" s="920"/>
      <c r="T26" s="291">
        <f>ROUND(SUM(T20:T25),1)</f>
        <v>8958.1</v>
      </c>
      <c r="U26" s="148"/>
      <c r="V26" s="1540">
        <f>ROUND(SUM(V20:V25),1)</f>
        <v>1884.1</v>
      </c>
      <c r="W26" s="74"/>
      <c r="X26" s="74"/>
      <c r="Y26" s="74"/>
      <c r="Z26" s="74"/>
      <c r="AA26" s="74"/>
      <c r="AB26" s="74"/>
      <c r="AC26" s="74"/>
      <c r="AD26" s="74"/>
      <c r="AE26" s="148"/>
      <c r="AF26" s="148"/>
      <c r="AG26" s="148"/>
      <c r="AH26" s="148"/>
      <c r="AI26" s="148"/>
      <c r="AJ26" s="148"/>
      <c r="AK26" s="148"/>
      <c r="AL26" s="148"/>
      <c r="AM26" s="148"/>
      <c r="AN26" s="148"/>
      <c r="AO26" s="148"/>
      <c r="AP26" s="148"/>
      <c r="AQ26" s="148"/>
      <c r="AR26" s="929"/>
      <c r="AS26" s="929"/>
      <c r="AT26" s="929"/>
      <c r="AU26" s="929"/>
      <c r="AV26" s="929"/>
      <c r="AW26" s="929"/>
    </row>
    <row r="27" spans="1:49">
      <c r="A27" s="688"/>
      <c r="B27" s="922"/>
      <c r="C27" s="686"/>
      <c r="D27" s="641"/>
      <c r="E27" s="686"/>
      <c r="F27" s="641"/>
      <c r="G27" s="686"/>
      <c r="H27" s="641"/>
      <c r="I27" s="941"/>
      <c r="J27" s="941"/>
      <c r="K27" s="941"/>
      <c r="L27" s="941"/>
      <c r="M27" s="1203"/>
      <c r="N27" s="686"/>
      <c r="O27" s="1529"/>
      <c r="P27" s="686"/>
      <c r="Q27" s="641"/>
      <c r="R27" s="686"/>
      <c r="S27" s="641"/>
      <c r="T27" s="941"/>
      <c r="U27" s="922"/>
      <c r="V27" s="941"/>
      <c r="W27" s="941"/>
      <c r="X27" s="941"/>
      <c r="Y27" s="941"/>
      <c r="Z27" s="941"/>
      <c r="AA27" s="941"/>
      <c r="AB27" s="941"/>
      <c r="AC27" s="941"/>
      <c r="AD27" s="941"/>
      <c r="AE27" s="922"/>
      <c r="AF27" s="922"/>
      <c r="AG27" s="922"/>
      <c r="AH27" s="922"/>
      <c r="AI27" s="922"/>
      <c r="AJ27" s="922"/>
      <c r="AK27" s="922"/>
      <c r="AL27" s="922"/>
      <c r="AM27" s="922"/>
      <c r="AN27" s="922"/>
      <c r="AO27" s="922"/>
      <c r="AP27" s="922"/>
      <c r="AQ27" s="922"/>
      <c r="AR27" s="929"/>
      <c r="AS27" s="929"/>
      <c r="AT27" s="929"/>
      <c r="AU27" s="929"/>
      <c r="AV27" s="929"/>
      <c r="AW27" s="929"/>
    </row>
    <row r="28" spans="1:49">
      <c r="A28" s="29" t="s">
        <v>23</v>
      </c>
      <c r="B28" s="922"/>
      <c r="C28" s="641"/>
      <c r="D28" s="641"/>
      <c r="E28" s="1529"/>
      <c r="F28" s="641"/>
      <c r="G28" s="641"/>
      <c r="H28" s="641"/>
      <c r="I28" s="941"/>
      <c r="J28" s="941"/>
      <c r="K28" s="941"/>
      <c r="L28" s="941"/>
      <c r="M28" s="1203"/>
      <c r="N28" s="1529"/>
      <c r="O28" s="1529"/>
      <c r="P28" s="1529"/>
      <c r="Q28" s="641"/>
      <c r="R28" s="641"/>
      <c r="S28" s="641"/>
      <c r="T28" s="641"/>
      <c r="U28" s="922"/>
      <c r="V28" s="941"/>
      <c r="W28" s="941"/>
      <c r="X28" s="941"/>
      <c r="Y28" s="941"/>
      <c r="Z28" s="941"/>
      <c r="AA28" s="941"/>
      <c r="AB28" s="941"/>
      <c r="AC28" s="941"/>
      <c r="AD28" s="941"/>
      <c r="AE28" s="922"/>
      <c r="AF28" s="922"/>
      <c r="AG28" s="922"/>
      <c r="AH28" s="922"/>
      <c r="AI28" s="922"/>
      <c r="AJ28" s="922"/>
      <c r="AK28" s="922"/>
      <c r="AL28" s="922"/>
      <c r="AM28" s="922"/>
      <c r="AN28" s="922"/>
      <c r="AO28" s="922"/>
      <c r="AP28" s="922"/>
      <c r="AQ28" s="922"/>
      <c r="AR28" s="929"/>
      <c r="AS28" s="929"/>
      <c r="AT28" s="929"/>
      <c r="AU28" s="929"/>
      <c r="AV28" s="929"/>
      <c r="AW28" s="929"/>
    </row>
    <row r="29" spans="1:49">
      <c r="A29" s="818" t="s">
        <v>93</v>
      </c>
      <c r="B29" s="943" t="s">
        <v>15</v>
      </c>
      <c r="C29" s="1120">
        <v>8509</v>
      </c>
      <c r="D29" s="1529"/>
      <c r="E29" s="1120">
        <v>8321</v>
      </c>
      <c r="F29" s="641"/>
      <c r="G29" s="679">
        <f>'Exhibit G State'!AD98</f>
        <v>8325.4</v>
      </c>
      <c r="H29" s="641"/>
      <c r="I29" s="1529">
        <f t="shared" ref="I29:I33" si="4">ROUND(SUM(G29)-SUM(C29),1)</f>
        <v>-183.6</v>
      </c>
      <c r="J29" s="941"/>
      <c r="K29" s="941">
        <f t="shared" ref="K29:K33" si="5">G29-E29</f>
        <v>4.3999999999996362</v>
      </c>
      <c r="L29" s="941"/>
      <c r="M29" s="1203"/>
      <c r="N29" s="1120">
        <v>35179</v>
      </c>
      <c r="O29" s="1529"/>
      <c r="P29" s="1120">
        <v>39990</v>
      </c>
      <c r="Q29" s="641"/>
      <c r="R29" s="679">
        <f>'Exhibit G Federal'!AD70</f>
        <v>39293.9</v>
      </c>
      <c r="S29" s="641"/>
      <c r="T29" s="1529">
        <f t="shared" ref="T29:T33" si="6">ROUND(SUM(R29)-SUM(N29),1)</f>
        <v>4114.8999999999996</v>
      </c>
      <c r="U29" s="922"/>
      <c r="V29" s="941">
        <f t="shared" ref="V29:V33" si="7">R29-P29</f>
        <v>-696.09999999999854</v>
      </c>
      <c r="W29" s="941"/>
      <c r="X29" s="970"/>
      <c r="Y29" s="941"/>
      <c r="Z29" s="941"/>
      <c r="AA29" s="941"/>
      <c r="AB29" s="941"/>
      <c r="AC29" s="941"/>
      <c r="AD29" s="944"/>
      <c r="AE29" s="945"/>
      <c r="AF29" s="922"/>
      <c r="AG29" s="945"/>
      <c r="AH29" s="922"/>
      <c r="AI29" s="945"/>
      <c r="AJ29" s="946"/>
      <c r="AK29" s="922"/>
      <c r="AL29" s="922"/>
      <c r="AM29" s="922"/>
      <c r="AN29" s="922"/>
      <c r="AO29" s="922"/>
      <c r="AP29" s="922"/>
      <c r="AQ29" s="922"/>
      <c r="AR29" s="929"/>
      <c r="AS29" s="929"/>
      <c r="AT29" s="929"/>
      <c r="AU29" s="929"/>
      <c r="AV29" s="929"/>
      <c r="AW29" s="929"/>
    </row>
    <row r="30" spans="1:49">
      <c r="A30" s="818" t="s">
        <v>94</v>
      </c>
      <c r="B30" s="943" t="s">
        <v>15</v>
      </c>
      <c r="C30" s="1120">
        <v>4471</v>
      </c>
      <c r="D30" s="1529"/>
      <c r="E30" s="1120">
        <v>4494</v>
      </c>
      <c r="F30" s="641"/>
      <c r="G30" s="679">
        <f>'Exhibit G State'!AD100+'Exhibit G State'!AD101</f>
        <v>4510.3</v>
      </c>
      <c r="H30" s="641"/>
      <c r="I30" s="1529">
        <f t="shared" si="4"/>
        <v>39.299999999999997</v>
      </c>
      <c r="J30" s="941"/>
      <c r="K30" s="941">
        <f t="shared" si="5"/>
        <v>16.300000000000182</v>
      </c>
      <c r="L30" s="941"/>
      <c r="M30" s="1203"/>
      <c r="N30" s="1120">
        <v>1253</v>
      </c>
      <c r="O30" s="1529"/>
      <c r="P30" s="1120">
        <v>2558</v>
      </c>
      <c r="Q30" s="641"/>
      <c r="R30" s="679">
        <f>'Exhibit G Federal'!AD72+'Exhibit G Federal'!AD73</f>
        <v>2507.8000000000002</v>
      </c>
      <c r="S30" s="641"/>
      <c r="T30" s="1529">
        <f t="shared" si="6"/>
        <v>1254.8</v>
      </c>
      <c r="U30" s="922"/>
      <c r="V30" s="941">
        <f t="shared" si="7"/>
        <v>-50.199999999999818</v>
      </c>
      <c r="W30" s="941"/>
      <c r="X30" s="970"/>
      <c r="Y30" s="941"/>
      <c r="Z30" s="941"/>
      <c r="AA30" s="941"/>
      <c r="AB30" s="941"/>
      <c r="AC30" s="941"/>
      <c r="AD30" s="942"/>
      <c r="AE30" s="943"/>
      <c r="AF30" s="922"/>
      <c r="AG30" s="943"/>
      <c r="AH30" s="922"/>
      <c r="AI30" s="945"/>
      <c r="AJ30" s="922"/>
      <c r="AK30" s="922"/>
      <c r="AL30" s="945"/>
      <c r="AM30" s="945"/>
      <c r="AN30" s="922"/>
      <c r="AO30" s="945"/>
      <c r="AP30" s="922"/>
      <c r="AQ30" s="945"/>
      <c r="AR30" s="929"/>
      <c r="AS30" s="929"/>
      <c r="AT30" s="929"/>
      <c r="AU30" s="929"/>
      <c r="AV30" s="929"/>
      <c r="AW30" s="929"/>
    </row>
    <row r="31" spans="1:49">
      <c r="A31" s="818" t="s">
        <v>69</v>
      </c>
      <c r="B31" s="943" t="s">
        <v>15</v>
      </c>
      <c r="C31" s="1120">
        <v>561</v>
      </c>
      <c r="D31" s="1529"/>
      <c r="E31" s="1120">
        <v>466</v>
      </c>
      <c r="F31" s="641"/>
      <c r="G31" s="679">
        <f>'Exhibit G State'!AD102</f>
        <v>450.2</v>
      </c>
      <c r="H31" s="641"/>
      <c r="I31" s="1529">
        <f t="shared" si="4"/>
        <v>-110.8</v>
      </c>
      <c r="J31" s="941"/>
      <c r="K31" s="941">
        <f t="shared" si="5"/>
        <v>-15.800000000000011</v>
      </c>
      <c r="L31" s="941"/>
      <c r="M31" s="1203"/>
      <c r="N31" s="1120">
        <v>205</v>
      </c>
      <c r="O31" s="1529"/>
      <c r="P31" s="1120">
        <v>349</v>
      </c>
      <c r="Q31" s="641"/>
      <c r="R31" s="679">
        <f>'Exhibit G Federal'!AD74</f>
        <v>341.9</v>
      </c>
      <c r="S31" s="641"/>
      <c r="T31" s="1529">
        <f t="shared" si="6"/>
        <v>136.9</v>
      </c>
      <c r="U31" s="922"/>
      <c r="V31" s="941">
        <f t="shared" si="7"/>
        <v>-7.1000000000000227</v>
      </c>
      <c r="W31" s="941"/>
      <c r="X31" s="970"/>
      <c r="Y31" s="941"/>
      <c r="Z31" s="941"/>
      <c r="AA31" s="941"/>
      <c r="AB31" s="941"/>
      <c r="AC31" s="941"/>
      <c r="AD31" s="944"/>
      <c r="AE31" s="945"/>
      <c r="AF31" s="922"/>
      <c r="AG31" s="945"/>
      <c r="AH31" s="922"/>
      <c r="AI31" s="945"/>
      <c r="AJ31" s="946"/>
      <c r="AK31" s="922"/>
      <c r="AL31" s="945"/>
      <c r="AM31" s="945"/>
      <c r="AN31" s="922"/>
      <c r="AO31" s="945"/>
      <c r="AP31" s="922"/>
      <c r="AQ31" s="945"/>
      <c r="AR31" s="929"/>
      <c r="AS31" s="929"/>
      <c r="AT31" s="929"/>
      <c r="AU31" s="929"/>
      <c r="AV31" s="929"/>
      <c r="AW31" s="929"/>
    </row>
    <row r="32" spans="1:49">
      <c r="A32" s="818" t="s">
        <v>42</v>
      </c>
      <c r="B32" s="946" t="s">
        <v>15</v>
      </c>
      <c r="C32" s="1120">
        <v>0</v>
      </c>
      <c r="D32" s="1529"/>
      <c r="E32" s="1120">
        <v>0</v>
      </c>
      <c r="F32" s="641"/>
      <c r="G32" s="657">
        <f>'Exhibit G State'!AD103</f>
        <v>0</v>
      </c>
      <c r="H32" s="641"/>
      <c r="I32" s="1529">
        <f t="shared" si="4"/>
        <v>0</v>
      </c>
      <c r="J32" s="941"/>
      <c r="K32" s="941">
        <f t="shared" si="5"/>
        <v>0</v>
      </c>
      <c r="L32" s="941"/>
      <c r="M32" s="1204"/>
      <c r="N32" s="1120">
        <v>0</v>
      </c>
      <c r="O32" s="1529"/>
      <c r="P32" s="1120">
        <v>2</v>
      </c>
      <c r="Q32" s="641"/>
      <c r="R32" s="679">
        <f>'Exhibit G Federal'!AD75</f>
        <v>2.2999999999999998</v>
      </c>
      <c r="S32" s="641"/>
      <c r="T32" s="1529">
        <f t="shared" si="6"/>
        <v>2.2999999999999998</v>
      </c>
      <c r="U32" s="946"/>
      <c r="V32" s="941">
        <f t="shared" si="7"/>
        <v>0.29999999999999982</v>
      </c>
      <c r="W32" s="941"/>
      <c r="X32" s="970"/>
      <c r="Y32" s="941"/>
      <c r="Z32" s="941"/>
      <c r="AA32" s="941"/>
      <c r="AB32" s="941"/>
      <c r="AC32" s="941"/>
      <c r="AD32" s="944"/>
      <c r="AE32" s="945"/>
      <c r="AF32" s="922"/>
      <c r="AG32" s="945"/>
      <c r="AH32" s="922"/>
      <c r="AI32" s="945"/>
      <c r="AJ32" s="946"/>
      <c r="AK32" s="922"/>
      <c r="AL32" s="922"/>
      <c r="AM32" s="922"/>
      <c r="AN32" s="922"/>
      <c r="AO32" s="922"/>
      <c r="AP32" s="922"/>
      <c r="AQ32" s="922"/>
      <c r="AR32" s="929"/>
      <c r="AS32" s="929"/>
      <c r="AT32" s="929"/>
      <c r="AU32" s="929"/>
      <c r="AV32" s="929"/>
      <c r="AW32" s="929"/>
    </row>
    <row r="33" spans="1:49">
      <c r="A33" s="818" t="s">
        <v>98</v>
      </c>
      <c r="B33" s="946" t="s">
        <v>15</v>
      </c>
      <c r="C33" s="1120">
        <v>111</v>
      </c>
      <c r="D33" s="1529"/>
      <c r="E33" s="1120">
        <v>195</v>
      </c>
      <c r="F33" s="641"/>
      <c r="G33" s="684">
        <f>-'Exhibit G State'!AD112</f>
        <v>188</v>
      </c>
      <c r="H33" s="641"/>
      <c r="I33" s="1529">
        <f t="shared" si="4"/>
        <v>77</v>
      </c>
      <c r="J33" s="941"/>
      <c r="K33" s="941">
        <f t="shared" si="5"/>
        <v>-7</v>
      </c>
      <c r="L33" s="941"/>
      <c r="M33" s="1204"/>
      <c r="N33" s="1120">
        <v>1053</v>
      </c>
      <c r="O33" s="1529"/>
      <c r="P33" s="1120">
        <v>1236</v>
      </c>
      <c r="Q33" s="641"/>
      <c r="R33" s="684">
        <f>-'Exhibit G Federal'!AD84</f>
        <v>1487.9</v>
      </c>
      <c r="S33" s="641"/>
      <c r="T33" s="1529">
        <f t="shared" si="6"/>
        <v>434.9</v>
      </c>
      <c r="U33" s="946"/>
      <c r="V33" s="941">
        <f t="shared" si="7"/>
        <v>251.90000000000009</v>
      </c>
      <c r="W33" s="941"/>
      <c r="X33" s="970"/>
      <c r="Y33" s="941"/>
      <c r="Z33" s="942"/>
      <c r="AA33" s="941"/>
      <c r="AB33" s="941"/>
      <c r="AC33" s="941"/>
      <c r="AD33" s="944"/>
      <c r="AE33" s="945"/>
      <c r="AF33" s="922"/>
      <c r="AG33" s="945"/>
      <c r="AH33" s="922"/>
      <c r="AI33" s="945"/>
      <c r="AJ33" s="946"/>
      <c r="AK33" s="922"/>
      <c r="AL33" s="922"/>
      <c r="AM33" s="922"/>
      <c r="AN33" s="922"/>
      <c r="AO33" s="922"/>
      <c r="AP33" s="922"/>
      <c r="AQ33" s="922"/>
      <c r="AR33" s="929"/>
      <c r="AS33" s="929"/>
      <c r="AT33" s="929"/>
      <c r="AU33" s="929"/>
      <c r="AV33" s="929"/>
      <c r="AW33" s="929"/>
    </row>
    <row r="34" spans="1:49" ht="18" customHeight="1">
      <c r="A34" s="170" t="s">
        <v>117</v>
      </c>
      <c r="B34" s="148" t="s">
        <v>15</v>
      </c>
      <c r="C34" s="291">
        <f>ROUND(SUM(C29:C33),1)</f>
        <v>13652</v>
      </c>
      <c r="D34" s="920"/>
      <c r="E34" s="291">
        <f>ROUND(SUM(E29:E33),1)</f>
        <v>13476</v>
      </c>
      <c r="F34" s="920"/>
      <c r="G34" s="291">
        <f>ROUND(SUM(G29:G33),1)</f>
        <v>13473.9</v>
      </c>
      <c r="H34" s="920"/>
      <c r="I34" s="291">
        <f>ROUND(SUM(I29:I33),1)</f>
        <v>-178.1</v>
      </c>
      <c r="J34" s="74"/>
      <c r="K34" s="291">
        <f>ROUND(SUM(K29:K33),1)</f>
        <v>-2.1</v>
      </c>
      <c r="L34" s="74"/>
      <c r="M34" s="1207"/>
      <c r="N34" s="291">
        <f>ROUND(SUM(N29:N33),1)</f>
        <v>37690</v>
      </c>
      <c r="O34" s="920"/>
      <c r="P34" s="291">
        <f>ROUND(SUM(P29:P33),1)</f>
        <v>44135</v>
      </c>
      <c r="Q34" s="920"/>
      <c r="R34" s="291">
        <f>ROUND(SUM(R29:R33),1)</f>
        <v>43633.8</v>
      </c>
      <c r="S34" s="920"/>
      <c r="T34" s="291">
        <f>ROUND(SUM(T29:T33),1)</f>
        <v>5943.8</v>
      </c>
      <c r="U34" s="148"/>
      <c r="V34" s="291">
        <f>ROUND(SUM(V29:V33),1)</f>
        <v>-501.2</v>
      </c>
      <c r="W34" s="74"/>
      <c r="X34" s="74"/>
      <c r="Y34" s="74"/>
      <c r="Z34" s="74"/>
      <c r="AA34" s="74"/>
      <c r="AB34" s="74"/>
      <c r="AC34" s="74"/>
      <c r="AD34" s="74"/>
      <c r="AE34" s="148"/>
      <c r="AF34" s="148"/>
      <c r="AG34" s="148"/>
      <c r="AH34" s="148"/>
      <c r="AI34" s="148"/>
      <c r="AJ34" s="148"/>
      <c r="AK34" s="148"/>
      <c r="AL34" s="148"/>
      <c r="AM34" s="148"/>
      <c r="AN34" s="148"/>
      <c r="AO34" s="148"/>
      <c r="AP34" s="148"/>
      <c r="AQ34" s="148"/>
      <c r="AR34" s="929"/>
      <c r="AS34" s="929"/>
      <c r="AT34" s="929"/>
      <c r="AU34" s="929"/>
      <c r="AV34" s="929"/>
      <c r="AW34" s="929"/>
    </row>
    <row r="35" spans="1:49">
      <c r="A35" s="688"/>
      <c r="B35" s="922"/>
      <c r="C35" s="686"/>
      <c r="D35" s="641"/>
      <c r="E35" s="686"/>
      <c r="F35" s="641"/>
      <c r="G35" s="686"/>
      <c r="H35" s="641"/>
      <c r="I35" s="941"/>
      <c r="J35" s="941"/>
      <c r="K35" s="941"/>
      <c r="L35" s="941"/>
      <c r="M35" s="1203"/>
      <c r="N35" s="686"/>
      <c r="O35" s="1529"/>
      <c r="P35" s="686"/>
      <c r="Q35" s="641"/>
      <c r="R35" s="686"/>
      <c r="S35" s="641"/>
      <c r="T35" s="941"/>
      <c r="U35" s="922"/>
      <c r="V35" s="941"/>
      <c r="W35" s="941"/>
      <c r="X35" s="941"/>
      <c r="Y35" s="941"/>
      <c r="Z35" s="941"/>
      <c r="AA35" s="941"/>
      <c r="AB35" s="941"/>
      <c r="AC35" s="941"/>
      <c r="AD35" s="941"/>
      <c r="AE35" s="922"/>
      <c r="AF35" s="922"/>
      <c r="AG35" s="922"/>
      <c r="AH35" s="922"/>
      <c r="AI35" s="922"/>
      <c r="AJ35" s="922"/>
      <c r="AK35" s="922"/>
      <c r="AL35" s="922"/>
      <c r="AM35" s="922"/>
      <c r="AN35" s="922"/>
      <c r="AO35" s="922"/>
      <c r="AP35" s="922"/>
      <c r="AQ35" s="922"/>
      <c r="AR35" s="929"/>
      <c r="AS35" s="929"/>
      <c r="AT35" s="929"/>
      <c r="AU35" s="929"/>
      <c r="AV35" s="929"/>
      <c r="AW35" s="929"/>
    </row>
    <row r="36" spans="1:49">
      <c r="A36" s="29" t="s">
        <v>118</v>
      </c>
      <c r="B36" s="922"/>
      <c r="C36" s="641"/>
      <c r="D36" s="641"/>
      <c r="E36" s="1529"/>
      <c r="F36" s="641"/>
      <c r="G36" s="641"/>
      <c r="H36" s="641"/>
      <c r="I36" s="941"/>
      <c r="J36" s="941"/>
      <c r="K36" s="941"/>
      <c r="L36" s="941"/>
      <c r="M36" s="1203"/>
      <c r="N36" s="1529"/>
      <c r="O36" s="1529"/>
      <c r="P36" s="1529"/>
      <c r="Q36" s="641"/>
      <c r="R36" s="641"/>
      <c r="S36" s="641"/>
      <c r="T36" s="641"/>
      <c r="U36" s="922"/>
      <c r="V36" s="941"/>
      <c r="W36" s="941"/>
      <c r="X36" s="941"/>
      <c r="Y36" s="941"/>
      <c r="Z36" s="941"/>
      <c r="AA36" s="941"/>
      <c r="AB36" s="941"/>
      <c r="AC36" s="941"/>
      <c r="AD36" s="941"/>
      <c r="AE36" s="922"/>
      <c r="AF36" s="922"/>
      <c r="AG36" s="922"/>
      <c r="AH36" s="922"/>
      <c r="AI36" s="922"/>
      <c r="AJ36" s="922"/>
      <c r="AK36" s="922"/>
      <c r="AL36" s="922"/>
      <c r="AM36" s="922"/>
      <c r="AN36" s="922"/>
      <c r="AO36" s="922"/>
      <c r="AP36" s="922"/>
      <c r="AQ36" s="922"/>
      <c r="AR36" s="929"/>
      <c r="AS36" s="929"/>
      <c r="AT36" s="929"/>
      <c r="AU36" s="929"/>
      <c r="AV36" s="929"/>
      <c r="AW36" s="929"/>
    </row>
    <row r="37" spans="1:49">
      <c r="A37" s="29" t="s">
        <v>119</v>
      </c>
      <c r="B37" s="922"/>
      <c r="C37" s="641"/>
      <c r="D37" s="641"/>
      <c r="E37" s="1529"/>
      <c r="F37" s="641"/>
      <c r="G37" s="641"/>
      <c r="H37" s="641"/>
      <c r="I37" s="941"/>
      <c r="J37" s="941"/>
      <c r="K37" s="941"/>
      <c r="L37" s="941"/>
      <c r="M37" s="1203"/>
      <c r="N37" s="1529"/>
      <c r="O37" s="1529"/>
      <c r="P37" s="1529"/>
      <c r="Q37" s="641"/>
      <c r="R37" s="641"/>
      <c r="S37" s="641"/>
      <c r="T37" s="641"/>
      <c r="U37" s="922"/>
      <c r="V37" s="941"/>
      <c r="W37" s="941"/>
      <c r="X37" s="941"/>
      <c r="Y37" s="941"/>
      <c r="Z37" s="941"/>
      <c r="AA37" s="941"/>
      <c r="AB37" s="941"/>
      <c r="AC37" s="941"/>
      <c r="AD37" s="941"/>
      <c r="AE37" s="922"/>
      <c r="AF37" s="922"/>
      <c r="AG37" s="922"/>
      <c r="AH37" s="922"/>
      <c r="AI37" s="922"/>
      <c r="AJ37" s="922"/>
      <c r="AK37" s="922"/>
      <c r="AL37" s="922"/>
      <c r="AM37" s="922"/>
      <c r="AN37" s="922"/>
      <c r="AO37" s="922"/>
      <c r="AP37" s="922"/>
      <c r="AQ37" s="922"/>
      <c r="AR37" s="929"/>
      <c r="AS37" s="929"/>
      <c r="AT37" s="929"/>
      <c r="AU37" s="929"/>
      <c r="AV37" s="929"/>
      <c r="AW37" s="929"/>
    </row>
    <row r="38" spans="1:49">
      <c r="A38" s="170" t="s">
        <v>102</v>
      </c>
      <c r="B38" s="919" t="s">
        <v>15</v>
      </c>
      <c r="C38" s="74">
        <f>ROUND(SUM(C26)-SUM(C34),1)</f>
        <v>-202</v>
      </c>
      <c r="D38" s="82"/>
      <c r="E38" s="1530">
        <f>ROUND(SUM(E26)-SUM(E34),1)</f>
        <v>455</v>
      </c>
      <c r="F38" s="82"/>
      <c r="G38" s="74">
        <f>ROUND(SUM(G26)-SUM(G34),1)</f>
        <v>193.4</v>
      </c>
      <c r="H38" s="82"/>
      <c r="I38" s="74">
        <f>ROUND(SUM(I26)-SUM(I34),1)</f>
        <v>395.4</v>
      </c>
      <c r="J38" s="74"/>
      <c r="K38" s="1530">
        <f>ROUND(SUM(K26)-SUM(K34),1)</f>
        <v>-261.60000000000002</v>
      </c>
      <c r="L38" s="74"/>
      <c r="M38" s="1205"/>
      <c r="N38" s="1530">
        <f>ROUND(SUM(N26)-SUM(N34),1)</f>
        <v>2664</v>
      </c>
      <c r="O38" s="82"/>
      <c r="P38" s="1530">
        <f>ROUND(SUM(P26)-SUM(P34),1)</f>
        <v>3293</v>
      </c>
      <c r="Q38" s="82"/>
      <c r="R38" s="74">
        <f>ROUND(SUM(R26)-SUM(R34),1)</f>
        <v>5678.3</v>
      </c>
      <c r="S38" s="82"/>
      <c r="T38" s="74">
        <f>ROUND(SUM(T26)-SUM(T34),1)</f>
        <v>3014.3</v>
      </c>
      <c r="U38" s="148"/>
      <c r="V38" s="1530">
        <f>ROUND(SUM(V26)-SUM(V34),1)</f>
        <v>2385.3000000000002</v>
      </c>
      <c r="W38" s="389"/>
      <c r="X38" s="74"/>
      <c r="Y38" s="389"/>
      <c r="Z38" s="74"/>
      <c r="AA38" s="389"/>
      <c r="AB38" s="74"/>
      <c r="AC38" s="389"/>
      <c r="AD38" s="74"/>
      <c r="AE38" s="148"/>
      <c r="AF38" s="171"/>
      <c r="AG38" s="148"/>
      <c r="AH38" s="171"/>
      <c r="AI38" s="148"/>
      <c r="AJ38" s="148"/>
      <c r="AK38" s="171"/>
      <c r="AL38" s="148"/>
      <c r="AM38" s="148"/>
      <c r="AN38" s="171"/>
      <c r="AO38" s="148"/>
      <c r="AP38" s="171"/>
      <c r="AQ38" s="148"/>
      <c r="AR38" s="929"/>
      <c r="AS38" s="929"/>
      <c r="AT38" s="929"/>
      <c r="AU38" s="929"/>
      <c r="AV38" s="929"/>
      <c r="AW38" s="929"/>
    </row>
    <row r="39" spans="1:49" ht="15" customHeight="1">
      <c r="C39" s="668"/>
      <c r="D39" s="930"/>
      <c r="E39" s="668"/>
      <c r="F39" s="930"/>
      <c r="G39" s="668"/>
      <c r="H39" s="930"/>
      <c r="I39" s="74"/>
      <c r="J39" s="74"/>
      <c r="K39" s="1530"/>
      <c r="L39" s="74"/>
      <c r="M39" s="1205"/>
      <c r="N39" s="668"/>
      <c r="O39" s="930"/>
      <c r="P39" s="668"/>
      <c r="Q39" s="930"/>
      <c r="R39" s="668"/>
      <c r="S39" s="930"/>
      <c r="T39" s="74"/>
      <c r="U39" s="148"/>
      <c r="V39" s="1530"/>
      <c r="W39" s="668"/>
      <c r="X39" s="668"/>
      <c r="Y39" s="668"/>
      <c r="Z39" s="668"/>
      <c r="AA39" s="668"/>
      <c r="AB39" s="668"/>
      <c r="AC39" s="668"/>
      <c r="AD39" s="668"/>
      <c r="AR39" s="929"/>
      <c r="AS39" s="929"/>
      <c r="AT39" s="929"/>
      <c r="AU39" s="929"/>
      <c r="AV39" s="929"/>
      <c r="AW39" s="929"/>
    </row>
    <row r="40" spans="1:49">
      <c r="A40" s="170" t="str">
        <f>+'Exh D-Governmental  '!A49</f>
        <v>Fund Balances (Deficits) at April 1</v>
      </c>
      <c r="B40" s="620" t="s">
        <v>15</v>
      </c>
      <c r="C40" s="112">
        <v>5401</v>
      </c>
      <c r="D40" s="1650"/>
      <c r="E40" s="112">
        <v>5400</v>
      </c>
      <c r="F40" s="930"/>
      <c r="G40" s="112">
        <f>'Exhibit G State'!D13</f>
        <v>5400.7</v>
      </c>
      <c r="H40" s="1650"/>
      <c r="I40" s="920">
        <f>ROUND(SUM(G40)-SUM(C40),1)</f>
        <v>-0.3</v>
      </c>
      <c r="J40" s="79"/>
      <c r="K40" s="3562">
        <f>G40-E40</f>
        <v>0.6999999999998181</v>
      </c>
      <c r="L40" s="79"/>
      <c r="M40" s="1205"/>
      <c r="N40" s="112">
        <v>911</v>
      </c>
      <c r="O40" s="1650"/>
      <c r="P40" s="112">
        <v>911</v>
      </c>
      <c r="Q40" s="930"/>
      <c r="R40" s="112">
        <f>'Exhibit G Federal'!D13</f>
        <v>911.4</v>
      </c>
      <c r="S40" s="1650"/>
      <c r="T40" s="920">
        <f>ROUND(SUM(R40)-SUM(N40),1)</f>
        <v>0.4</v>
      </c>
      <c r="U40" s="148"/>
      <c r="V40" s="3562">
        <f>R40-P40</f>
        <v>0.39999999999997726</v>
      </c>
      <c r="W40" s="668"/>
      <c r="X40" s="74"/>
      <c r="Y40" s="668"/>
      <c r="Z40" s="74"/>
      <c r="AA40" s="668"/>
      <c r="AB40" s="79"/>
      <c r="AC40" s="668"/>
      <c r="AD40" s="668"/>
      <c r="AR40" s="929"/>
      <c r="AS40" s="929"/>
      <c r="AT40" s="929"/>
      <c r="AU40" s="929"/>
      <c r="AV40" s="929"/>
      <c r="AW40" s="929"/>
    </row>
    <row r="41" spans="1:49" ht="18" customHeight="1" thickBot="1">
      <c r="A41" s="1347" t="str">
        <f>+'Exh D-Governmental  '!A50</f>
        <v>Fund Balances (Deficits) at October 31, 2020</v>
      </c>
      <c r="B41" s="177" t="s">
        <v>15</v>
      </c>
      <c r="C41" s="95">
        <f>ROUND(SUM(C38:C40),1)</f>
        <v>5199</v>
      </c>
      <c r="D41" s="178"/>
      <c r="E41" s="95">
        <f>ROUND(SUM(E38:E40),1)</f>
        <v>5855</v>
      </c>
      <c r="F41" s="178"/>
      <c r="G41" s="95">
        <f>ROUND(SUM(G38:G40),1)</f>
        <v>5594.1</v>
      </c>
      <c r="H41" s="178"/>
      <c r="I41" s="95">
        <f>ROUND(SUM(I38:I40),1)</f>
        <v>395.1</v>
      </c>
      <c r="J41" s="216"/>
      <c r="K41" s="95">
        <f>ROUND(SUM(K38:K40),1)</f>
        <v>-260.89999999999998</v>
      </c>
      <c r="L41" s="216"/>
      <c r="M41" s="1206"/>
      <c r="N41" s="95">
        <f>ROUND(SUM(N38:N40),1)</f>
        <v>3575</v>
      </c>
      <c r="O41" s="178"/>
      <c r="P41" s="95">
        <f>ROUND(SUM(P38:P40),1)</f>
        <v>4204</v>
      </c>
      <c r="Q41" s="178"/>
      <c r="R41" s="95">
        <f>ROUND(SUM(R38:R40),1)</f>
        <v>6589.7</v>
      </c>
      <c r="S41" s="178"/>
      <c r="T41" s="95">
        <f>ROUND(SUM(T38:T40),1)</f>
        <v>3014.7</v>
      </c>
      <c r="U41" s="148"/>
      <c r="V41" s="95">
        <f>ROUND(SUM(V38:V40),1)</f>
        <v>2385.6999999999998</v>
      </c>
      <c r="W41" s="973"/>
      <c r="X41" s="216"/>
      <c r="Y41" s="973"/>
      <c r="Z41" s="216"/>
      <c r="AA41" s="973"/>
      <c r="AB41" s="216"/>
      <c r="AR41" s="929"/>
      <c r="AS41" s="929"/>
      <c r="AT41" s="929"/>
      <c r="AU41" s="929"/>
      <c r="AV41" s="929"/>
      <c r="AW41" s="929"/>
    </row>
    <row r="42" spans="1:49" ht="15" customHeight="1" thickTop="1">
      <c r="A42" s="152"/>
      <c r="G42" s="620"/>
      <c r="J42" s="620"/>
      <c r="V42" s="620"/>
      <c r="W42" s="974"/>
      <c r="X42" s="687"/>
      <c r="Y42" s="974"/>
      <c r="Z42" s="974"/>
      <c r="AA42" s="974"/>
      <c r="AB42" s="974"/>
      <c r="AR42" s="929"/>
      <c r="AS42" s="929"/>
      <c r="AT42" s="929"/>
      <c r="AU42" s="929"/>
      <c r="AV42" s="929"/>
      <c r="AW42" s="929"/>
    </row>
    <row r="43" spans="1:49">
      <c r="A43" s="934" t="str">
        <f>'Exh D-Governmental  '!A52</f>
        <v>(*)    Source: 2020-21 Enacted Financial Plan dated April 25, 2020.</v>
      </c>
      <c r="AR43" s="929"/>
      <c r="AS43" s="929"/>
      <c r="AT43" s="929"/>
      <c r="AU43" s="929"/>
      <c r="AV43" s="929"/>
      <c r="AW43" s="929"/>
    </row>
    <row r="44" spans="1:49">
      <c r="A44" s="934" t="str">
        <f>'Exh D-Governmental  '!A53</f>
        <v>(**)   Source: 2020-21 Mid Year Update dated October 30, 2020.</v>
      </c>
      <c r="B44" s="929"/>
      <c r="C44" s="947"/>
      <c r="D44" s="929"/>
      <c r="E44" s="929"/>
      <c r="F44" s="929"/>
      <c r="G44" s="929"/>
      <c r="H44" s="929"/>
      <c r="I44" s="929"/>
      <c r="J44" s="929"/>
      <c r="K44" s="929"/>
      <c r="L44" s="689"/>
      <c r="M44" s="689"/>
      <c r="N44" s="929"/>
      <c r="O44" s="929"/>
      <c r="P44" s="929"/>
      <c r="Q44" s="929"/>
      <c r="R44" s="929"/>
      <c r="S44" s="929"/>
      <c r="T44" s="929"/>
      <c r="U44" s="929"/>
      <c r="V44" s="689"/>
      <c r="W44" s="689"/>
      <c r="X44" s="689"/>
      <c r="Y44" s="689"/>
      <c r="Z44" s="689"/>
      <c r="AA44" s="689"/>
      <c r="AB44" s="689"/>
      <c r="AC44" s="929"/>
      <c r="AD44" s="929"/>
      <c r="AE44" s="929"/>
      <c r="AF44" s="929"/>
      <c r="AG44" s="929"/>
      <c r="AH44" s="929"/>
      <c r="AI44" s="929"/>
      <c r="AJ44" s="929"/>
      <c r="AK44" s="929"/>
      <c r="AL44" s="929"/>
      <c r="AM44" s="929"/>
      <c r="AN44" s="929"/>
      <c r="AO44" s="929"/>
      <c r="AP44" s="929"/>
      <c r="AQ44" s="929"/>
      <c r="AR44" s="929"/>
      <c r="AS44" s="929"/>
      <c r="AT44" s="929"/>
      <c r="AU44" s="929"/>
      <c r="AV44" s="929"/>
      <c r="AW44" s="929"/>
    </row>
    <row r="45" spans="1:49">
      <c r="A45" s="905"/>
    </row>
    <row r="46" spans="1:49">
      <c r="A46" s="201"/>
      <c r="B46" s="929"/>
      <c r="C46" s="929"/>
      <c r="D46" s="929"/>
      <c r="E46" s="929"/>
      <c r="F46" s="929"/>
      <c r="G46" s="929"/>
      <c r="H46" s="929"/>
      <c r="I46" s="929"/>
      <c r="J46" s="929"/>
      <c r="K46" s="929"/>
      <c r="L46" s="689"/>
      <c r="M46" s="689"/>
      <c r="N46" s="929"/>
      <c r="O46" s="929"/>
      <c r="P46" s="929"/>
      <c r="Q46" s="929"/>
      <c r="R46" s="929"/>
      <c r="S46" s="929"/>
      <c r="T46" s="929"/>
      <c r="U46" s="929"/>
      <c r="V46" s="689"/>
      <c r="W46" s="689"/>
      <c r="X46" s="689"/>
      <c r="Y46" s="689"/>
      <c r="Z46" s="689"/>
      <c r="AA46" s="689"/>
      <c r="AB46" s="689"/>
      <c r="AC46" s="929"/>
      <c r="AD46" s="929"/>
      <c r="AE46" s="929"/>
      <c r="AF46" s="929"/>
      <c r="AG46" s="929"/>
      <c r="AH46" s="929"/>
      <c r="AI46" s="929"/>
      <c r="AJ46" s="929"/>
      <c r="AK46" s="929"/>
      <c r="AL46" s="929"/>
      <c r="AM46" s="929"/>
      <c r="AN46" s="929"/>
      <c r="AO46" s="929"/>
      <c r="AP46" s="929"/>
      <c r="AQ46" s="929"/>
      <c r="AR46" s="929"/>
      <c r="AS46" s="929"/>
      <c r="AT46" s="929"/>
      <c r="AU46" s="929"/>
      <c r="AV46" s="929"/>
      <c r="AW46" s="929"/>
    </row>
    <row r="47" spans="1:49">
      <c r="A47" s="201"/>
      <c r="B47" s="929"/>
      <c r="C47" s="947"/>
      <c r="D47" s="929"/>
      <c r="E47" s="947"/>
      <c r="F47" s="929"/>
      <c r="G47" s="929"/>
      <c r="H47" s="929"/>
      <c r="I47" s="929"/>
      <c r="J47" s="929"/>
      <c r="K47" s="929"/>
      <c r="L47" s="689"/>
      <c r="M47" s="689"/>
      <c r="N47" s="929"/>
      <c r="O47" s="929"/>
      <c r="P47" s="929"/>
      <c r="Q47" s="929"/>
      <c r="R47" s="929"/>
      <c r="S47" s="929"/>
      <c r="T47" s="929"/>
      <c r="U47" s="929"/>
      <c r="V47" s="689"/>
      <c r="W47" s="689"/>
      <c r="X47" s="689"/>
      <c r="Y47" s="689"/>
      <c r="Z47" s="689"/>
      <c r="AA47" s="689"/>
      <c r="AB47" s="689"/>
      <c r="AC47" s="929"/>
      <c r="AD47" s="929"/>
      <c r="AE47" s="929"/>
      <c r="AF47" s="929"/>
      <c r="AG47" s="929"/>
      <c r="AH47" s="929"/>
      <c r="AI47" s="929"/>
      <c r="AJ47" s="929"/>
      <c r="AK47" s="929"/>
      <c r="AL47" s="929"/>
      <c r="AM47" s="929"/>
      <c r="AN47" s="929"/>
      <c r="AO47" s="929"/>
      <c r="AP47" s="929"/>
      <c r="AQ47" s="929"/>
      <c r="AR47" s="929"/>
      <c r="AS47" s="929"/>
      <c r="AT47" s="929"/>
      <c r="AU47" s="929"/>
      <c r="AV47" s="929"/>
      <c r="AW47" s="929"/>
    </row>
    <row r="48" spans="1:49">
      <c r="C48" s="974"/>
      <c r="E48" s="974"/>
    </row>
    <row r="49" spans="3:5">
      <c r="C49" s="974"/>
      <c r="E49" s="974"/>
    </row>
    <row r="50" spans="3:5">
      <c r="C50" s="974"/>
      <c r="E50" s="974"/>
    </row>
    <row r="51" spans="3:5">
      <c r="C51" s="974"/>
      <c r="E51" s="974"/>
    </row>
    <row r="52" spans="3:5">
      <c r="C52" s="974"/>
      <c r="E52" s="974"/>
    </row>
    <row r="53" spans="3:5">
      <c r="C53" s="974"/>
      <c r="E53" s="974"/>
    </row>
    <row r="54" spans="3:5">
      <c r="C54" s="974"/>
      <c r="E54" s="974"/>
    </row>
    <row r="55" spans="3:5">
      <c r="C55" s="974"/>
      <c r="E55" s="974"/>
    </row>
    <row r="56" spans="3:5">
      <c r="C56" s="974"/>
      <c r="E56" s="974"/>
    </row>
    <row r="57" spans="3:5">
      <c r="C57" s="974"/>
      <c r="E57" s="974"/>
    </row>
    <row r="58" spans="3:5">
      <c r="C58" s="974"/>
      <c r="E58" s="974"/>
    </row>
    <row r="59" spans="3:5">
      <c r="C59" s="974"/>
      <c r="E59" s="974"/>
    </row>
    <row r="60" spans="3:5">
      <c r="C60" s="974"/>
      <c r="E60" s="974"/>
    </row>
    <row r="61" spans="3:5">
      <c r="C61" s="974"/>
      <c r="E61" s="974"/>
    </row>
    <row r="62" spans="3:5">
      <c r="C62" s="974"/>
      <c r="E62" s="974"/>
    </row>
    <row r="63" spans="3:5">
      <c r="C63" s="974"/>
      <c r="E63" s="974"/>
    </row>
    <row r="64" spans="3:5">
      <c r="C64" s="974"/>
      <c r="E64" s="974"/>
    </row>
    <row r="65" spans="3:5">
      <c r="C65" s="974"/>
      <c r="E65" s="974"/>
    </row>
    <row r="66" spans="3:5">
      <c r="C66" s="974"/>
      <c r="E66" s="974"/>
    </row>
    <row r="67" spans="3:5">
      <c r="C67" s="974"/>
      <c r="E67" s="974"/>
    </row>
    <row r="68" spans="3:5">
      <c r="C68" s="974"/>
      <c r="E68" s="97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69140625" defaultRowHeight="15.5"/>
  <cols>
    <col min="1" max="1" width="47.07421875" style="929" customWidth="1"/>
    <col min="2" max="2" width="2" style="620" customWidth="1"/>
    <col min="3" max="3" width="15.07421875" style="422" customWidth="1"/>
    <col min="4" max="4" width="1.69140625" style="933" customWidth="1"/>
    <col min="5" max="5" width="15.07421875" style="422" customWidth="1"/>
    <col min="6" max="6" width="2.69140625" style="933" customWidth="1"/>
    <col min="7" max="7" width="15.07421875" style="933" customWidth="1"/>
    <col min="8" max="8" width="2" style="933" customWidth="1"/>
    <col min="9" max="9" width="15.07421875" style="933" customWidth="1"/>
    <col min="10" max="10" width="2.07421875" style="620" customWidth="1"/>
    <col min="11" max="11" width="15.07421875" style="620" customWidth="1"/>
    <col min="12" max="12" width="11.4609375" style="620" customWidth="1"/>
    <col min="13" max="13" width="1.69140625" style="620" customWidth="1"/>
    <col min="14" max="14" width="11.69140625" style="620" customWidth="1"/>
    <col min="15" max="15" width="2.07421875" style="620" customWidth="1"/>
    <col min="16" max="16" width="11.4609375" style="620" customWidth="1"/>
    <col min="17" max="17" width="0.53515625" style="620" customWidth="1"/>
    <col min="18" max="18" width="2.07421875" style="620" customWidth="1"/>
    <col min="19" max="19" width="10.53515625" style="620" customWidth="1"/>
    <col min="20" max="20" width="11.07421875" style="620" customWidth="1"/>
    <col min="21" max="21" width="2.07421875" style="620" customWidth="1"/>
    <col min="22" max="22" width="11.07421875" style="620" customWidth="1"/>
    <col min="23" max="23" width="2.07421875" style="620" customWidth="1"/>
    <col min="24" max="24" width="12.4609375" style="620" customWidth="1"/>
    <col min="25" max="29" width="8.69140625" style="620"/>
    <col min="30" max="30" width="8.69140625" style="933"/>
    <col min="31" max="16384" width="8.69140625" style="929"/>
  </cols>
  <sheetData>
    <row r="1" spans="1:24">
      <c r="A1" s="935" t="s">
        <v>963</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49999999999999"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7.25" customHeight="1">
      <c r="A3" s="188" t="s">
        <v>0</v>
      </c>
      <c r="B3" s="145"/>
      <c r="C3" s="419"/>
      <c r="D3" s="140"/>
      <c r="E3" s="419"/>
      <c r="F3" s="140"/>
      <c r="G3" s="140"/>
      <c r="H3" s="140"/>
      <c r="I3" s="820"/>
      <c r="J3" s="140"/>
      <c r="K3" s="820" t="s">
        <v>83</v>
      </c>
      <c r="L3" s="153"/>
      <c r="M3" s="153"/>
      <c r="N3" s="153"/>
      <c r="O3" s="153"/>
      <c r="P3" s="153"/>
      <c r="Q3" s="153"/>
      <c r="R3" s="153"/>
      <c r="S3" s="153"/>
      <c r="T3" s="153"/>
      <c r="U3" s="153"/>
      <c r="V3" s="153"/>
      <c r="W3" s="153"/>
      <c r="X3" s="189"/>
    </row>
    <row r="4" spans="1:24" ht="17.25" customHeight="1">
      <c r="A4" s="188" t="s">
        <v>82</v>
      </c>
      <c r="B4" s="145"/>
      <c r="C4" s="419"/>
      <c r="D4" s="140"/>
      <c r="E4" s="419"/>
      <c r="F4" s="140"/>
      <c r="G4" s="140"/>
      <c r="H4" s="140"/>
      <c r="I4" s="821"/>
      <c r="J4" s="140"/>
      <c r="K4" s="821"/>
      <c r="L4" s="153"/>
      <c r="M4" s="153"/>
      <c r="N4" s="153"/>
      <c r="O4" s="153"/>
      <c r="P4" s="153"/>
      <c r="Q4" s="153"/>
      <c r="R4" s="153"/>
      <c r="S4" s="153"/>
      <c r="T4" s="153"/>
      <c r="U4" s="153"/>
      <c r="V4" s="153"/>
      <c r="W4" s="153"/>
      <c r="X4" s="153"/>
    </row>
    <row r="5" spans="1:24" ht="17.25" customHeight="1">
      <c r="A5" s="3923" t="str">
        <f>'Exh D-Governmental  '!A5:E5</f>
        <v>FISCAL YEAR 2020-2021</v>
      </c>
      <c r="B5" s="3924"/>
      <c r="C5" s="3924"/>
      <c r="D5" s="3924"/>
      <c r="E5" s="3924"/>
      <c r="F5" s="140"/>
      <c r="G5" s="140"/>
      <c r="H5" s="140"/>
      <c r="I5" s="140"/>
      <c r="J5" s="140"/>
      <c r="K5" s="153"/>
      <c r="L5" s="153"/>
      <c r="M5" s="153"/>
      <c r="N5" s="153"/>
      <c r="O5" s="153"/>
      <c r="P5" s="153"/>
      <c r="Q5" s="153"/>
      <c r="R5" s="153"/>
      <c r="S5" s="153"/>
      <c r="T5" s="153"/>
      <c r="U5" s="153"/>
      <c r="V5" s="153"/>
      <c r="W5" s="153"/>
      <c r="X5" s="153"/>
    </row>
    <row r="6" spans="1:24" ht="17.25" customHeight="1">
      <c r="A6" s="1471" t="str">
        <f>'Exh D-Governmental  '!A6</f>
        <v xml:space="preserve">FOR SEVEN MONTHS ENDED OCTOBER 31, 2020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8">
      <c r="A7" s="188" t="s">
        <v>1366</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c r="A11" s="688"/>
      <c r="C11" s="3925" t="s">
        <v>1129</v>
      </c>
      <c r="D11" s="3925"/>
      <c r="E11" s="3925"/>
      <c r="F11" s="3925"/>
      <c r="G11" s="3925"/>
      <c r="H11" s="3925"/>
      <c r="I11" s="3925"/>
      <c r="J11" s="1192"/>
      <c r="K11" s="1193"/>
      <c r="L11" s="191"/>
      <c r="M11" s="191"/>
      <c r="N11" s="191"/>
      <c r="O11" s="191"/>
      <c r="P11" s="191"/>
      <c r="Q11" s="191"/>
      <c r="R11" s="148"/>
      <c r="S11" s="191"/>
      <c r="T11" s="192"/>
      <c r="U11" s="191"/>
      <c r="V11" s="191"/>
      <c r="W11" s="191"/>
      <c r="X11" s="191"/>
    </row>
    <row r="12" spans="1:24">
      <c r="A12" s="688"/>
      <c r="C12" s="423"/>
      <c r="D12" s="193"/>
      <c r="E12" s="423"/>
      <c r="F12" s="193"/>
      <c r="G12" s="194"/>
      <c r="H12" s="193"/>
      <c r="I12" s="193" t="s">
        <v>84</v>
      </c>
      <c r="J12" s="148"/>
      <c r="K12" s="193" t="s">
        <v>84</v>
      </c>
      <c r="L12" s="191"/>
      <c r="M12" s="191"/>
      <c r="N12" s="191"/>
      <c r="O12" s="191"/>
      <c r="P12" s="191"/>
      <c r="Q12" s="191"/>
      <c r="R12" s="148"/>
      <c r="S12" s="191"/>
      <c r="T12" s="192"/>
      <c r="U12" s="191"/>
      <c r="V12" s="191"/>
      <c r="W12" s="191"/>
      <c r="X12" s="191"/>
    </row>
    <row r="13" spans="1:24">
      <c r="A13" s="688"/>
      <c r="B13" s="148"/>
      <c r="C13" s="421"/>
      <c r="D13" s="195"/>
      <c r="E13" s="421"/>
      <c r="F13" s="195"/>
      <c r="G13" s="195"/>
      <c r="H13" s="195"/>
      <c r="I13" s="196" t="s">
        <v>874</v>
      </c>
      <c r="J13" s="148"/>
      <c r="K13" s="196" t="s">
        <v>874</v>
      </c>
      <c r="L13" s="148"/>
      <c r="M13" s="148"/>
      <c r="N13" s="148"/>
      <c r="O13" s="148"/>
      <c r="P13" s="197"/>
      <c r="Q13" s="198"/>
      <c r="R13" s="148"/>
      <c r="S13" s="148"/>
      <c r="T13" s="148"/>
      <c r="U13" s="148"/>
      <c r="V13" s="148"/>
      <c r="W13" s="148"/>
      <c r="X13" s="197"/>
    </row>
    <row r="14" spans="1:24">
      <c r="A14" s="688"/>
      <c r="B14" s="199"/>
      <c r="C14" s="151" t="s">
        <v>1075</v>
      </c>
      <c r="D14" s="149"/>
      <c r="E14" s="150" t="s">
        <v>1076</v>
      </c>
      <c r="F14" s="149"/>
      <c r="G14" s="149"/>
      <c r="H14" s="149"/>
      <c r="I14" s="150" t="s">
        <v>85</v>
      </c>
      <c r="J14" s="148"/>
      <c r="K14" s="150" t="s">
        <v>85</v>
      </c>
      <c r="L14" s="198"/>
      <c r="M14" s="148"/>
      <c r="N14" s="148"/>
      <c r="O14" s="148"/>
      <c r="P14" s="197"/>
      <c r="Q14" s="198"/>
      <c r="R14" s="148"/>
      <c r="S14" s="197"/>
      <c r="T14" s="198"/>
      <c r="U14" s="148"/>
      <c r="V14" s="148"/>
      <c r="W14" s="148"/>
      <c r="X14" s="197"/>
    </row>
    <row r="15" spans="1:24">
      <c r="A15" s="688"/>
      <c r="B15" s="199"/>
      <c r="C15" s="150" t="s">
        <v>1112</v>
      </c>
      <c r="D15" s="149"/>
      <c r="E15" s="150" t="s">
        <v>1112</v>
      </c>
      <c r="F15" s="149"/>
      <c r="G15" s="149"/>
      <c r="H15" s="149"/>
      <c r="I15" s="150" t="s">
        <v>1075</v>
      </c>
      <c r="J15" s="148"/>
      <c r="K15" s="150" t="s">
        <v>1076</v>
      </c>
      <c r="L15" s="198"/>
      <c r="M15" s="148"/>
      <c r="N15" s="148"/>
      <c r="O15" s="148"/>
      <c r="P15" s="197"/>
      <c r="Q15" s="198"/>
      <c r="R15" s="148"/>
      <c r="S15" s="197"/>
      <c r="T15" s="198"/>
      <c r="U15" s="148"/>
      <c r="V15" s="148"/>
      <c r="W15" s="148"/>
      <c r="X15" s="197"/>
    </row>
    <row r="16" spans="1:24">
      <c r="A16" s="688"/>
      <c r="B16" s="198"/>
      <c r="C16" s="150" t="s">
        <v>1113</v>
      </c>
      <c r="D16" s="149"/>
      <c r="E16" s="150" t="s">
        <v>1510</v>
      </c>
      <c r="F16" s="149"/>
      <c r="G16" s="151" t="s">
        <v>84</v>
      </c>
      <c r="H16" s="149"/>
      <c r="I16" s="150" t="s">
        <v>86</v>
      </c>
      <c r="J16" s="148"/>
      <c r="K16" s="150" t="s">
        <v>86</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c r="A18" s="29" t="s">
        <v>14</v>
      </c>
      <c r="B18" s="922"/>
      <c r="C18" s="655"/>
      <c r="D18" s="655"/>
      <c r="E18" s="655"/>
      <c r="F18" s="655"/>
      <c r="G18" s="655"/>
      <c r="H18" s="655"/>
      <c r="I18" s="655"/>
      <c r="J18" s="922"/>
      <c r="K18" s="655"/>
      <c r="L18" s="922"/>
      <c r="M18" s="922"/>
      <c r="N18" s="922"/>
      <c r="O18" s="922"/>
      <c r="P18" s="922"/>
      <c r="Q18" s="922"/>
      <c r="R18" s="922"/>
      <c r="S18" s="922"/>
      <c r="T18" s="922"/>
      <c r="U18" s="922"/>
      <c r="V18" s="922"/>
      <c r="W18" s="922"/>
      <c r="X18" s="922"/>
    </row>
    <row r="19" spans="1:24">
      <c r="A19" s="818" t="s">
        <v>87</v>
      </c>
      <c r="B19" s="923"/>
      <c r="C19" s="655"/>
      <c r="D19" s="655"/>
      <c r="E19" s="655"/>
      <c r="F19" s="655"/>
      <c r="G19" s="655"/>
      <c r="H19" s="923"/>
      <c r="I19" s="655"/>
      <c r="J19" s="922"/>
      <c r="K19" s="655"/>
      <c r="L19" s="922"/>
      <c r="M19" s="922"/>
      <c r="N19" s="922"/>
      <c r="O19" s="922"/>
      <c r="P19" s="922"/>
      <c r="Q19" s="922"/>
      <c r="R19" s="922"/>
      <c r="S19" s="922"/>
      <c r="T19" s="922"/>
      <c r="U19" s="922"/>
      <c r="V19" s="922"/>
      <c r="W19" s="922"/>
      <c r="X19" s="922"/>
    </row>
    <row r="20" spans="1:24">
      <c r="A20" s="818" t="s">
        <v>88</v>
      </c>
      <c r="B20" s="923" t="s">
        <v>15</v>
      </c>
      <c r="C20" s="2054">
        <v>14001</v>
      </c>
      <c r="D20" s="658"/>
      <c r="E20" s="2054">
        <v>14873</v>
      </c>
      <c r="F20" s="658"/>
      <c r="G20" s="1010">
        <f>+'Exhibit H'!AA16</f>
        <v>14695.3</v>
      </c>
      <c r="H20" s="658"/>
      <c r="I20" s="656">
        <f>G20-C20</f>
        <v>694.29999999999927</v>
      </c>
      <c r="J20" s="922"/>
      <c r="K20" s="656">
        <f>G20-E20</f>
        <v>-177.70000000000073</v>
      </c>
      <c r="L20" s="969"/>
      <c r="M20" s="922"/>
      <c r="N20" s="922"/>
      <c r="O20" s="922"/>
      <c r="P20" s="922"/>
      <c r="Q20" s="922"/>
      <c r="R20" s="922"/>
      <c r="S20" s="922"/>
      <c r="T20" s="922"/>
      <c r="U20" s="922"/>
      <c r="V20" s="922"/>
      <c r="W20" s="922"/>
      <c r="X20" s="922"/>
    </row>
    <row r="21" spans="1:24">
      <c r="A21" s="818" t="s">
        <v>89</v>
      </c>
      <c r="B21" s="922" t="s">
        <v>15</v>
      </c>
      <c r="C21" s="1120">
        <v>3571</v>
      </c>
      <c r="D21" s="1529"/>
      <c r="E21" s="1120">
        <v>3668</v>
      </c>
      <c r="F21" s="641"/>
      <c r="G21" s="893">
        <f>+'Exhibit H'!AA20</f>
        <v>3660.7</v>
      </c>
      <c r="H21" s="641"/>
      <c r="I21" s="641">
        <f>G21-C21</f>
        <v>89.699999999999818</v>
      </c>
      <c r="J21" s="941"/>
      <c r="K21" s="1529">
        <f t="shared" ref="K21:K24" si="0">G21-E21</f>
        <v>-7.3000000000001819</v>
      </c>
      <c r="L21" s="969"/>
      <c r="M21" s="922"/>
      <c r="N21" s="922"/>
      <c r="O21" s="922"/>
      <c r="P21" s="922"/>
      <c r="Q21" s="922"/>
      <c r="R21" s="922"/>
      <c r="S21" s="922"/>
      <c r="T21" s="922"/>
      <c r="U21" s="922"/>
      <c r="V21" s="922"/>
      <c r="W21" s="922"/>
      <c r="X21" s="922"/>
    </row>
    <row r="22" spans="1:24">
      <c r="A22" s="818" t="s">
        <v>91</v>
      </c>
      <c r="B22" s="922" t="s">
        <v>15</v>
      </c>
      <c r="C22" s="1120">
        <v>399</v>
      </c>
      <c r="D22" s="1529"/>
      <c r="E22" s="1120">
        <v>407</v>
      </c>
      <c r="F22" s="641"/>
      <c r="G22" s="893">
        <f>+'Exhibit H'!AA24</f>
        <v>389.6</v>
      </c>
      <c r="H22" s="641"/>
      <c r="I22" s="641">
        <f t="shared" ref="I22:I25" si="1">G22-C22</f>
        <v>-9.3999999999999773</v>
      </c>
      <c r="J22" s="941"/>
      <c r="K22" s="1529">
        <f t="shared" si="0"/>
        <v>-17.399999999999977</v>
      </c>
      <c r="L22" s="969"/>
      <c r="M22" s="922"/>
      <c r="N22" s="922"/>
      <c r="O22" s="922"/>
      <c r="P22" s="922"/>
      <c r="Q22" s="922"/>
      <c r="R22" s="922"/>
      <c r="S22" s="922"/>
      <c r="T22" s="922"/>
      <c r="U22" s="922"/>
      <c r="V22" s="922"/>
      <c r="W22" s="922"/>
      <c r="X22" s="922"/>
    </row>
    <row r="23" spans="1:24" ht="15" customHeight="1">
      <c r="A23" s="818" t="s">
        <v>20</v>
      </c>
      <c r="B23" s="922" t="s">
        <v>15</v>
      </c>
      <c r="C23" s="1120">
        <v>221</v>
      </c>
      <c r="D23" s="1529"/>
      <c r="E23" s="1120">
        <v>247</v>
      </c>
      <c r="F23" s="641"/>
      <c r="G23" s="893">
        <f>+'Exhibit H'!AA45</f>
        <v>253</v>
      </c>
      <c r="H23" s="641"/>
      <c r="I23" s="641">
        <f t="shared" si="1"/>
        <v>32</v>
      </c>
      <c r="J23" s="941"/>
      <c r="K23" s="1529">
        <f t="shared" si="0"/>
        <v>6</v>
      </c>
      <c r="L23" s="969"/>
      <c r="M23" s="922"/>
      <c r="N23" s="922"/>
      <c r="O23" s="922"/>
      <c r="P23" s="922"/>
      <c r="Q23" s="922"/>
      <c r="R23" s="922"/>
      <c r="S23" s="922"/>
      <c r="T23" s="922"/>
      <c r="U23" s="922"/>
      <c r="V23" s="922"/>
      <c r="W23" s="922"/>
      <c r="X23" s="922"/>
    </row>
    <row r="24" spans="1:24" ht="15" customHeight="1">
      <c r="A24" s="818" t="s">
        <v>21</v>
      </c>
      <c r="B24" s="922" t="s">
        <v>15</v>
      </c>
      <c r="C24" s="1120">
        <v>36</v>
      </c>
      <c r="D24" s="1529"/>
      <c r="E24" s="1120">
        <v>24</v>
      </c>
      <c r="F24" s="641"/>
      <c r="G24" s="893">
        <f>+'Exhibit H'!AA47</f>
        <v>24.4</v>
      </c>
      <c r="H24" s="641"/>
      <c r="I24" s="641">
        <f t="shared" si="1"/>
        <v>-11.600000000000001</v>
      </c>
      <c r="J24" s="941"/>
      <c r="K24" s="1529">
        <f t="shared" si="0"/>
        <v>0.39999999999999858</v>
      </c>
      <c r="L24" s="969"/>
      <c r="M24" s="922"/>
      <c r="N24" s="945"/>
      <c r="O24" s="922"/>
      <c r="P24" s="945"/>
      <c r="Q24" s="946"/>
      <c r="R24" s="922"/>
      <c r="S24" s="922"/>
      <c r="T24" s="922"/>
      <c r="U24" s="922"/>
      <c r="V24" s="922"/>
      <c r="W24" s="922"/>
      <c r="X24" s="922"/>
    </row>
    <row r="25" spans="1:24">
      <c r="A25" s="818" t="s">
        <v>47</v>
      </c>
      <c r="B25" s="946" t="s">
        <v>15</v>
      </c>
      <c r="C25" s="1120">
        <v>1171</v>
      </c>
      <c r="D25" s="1529"/>
      <c r="E25" s="1120">
        <v>1286</v>
      </c>
      <c r="F25" s="641"/>
      <c r="G25" s="1481">
        <f>+'Exhibit H'!AA64</f>
        <v>1376.6000000000001</v>
      </c>
      <c r="H25" s="641"/>
      <c r="I25" s="641">
        <f t="shared" si="1"/>
        <v>205.60000000000014</v>
      </c>
      <c r="J25" s="941"/>
      <c r="K25" s="1529">
        <f>G25-E25</f>
        <v>90.600000000000136</v>
      </c>
      <c r="L25" s="969"/>
      <c r="M25" s="922"/>
      <c r="N25" s="945"/>
      <c r="O25" s="922"/>
      <c r="P25" s="945"/>
      <c r="Q25" s="946"/>
      <c r="R25" s="922"/>
      <c r="S25" s="922"/>
      <c r="T25" s="922"/>
      <c r="U25" s="922"/>
      <c r="V25" s="922"/>
      <c r="W25" s="922"/>
      <c r="X25" s="922"/>
    </row>
    <row r="26" spans="1:24" ht="18" customHeight="1">
      <c r="A26" s="961" t="s">
        <v>108</v>
      </c>
      <c r="B26" s="148" t="s">
        <v>15</v>
      </c>
      <c r="C26" s="212">
        <f>ROUND(SUM(C20:C25),1)</f>
        <v>19399</v>
      </c>
      <c r="D26" s="109"/>
      <c r="E26" s="212">
        <f>ROUND(SUM(E20:E25),1)</f>
        <v>20505</v>
      </c>
      <c r="F26" s="920"/>
      <c r="G26" s="1482">
        <f>ROUND(SUM(G20:G25),1)</f>
        <v>20399.599999999999</v>
      </c>
      <c r="H26" s="920"/>
      <c r="I26" s="212">
        <f>ROUND(SUM(I20:I25),1)</f>
        <v>1000.6</v>
      </c>
      <c r="J26" s="74"/>
      <c r="K26" s="212">
        <f>ROUND(SUM(K20:K25),1)</f>
        <v>-105.4</v>
      </c>
      <c r="L26" s="969"/>
      <c r="M26" s="148"/>
      <c r="N26" s="148"/>
      <c r="O26" s="148"/>
      <c r="P26" s="148"/>
      <c r="Q26" s="148"/>
      <c r="R26" s="148"/>
      <c r="S26" s="148"/>
      <c r="T26" s="148"/>
      <c r="U26" s="148"/>
      <c r="V26" s="148"/>
      <c r="W26" s="148"/>
      <c r="X26" s="148"/>
    </row>
    <row r="27" spans="1:24">
      <c r="A27" s="688"/>
      <c r="B27" s="922"/>
      <c r="C27" s="686"/>
      <c r="D27" s="893"/>
      <c r="E27" s="686"/>
      <c r="F27" s="641"/>
      <c r="G27" s="1040"/>
      <c r="H27" s="641"/>
      <c r="I27" s="686"/>
      <c r="J27" s="941"/>
      <c r="K27" s="686"/>
      <c r="L27" s="969"/>
      <c r="M27" s="922"/>
      <c r="N27" s="922"/>
      <c r="O27" s="922"/>
      <c r="P27" s="922"/>
      <c r="Q27" s="922"/>
      <c r="R27" s="922"/>
      <c r="S27" s="922"/>
      <c r="T27" s="922"/>
      <c r="U27" s="922"/>
      <c r="V27" s="922"/>
      <c r="W27" s="922"/>
      <c r="X27" s="922"/>
    </row>
    <row r="28" spans="1:24">
      <c r="A28" s="29" t="s">
        <v>23</v>
      </c>
      <c r="B28" s="922"/>
      <c r="C28" s="641"/>
      <c r="D28" s="893"/>
      <c r="E28" s="1529"/>
      <c r="F28" s="641"/>
      <c r="G28" s="893"/>
      <c r="H28" s="641"/>
      <c r="I28" s="641"/>
      <c r="J28" s="941"/>
      <c r="K28" s="641"/>
      <c r="L28" s="969"/>
      <c r="M28" s="922"/>
      <c r="N28" s="922"/>
      <c r="O28" s="922"/>
      <c r="P28" s="922"/>
      <c r="Q28" s="922"/>
      <c r="R28" s="922"/>
      <c r="S28" s="922"/>
      <c r="T28" s="922"/>
      <c r="U28" s="922"/>
      <c r="V28" s="922"/>
      <c r="W28" s="922"/>
      <c r="X28" s="922"/>
    </row>
    <row r="29" spans="1:24">
      <c r="A29" s="818" t="s">
        <v>94</v>
      </c>
      <c r="B29" s="943" t="s">
        <v>15</v>
      </c>
      <c r="C29" s="1120">
        <v>19</v>
      </c>
      <c r="D29" s="1529"/>
      <c r="E29" s="1120">
        <v>30</v>
      </c>
      <c r="F29" s="641"/>
      <c r="G29" s="682">
        <f>+'Exhibit H'!AA53</f>
        <v>29.6</v>
      </c>
      <c r="H29" s="641"/>
      <c r="I29" s="1529">
        <f t="shared" ref="I29:I31" si="2">G29-C29</f>
        <v>10.600000000000001</v>
      </c>
      <c r="J29" s="941"/>
      <c r="K29" s="1529">
        <f t="shared" ref="K29:K31" si="3">G29-E29</f>
        <v>-0.39999999999999858</v>
      </c>
      <c r="L29" s="969"/>
      <c r="M29" s="922"/>
      <c r="N29" s="943"/>
      <c r="O29" s="922"/>
      <c r="P29" s="945"/>
      <c r="Q29" s="922"/>
      <c r="R29" s="922"/>
      <c r="S29" s="945"/>
      <c r="T29" s="945"/>
      <c r="U29" s="922"/>
      <c r="V29" s="945"/>
      <c r="W29" s="922"/>
      <c r="X29" s="945"/>
    </row>
    <row r="30" spans="1:24" ht="14.25" customHeight="1">
      <c r="A30" s="818" t="s">
        <v>95</v>
      </c>
      <c r="B30" s="946" t="s">
        <v>15</v>
      </c>
      <c r="C30" s="1120">
        <v>1335</v>
      </c>
      <c r="D30" s="1529"/>
      <c r="E30" s="1120">
        <v>1319</v>
      </c>
      <c r="F30" s="641"/>
      <c r="G30" s="1120">
        <f>+'Exhibit H'!AA55</f>
        <v>1318.8</v>
      </c>
      <c r="H30" s="641"/>
      <c r="I30" s="1529">
        <f t="shared" si="2"/>
        <v>-16.200000000000045</v>
      </c>
      <c r="J30" s="941"/>
      <c r="K30" s="1529">
        <f t="shared" si="3"/>
        <v>-0.20000000000004547</v>
      </c>
      <c r="L30" s="969"/>
      <c r="M30" s="922"/>
      <c r="N30" s="943"/>
      <c r="O30" s="922"/>
      <c r="P30" s="922"/>
      <c r="Q30" s="922"/>
      <c r="R30" s="922"/>
      <c r="S30" s="945"/>
      <c r="T30" s="945"/>
      <c r="U30" s="922"/>
      <c r="V30" s="945"/>
      <c r="W30" s="922"/>
      <c r="X30" s="945"/>
    </row>
    <row r="31" spans="1:24">
      <c r="A31" s="818" t="s">
        <v>98</v>
      </c>
      <c r="B31" s="946" t="s">
        <v>15</v>
      </c>
      <c r="C31" s="1120">
        <v>15661</v>
      </c>
      <c r="D31" s="1529"/>
      <c r="E31" s="1120">
        <v>16794</v>
      </c>
      <c r="F31" s="641"/>
      <c r="G31" s="682">
        <f>-'Exhibit H'!AA65</f>
        <v>15814.3</v>
      </c>
      <c r="H31" s="641"/>
      <c r="I31" s="1529">
        <f t="shared" si="2"/>
        <v>153.29999999999927</v>
      </c>
      <c r="J31" s="941"/>
      <c r="K31" s="1529">
        <f t="shared" si="3"/>
        <v>-979.70000000000073</v>
      </c>
      <c r="L31" s="969"/>
      <c r="M31" s="922"/>
      <c r="N31" s="945"/>
      <c r="O31" s="922"/>
      <c r="P31" s="945"/>
      <c r="Q31" s="946"/>
      <c r="R31" s="922"/>
      <c r="S31" s="922"/>
      <c r="T31" s="922"/>
      <c r="U31" s="922"/>
      <c r="V31" s="922"/>
      <c r="W31" s="922"/>
      <c r="X31" s="922"/>
    </row>
    <row r="32" spans="1:24" ht="18" customHeight="1">
      <c r="A32" s="961" t="s">
        <v>117</v>
      </c>
      <c r="B32" s="148" t="s">
        <v>15</v>
      </c>
      <c r="C32" s="212">
        <f>ROUND(SUM(C29:C31),1)</f>
        <v>17015</v>
      </c>
      <c r="D32" s="109"/>
      <c r="E32" s="212">
        <f>ROUND(SUM(E29:E31),1)</f>
        <v>18143</v>
      </c>
      <c r="F32" s="920"/>
      <c r="G32" s="1482">
        <f>ROUND(SUM(G29:G31),1)</f>
        <v>17162.7</v>
      </c>
      <c r="H32" s="920"/>
      <c r="I32" s="212">
        <f>ROUND(SUM(I29:I31),1)</f>
        <v>147.69999999999999</v>
      </c>
      <c r="J32" s="74"/>
      <c r="K32" s="212">
        <f>ROUND(SUM(K29:K31),1)</f>
        <v>-980.3</v>
      </c>
      <c r="L32" s="969"/>
      <c r="M32" s="148"/>
      <c r="N32" s="148"/>
      <c r="O32" s="148"/>
      <c r="P32" s="148"/>
      <c r="Q32" s="148"/>
      <c r="R32" s="148"/>
      <c r="S32" s="148"/>
      <c r="T32" s="148"/>
      <c r="U32" s="148"/>
      <c r="V32" s="148"/>
      <c r="W32" s="148"/>
      <c r="X32" s="148"/>
    </row>
    <row r="33" spans="1:24">
      <c r="A33" s="688"/>
      <c r="B33" s="922"/>
      <c r="C33" s="686"/>
      <c r="D33" s="893"/>
      <c r="E33" s="686"/>
      <c r="F33" s="641"/>
      <c r="G33" s="1040"/>
      <c r="H33" s="641"/>
      <c r="I33" s="686"/>
      <c r="J33" s="941"/>
      <c r="K33" s="686"/>
      <c r="L33" s="969"/>
      <c r="M33" s="922"/>
      <c r="N33" s="922"/>
      <c r="O33" s="922"/>
      <c r="P33" s="922"/>
      <c r="Q33" s="922"/>
      <c r="R33" s="922"/>
      <c r="S33" s="922"/>
      <c r="T33" s="922"/>
      <c r="U33" s="922"/>
      <c r="V33" s="922"/>
      <c r="W33" s="922"/>
      <c r="X33" s="922"/>
    </row>
    <row r="34" spans="1:24">
      <c r="A34" s="29" t="s">
        <v>118</v>
      </c>
      <c r="B34" s="922"/>
      <c r="C34" s="641"/>
      <c r="D34" s="893"/>
      <c r="E34" s="1529"/>
      <c r="F34" s="641"/>
      <c r="G34" s="893"/>
      <c r="H34" s="641"/>
      <c r="I34" s="641"/>
      <c r="J34" s="941"/>
      <c r="K34" s="641"/>
      <c r="L34" s="969"/>
      <c r="M34" s="922"/>
      <c r="N34" s="922"/>
      <c r="O34" s="922"/>
      <c r="P34" s="922"/>
      <c r="Q34" s="922"/>
      <c r="R34" s="922"/>
      <c r="S34" s="922"/>
      <c r="T34" s="922"/>
      <c r="U34" s="922"/>
      <c r="V34" s="922"/>
      <c r="W34" s="922"/>
      <c r="X34" s="922"/>
    </row>
    <row r="35" spans="1:24">
      <c r="A35" s="29" t="s">
        <v>119</v>
      </c>
      <c r="B35" s="922"/>
      <c r="C35" s="641"/>
      <c r="D35" s="893"/>
      <c r="E35" s="1529"/>
      <c r="F35" s="641"/>
      <c r="G35" s="893"/>
      <c r="H35" s="641"/>
      <c r="I35" s="641"/>
      <c r="J35" s="941"/>
      <c r="K35" s="641"/>
      <c r="L35" s="969"/>
      <c r="M35" s="922"/>
      <c r="N35" s="922"/>
      <c r="O35" s="922"/>
      <c r="P35" s="922"/>
      <c r="Q35" s="922"/>
      <c r="R35" s="922"/>
      <c r="S35" s="922"/>
      <c r="T35" s="922"/>
      <c r="U35" s="922"/>
      <c r="V35" s="922"/>
      <c r="W35" s="922"/>
      <c r="X35" s="922"/>
    </row>
    <row r="36" spans="1:24">
      <c r="A36" s="961" t="s">
        <v>102</v>
      </c>
      <c r="B36" s="960" t="s">
        <v>15</v>
      </c>
      <c r="C36" s="74">
        <f>C26-C32</f>
        <v>2384</v>
      </c>
      <c r="D36" s="1103"/>
      <c r="E36" s="1530">
        <f>E26-E32</f>
        <v>2362</v>
      </c>
      <c r="F36" s="82"/>
      <c r="G36" s="112">
        <f>ROUND(SUM(G26)-SUM(G32),1)</f>
        <v>3236.9</v>
      </c>
      <c r="H36" s="82"/>
      <c r="I36" s="74">
        <f>ROUND(SUM(I26)-SUM(I32),1)</f>
        <v>852.9</v>
      </c>
      <c r="J36" s="389"/>
      <c r="K36" s="74">
        <f>ROUND(SUM(K26)-SUM(K32),1)</f>
        <v>874.9</v>
      </c>
      <c r="L36" s="969"/>
      <c r="M36" s="171"/>
      <c r="N36" s="148"/>
      <c r="O36" s="171"/>
      <c r="P36" s="148"/>
      <c r="Q36" s="148"/>
      <c r="R36" s="171"/>
      <c r="S36" s="148"/>
      <c r="T36" s="148"/>
      <c r="U36" s="171"/>
      <c r="V36" s="148"/>
      <c r="W36" s="171"/>
      <c r="X36" s="148"/>
    </row>
    <row r="37" spans="1:24" ht="15" customHeight="1">
      <c r="C37" s="668"/>
      <c r="D37" s="1650"/>
      <c r="E37" s="668"/>
      <c r="F37" s="930"/>
      <c r="G37" s="1483"/>
      <c r="H37" s="930"/>
      <c r="I37" s="668"/>
      <c r="J37" s="668"/>
      <c r="K37" s="668"/>
      <c r="L37" s="969"/>
    </row>
    <row r="38" spans="1:24">
      <c r="A38" s="976" t="str">
        <f>'Exh D-Governmental  '!A49</f>
        <v>Fund Balances (Deficits) at April 1</v>
      </c>
      <c r="B38" s="620" t="s">
        <v>15</v>
      </c>
      <c r="C38" s="112">
        <v>63</v>
      </c>
      <c r="D38" s="1650"/>
      <c r="E38" s="112">
        <v>63</v>
      </c>
      <c r="F38" s="930"/>
      <c r="G38" s="112">
        <f>'Exhibit H'!AA12</f>
        <v>63.4</v>
      </c>
      <c r="H38" s="930"/>
      <c r="I38" s="79">
        <f>G38-C38</f>
        <v>0.39999999999999858</v>
      </c>
      <c r="J38" s="668"/>
      <c r="K38" s="920">
        <f>G38-E38</f>
        <v>0.39999999999999858</v>
      </c>
      <c r="L38" s="969"/>
    </row>
    <row r="39" spans="1:24" ht="18" customHeight="1" thickBot="1">
      <c r="A39" s="1378" t="str">
        <f>+'Exh D-Governmental  '!A50</f>
        <v>Fund Balances (Deficits) at October 31, 2020</v>
      </c>
      <c r="B39" s="177" t="s">
        <v>15</v>
      </c>
      <c r="C39" s="95">
        <f>ROUND(SUM(C36:C38),1)</f>
        <v>2447</v>
      </c>
      <c r="D39" s="178"/>
      <c r="E39" s="95">
        <f>ROUND(SUM(E36:E38),1)</f>
        <v>2425</v>
      </c>
      <c r="F39" s="178"/>
      <c r="G39" s="1484">
        <f>ROUND(SUM(G36:G38),1)</f>
        <v>3300.3</v>
      </c>
      <c r="H39" s="178"/>
      <c r="I39" s="95">
        <f>ROUND(SUM(I36:I38),1)</f>
        <v>853.3</v>
      </c>
      <c r="K39" s="95">
        <f>ROUND(SUM(K36:K38),1)</f>
        <v>875.3</v>
      </c>
      <c r="L39" s="969"/>
    </row>
    <row r="40" spans="1:24" ht="15" customHeight="1" thickTop="1">
      <c r="A40" s="152"/>
      <c r="C40" s="687"/>
      <c r="D40" s="947"/>
      <c r="E40" s="687"/>
      <c r="F40" s="947"/>
      <c r="G40" s="947"/>
      <c r="H40" s="947"/>
      <c r="I40" s="947"/>
      <c r="K40" s="947"/>
    </row>
    <row r="41" spans="1:24">
      <c r="A41" s="934" t="str">
        <f>'Exh D-Governmental  '!A52</f>
        <v>(*)    Source: 2020-21 Enacted Financial Plan dated April 25, 2020.</v>
      </c>
    </row>
    <row r="42" spans="1:24">
      <c r="A42" s="934" t="str">
        <f>'Exh D-Governmental  '!A53</f>
        <v>(**)   Source: 2020-21 Mid Year Update dated October 30, 2020.</v>
      </c>
    </row>
    <row r="43" spans="1:24">
      <c r="A43" s="948"/>
    </row>
    <row r="44" spans="1:24">
      <c r="A44" s="948"/>
    </row>
    <row r="46" spans="1:24">
      <c r="A46" s="201"/>
    </row>
    <row r="47" spans="1:24">
      <c r="A47" s="201"/>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69140625" defaultRowHeight="15.5"/>
  <cols>
    <col min="1" max="1" width="54" style="929" customWidth="1"/>
    <col min="2" max="2" width="2.07421875" style="933" customWidth="1"/>
    <col min="3" max="3" width="18.07421875" style="422" bestFit="1" customWidth="1"/>
    <col min="4" max="4" width="0.69140625" style="933" customWidth="1"/>
    <col min="5" max="5" width="15.4609375" style="422" customWidth="1"/>
    <col min="6" max="6" width="0.69140625" style="933" customWidth="1"/>
    <col min="7" max="7" width="14" style="933" customWidth="1"/>
    <col min="8" max="8" width="1.4609375" style="933" customWidth="1"/>
    <col min="9" max="9" width="15" style="933" customWidth="1"/>
    <col min="10" max="10" width="1.53515625" style="933" customWidth="1"/>
    <col min="11" max="11" width="15" style="933" customWidth="1"/>
    <col min="12" max="12" width="1" style="933" customWidth="1"/>
    <col min="13" max="13" width="15.07421875" style="949" customWidth="1"/>
    <col min="14" max="14" width="1" style="933" customWidth="1"/>
    <col min="15" max="15" width="14" style="933" customWidth="1"/>
    <col min="16" max="19" width="8.69140625" style="933"/>
    <col min="20" max="16384" width="8.69140625" style="929"/>
  </cols>
  <sheetData>
    <row r="1" spans="1:34">
      <c r="A1" s="642" t="s">
        <v>963</v>
      </c>
    </row>
    <row r="2" spans="1:34" ht="16.5">
      <c r="A2" s="182"/>
      <c r="B2" s="184"/>
      <c r="C2" s="416"/>
      <c r="D2" s="184"/>
      <c r="E2" s="416"/>
      <c r="F2" s="184"/>
      <c r="G2" s="184"/>
      <c r="H2" s="184"/>
      <c r="I2" s="184"/>
      <c r="J2" s="184"/>
      <c r="K2" s="184"/>
      <c r="L2" s="184"/>
      <c r="M2" s="1639"/>
    </row>
    <row r="3" spans="1:34" ht="17.25" customHeight="1">
      <c r="A3" s="188" t="s">
        <v>0</v>
      </c>
      <c r="B3" s="145"/>
      <c r="C3" s="418"/>
      <c r="D3" s="140"/>
      <c r="E3" s="419"/>
      <c r="F3" s="140"/>
      <c r="G3" s="140"/>
      <c r="H3" s="140"/>
      <c r="I3" s="140"/>
      <c r="J3" s="140"/>
      <c r="K3" s="140"/>
      <c r="L3" s="140"/>
      <c r="M3" s="820"/>
      <c r="O3" s="820" t="s">
        <v>83</v>
      </c>
    </row>
    <row r="4" spans="1:34" ht="17.25" customHeight="1">
      <c r="A4" s="188" t="s">
        <v>82</v>
      </c>
      <c r="B4" s="145"/>
      <c r="C4" s="418"/>
      <c r="D4" s="140"/>
      <c r="E4" s="419"/>
      <c r="F4" s="140"/>
      <c r="G4" s="140"/>
      <c r="H4" s="140"/>
      <c r="I4" s="140"/>
      <c r="J4" s="140"/>
      <c r="K4" s="140"/>
      <c r="L4" s="140"/>
      <c r="M4" s="821"/>
      <c r="O4" s="821"/>
    </row>
    <row r="5" spans="1:34" ht="17.25" customHeight="1">
      <c r="A5" s="3923" t="str">
        <f>'Exh D-Governmental  '!A5:E5</f>
        <v>FISCAL YEAR 2020-2021</v>
      </c>
      <c r="B5" s="3924"/>
      <c r="C5" s="3924"/>
      <c r="D5" s="3924"/>
      <c r="E5" s="3924"/>
      <c r="F5" s="140"/>
      <c r="G5" s="140"/>
      <c r="H5" s="140"/>
      <c r="I5" s="140"/>
      <c r="J5" s="140"/>
      <c r="K5" s="140"/>
      <c r="L5" s="140"/>
      <c r="M5" s="145"/>
    </row>
    <row r="6" spans="1:34" ht="17.25" customHeight="1">
      <c r="A6" s="1472" t="str">
        <f>+'Exh D-Governmental  '!A6</f>
        <v xml:space="preserve">FOR SEVEN MONTHS ENDED OCTOBER 31, 2020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20"/>
      <c r="AD6" s="620"/>
      <c r="AE6" s="620"/>
      <c r="AF6" s="620"/>
      <c r="AG6" s="620"/>
      <c r="AH6" s="933"/>
    </row>
    <row r="7" spans="1:34" ht="18">
      <c r="A7" s="188" t="s">
        <v>1366</v>
      </c>
      <c r="B7" s="145"/>
      <c r="C7" s="418"/>
      <c r="D7" s="140"/>
      <c r="E7" s="419"/>
      <c r="F7" s="140"/>
      <c r="G7" s="140"/>
      <c r="H7" s="140"/>
      <c r="I7" s="140"/>
      <c r="J7" s="140"/>
      <c r="K7" s="140"/>
      <c r="L7" s="140"/>
      <c r="M7" s="145"/>
    </row>
    <row r="8" spans="1:34" ht="17.5">
      <c r="A8" s="190"/>
      <c r="B8" s="145"/>
      <c r="C8" s="962"/>
      <c r="D8" s="153"/>
      <c r="E8" s="419"/>
      <c r="F8" s="140"/>
      <c r="G8" s="140"/>
      <c r="H8" s="140"/>
      <c r="I8" s="140"/>
      <c r="J8" s="140"/>
      <c r="K8" s="140"/>
      <c r="L8" s="140"/>
      <c r="M8" s="145"/>
    </row>
    <row r="9" spans="1:34">
      <c r="A9" s="147"/>
      <c r="B9" s="140"/>
      <c r="C9" s="1182"/>
      <c r="D9" s="153"/>
      <c r="E9" s="419"/>
      <c r="F9" s="140"/>
      <c r="G9" s="140"/>
      <c r="H9" s="140"/>
      <c r="I9" s="140"/>
      <c r="J9" s="140"/>
      <c r="K9" s="140"/>
      <c r="L9" s="140"/>
      <c r="M9" s="145"/>
    </row>
    <row r="10" spans="1:34">
      <c r="A10" s="147"/>
      <c r="B10" s="140"/>
      <c r="C10" s="962"/>
      <c r="D10" s="144"/>
      <c r="E10" s="418"/>
      <c r="F10" s="145"/>
      <c r="G10" s="145"/>
      <c r="H10" s="145"/>
      <c r="I10" s="145"/>
      <c r="J10" s="145"/>
      <c r="K10" s="145"/>
      <c r="L10" s="145"/>
      <c r="M10" s="145"/>
      <c r="N10" s="949"/>
    </row>
    <row r="11" spans="1:34">
      <c r="A11" s="688"/>
      <c r="B11" s="148"/>
      <c r="C11" s="1177"/>
      <c r="D11" s="1188"/>
      <c r="E11" s="1177"/>
      <c r="F11" s="1186"/>
      <c r="G11" s="1196"/>
      <c r="H11" s="1186"/>
      <c r="I11" s="1415" t="s">
        <v>1130</v>
      </c>
      <c r="J11" s="1637"/>
      <c r="K11" s="1637"/>
      <c r="L11" s="1637"/>
      <c r="M11" s="1186"/>
      <c r="N11" s="1189"/>
      <c r="O11" s="1174"/>
    </row>
    <row r="12" spans="1:34">
      <c r="A12" s="688"/>
      <c r="B12" s="148"/>
      <c r="C12" s="149"/>
      <c r="D12" s="149"/>
      <c r="E12" s="149"/>
      <c r="F12" s="149"/>
      <c r="G12" s="149"/>
      <c r="H12" s="149"/>
      <c r="I12" s="149"/>
      <c r="J12" s="149"/>
      <c r="K12" s="149"/>
      <c r="L12" s="149"/>
      <c r="M12" s="196" t="s">
        <v>84</v>
      </c>
      <c r="N12" s="150"/>
      <c r="O12" s="150" t="s">
        <v>84</v>
      </c>
    </row>
    <row r="13" spans="1:34">
      <c r="A13" s="688"/>
      <c r="B13" s="148"/>
      <c r="C13" s="149"/>
      <c r="D13" s="149"/>
      <c r="E13" s="149"/>
      <c r="F13" s="149"/>
      <c r="G13" s="149"/>
      <c r="H13" s="149"/>
      <c r="I13" s="149"/>
      <c r="J13" s="149"/>
      <c r="K13" s="149"/>
      <c r="L13" s="149"/>
      <c r="M13" s="196" t="s">
        <v>874</v>
      </c>
      <c r="N13" s="150"/>
      <c r="O13" s="150" t="s">
        <v>874</v>
      </c>
    </row>
    <row r="14" spans="1:34">
      <c r="A14" s="688"/>
      <c r="B14" s="148"/>
      <c r="C14" s="151" t="s">
        <v>1075</v>
      </c>
      <c r="D14" s="149"/>
      <c r="E14" s="150" t="s">
        <v>1076</v>
      </c>
      <c r="F14" s="149"/>
      <c r="G14" s="149"/>
      <c r="H14" s="149"/>
      <c r="I14" s="149"/>
      <c r="J14" s="149"/>
      <c r="K14" s="149"/>
      <c r="L14" s="149"/>
      <c r="M14" s="196" t="s">
        <v>85</v>
      </c>
      <c r="N14" s="150"/>
      <c r="O14" s="150" t="s">
        <v>85</v>
      </c>
    </row>
    <row r="15" spans="1:34" ht="15.75" customHeight="1">
      <c r="A15" s="688"/>
      <c r="B15" s="148"/>
      <c r="C15" s="150" t="s">
        <v>1112</v>
      </c>
      <c r="D15" s="149"/>
      <c r="E15" s="150" t="s">
        <v>1112</v>
      </c>
      <c r="F15" s="149"/>
      <c r="G15" s="149"/>
      <c r="H15" s="149"/>
      <c r="I15" s="149"/>
      <c r="J15" s="149"/>
      <c r="K15" s="149"/>
      <c r="L15" s="149"/>
      <c r="M15" s="196" t="s">
        <v>1075</v>
      </c>
      <c r="N15" s="150"/>
      <c r="O15" s="150" t="s">
        <v>1076</v>
      </c>
    </row>
    <row r="16" spans="1:34">
      <c r="A16" s="688"/>
      <c r="B16" s="148"/>
      <c r="C16" s="150" t="s">
        <v>1113</v>
      </c>
      <c r="D16" s="149"/>
      <c r="E16" s="150" t="s">
        <v>1510</v>
      </c>
      <c r="F16" s="149"/>
      <c r="G16" s="151" t="s">
        <v>84</v>
      </c>
      <c r="H16" s="149"/>
      <c r="I16" s="1209" t="s">
        <v>1250</v>
      </c>
      <c r="J16" s="149"/>
      <c r="K16" s="1209" t="s">
        <v>800</v>
      </c>
      <c r="L16" s="149"/>
      <c r="M16" s="196" t="s">
        <v>86</v>
      </c>
      <c r="N16" s="150"/>
      <c r="O16" s="150" t="s">
        <v>86</v>
      </c>
    </row>
    <row r="17" spans="1:34">
      <c r="A17" s="152"/>
      <c r="B17" s="153"/>
      <c r="C17" s="154"/>
      <c r="D17" s="153"/>
      <c r="E17" s="154"/>
      <c r="F17" s="140"/>
      <c r="G17" s="154"/>
      <c r="H17" s="140"/>
      <c r="I17" s="140"/>
      <c r="J17" s="140"/>
      <c r="K17" s="140"/>
      <c r="L17" s="140"/>
      <c r="M17" s="1640"/>
      <c r="O17" s="154"/>
    </row>
    <row r="18" spans="1:34">
      <c r="A18" s="29" t="s">
        <v>14</v>
      </c>
      <c r="B18" s="922"/>
      <c r="C18" s="655"/>
      <c r="D18" s="922"/>
      <c r="E18" s="655"/>
      <c r="F18" s="655"/>
      <c r="G18" s="655" t="s">
        <v>15</v>
      </c>
      <c r="H18" s="655"/>
      <c r="I18" s="655"/>
      <c r="J18" s="655"/>
      <c r="K18" s="655"/>
      <c r="L18" s="655"/>
      <c r="M18" s="1641"/>
      <c r="O18" s="655"/>
    </row>
    <row r="19" spans="1:34">
      <c r="A19" s="818" t="s">
        <v>87</v>
      </c>
      <c r="B19" s="923" t="s">
        <v>15</v>
      </c>
      <c r="C19" s="656"/>
      <c r="D19" s="969"/>
      <c r="E19" s="656"/>
      <c r="F19" s="656"/>
      <c r="G19" s="951"/>
      <c r="H19" s="658"/>
      <c r="I19" s="658"/>
      <c r="J19" s="658"/>
      <c r="K19" s="658"/>
      <c r="L19" s="658"/>
      <c r="M19" s="892"/>
      <c r="N19" s="922"/>
      <c r="O19" s="656"/>
      <c r="P19" s="922"/>
      <c r="Q19" s="922"/>
      <c r="R19" s="922"/>
      <c r="S19" s="922"/>
      <c r="T19" s="922"/>
      <c r="U19" s="922"/>
      <c r="V19" s="922"/>
      <c r="W19" s="922"/>
      <c r="X19" s="922"/>
      <c r="Y19" s="922"/>
      <c r="Z19" s="922"/>
      <c r="AA19" s="922"/>
      <c r="AB19" s="922"/>
      <c r="AC19" s="620"/>
      <c r="AD19" s="620"/>
      <c r="AE19" s="620"/>
      <c r="AF19" s="620"/>
      <c r="AG19" s="620"/>
      <c r="AH19" s="933"/>
    </row>
    <row r="20" spans="1:34">
      <c r="A20" s="818" t="s">
        <v>89</v>
      </c>
      <c r="B20" s="922" t="s">
        <v>15</v>
      </c>
      <c r="C20" s="939">
        <f>'Exh D Captl Projects State Fed'!C20+'Exh D Captl Projects State Fed'!M20</f>
        <v>298</v>
      </c>
      <c r="D20" s="941"/>
      <c r="E20" s="939">
        <f>'Exh D Captl Projects State Fed'!E20+'Exh D Captl Projects State Fed'!O20</f>
        <v>306</v>
      </c>
      <c r="F20" s="657"/>
      <c r="G20" s="939">
        <f>+'Exh D Captl Projects State Fed'!G20</f>
        <v>299.2</v>
      </c>
      <c r="H20" s="657"/>
      <c r="I20" s="939">
        <v>0</v>
      </c>
      <c r="J20" s="657"/>
      <c r="K20" s="1645">
        <f>+G20+I20</f>
        <v>299.2</v>
      </c>
      <c r="L20" s="657"/>
      <c r="M20" s="892">
        <f>ROUND(SUM(K20)-SUM(C20),1)</f>
        <v>1.2</v>
      </c>
      <c r="N20" s="922"/>
      <c r="O20" s="892">
        <f>ROUND(SUM(K20)-SUM(E20),1)</f>
        <v>-6.8</v>
      </c>
      <c r="P20" s="922"/>
      <c r="Q20" s="922"/>
      <c r="R20" s="922"/>
      <c r="S20" s="922"/>
      <c r="T20" s="922"/>
      <c r="U20" s="922"/>
      <c r="V20" s="922"/>
      <c r="W20" s="922"/>
      <c r="X20" s="922"/>
      <c r="Y20" s="922"/>
      <c r="Z20" s="922"/>
      <c r="AA20" s="922"/>
      <c r="AB20" s="922"/>
      <c r="AC20" s="620"/>
      <c r="AD20" s="620"/>
      <c r="AE20" s="620"/>
      <c r="AF20" s="620"/>
      <c r="AG20" s="620"/>
      <c r="AH20" s="933"/>
    </row>
    <row r="21" spans="1:34">
      <c r="A21" s="818" t="s">
        <v>90</v>
      </c>
      <c r="B21" s="923" t="s">
        <v>15</v>
      </c>
      <c r="C21" s="684">
        <f>'Exh D Captl Projects State Fed'!C21+'Exh D Captl Projects State Fed'!M21</f>
        <v>309</v>
      </c>
      <c r="D21" s="941"/>
      <c r="E21" s="684">
        <f>'Exh D Captl Projects State Fed'!E21+'Exh D Captl Projects State Fed'!O21</f>
        <v>326</v>
      </c>
      <c r="F21" s="657"/>
      <c r="G21" s="684">
        <f>+'Exh D Captl Projects State Fed'!G21</f>
        <v>316.5</v>
      </c>
      <c r="H21" s="657"/>
      <c r="I21" s="657">
        <v>0</v>
      </c>
      <c r="J21" s="657"/>
      <c r="K21" s="3104">
        <f t="shared" ref="K21:K26" si="0">+G21+I21</f>
        <v>316.5</v>
      </c>
      <c r="L21" s="657"/>
      <c r="M21" s="893">
        <f t="shared" ref="M21:M26" si="1">ROUND(SUM(K21)-SUM(C21),1)</f>
        <v>7.5</v>
      </c>
      <c r="N21" s="943"/>
      <c r="O21" s="893">
        <f t="shared" ref="O21:O26" si="2">K21-E21</f>
        <v>-9.5</v>
      </c>
      <c r="P21" s="922"/>
      <c r="Q21" s="943"/>
      <c r="R21" s="922"/>
      <c r="S21" s="943"/>
      <c r="T21" s="922"/>
      <c r="U21" s="922"/>
      <c r="V21" s="943"/>
      <c r="W21" s="922"/>
      <c r="X21" s="922"/>
      <c r="Y21" s="943"/>
      <c r="Z21" s="200"/>
      <c r="AA21" s="943"/>
      <c r="AB21" s="922"/>
      <c r="AC21" s="620"/>
      <c r="AD21" s="620"/>
      <c r="AE21" s="620"/>
      <c r="AF21" s="620"/>
      <c r="AG21" s="620"/>
      <c r="AH21" s="933"/>
    </row>
    <row r="22" spans="1:34">
      <c r="A22" s="818" t="s">
        <v>91</v>
      </c>
      <c r="B22" s="922" t="s">
        <v>15</v>
      </c>
      <c r="C22" s="684">
        <f>'Exh D Captl Projects State Fed'!C22+'Exh D Captl Projects State Fed'!M22</f>
        <v>60</v>
      </c>
      <c r="D22" s="941"/>
      <c r="E22" s="684">
        <f>'Exh D Captl Projects State Fed'!E22+'Exh D Captl Projects State Fed'!O22</f>
        <v>59</v>
      </c>
      <c r="F22" s="657"/>
      <c r="G22" s="684">
        <f>+'Exh D Captl Projects State Fed'!G22</f>
        <v>59.6</v>
      </c>
      <c r="H22" s="657"/>
      <c r="I22" s="657">
        <v>0</v>
      </c>
      <c r="J22" s="657"/>
      <c r="K22" s="1646">
        <f>+G22+I22</f>
        <v>59.6</v>
      </c>
      <c r="L22" s="657"/>
      <c r="M22" s="893">
        <f t="shared" si="1"/>
        <v>-0.4</v>
      </c>
      <c r="N22" s="922"/>
      <c r="O22" s="893">
        <f t="shared" si="2"/>
        <v>0.60000000000000142</v>
      </c>
      <c r="P22" s="922"/>
      <c r="Q22" s="922"/>
      <c r="R22" s="922"/>
      <c r="S22" s="922"/>
      <c r="T22" s="922"/>
      <c r="U22" s="922"/>
      <c r="V22" s="922"/>
      <c r="W22" s="922"/>
      <c r="X22" s="922"/>
      <c r="Y22" s="922"/>
      <c r="Z22" s="922"/>
      <c r="AA22" s="922"/>
      <c r="AB22" s="922"/>
      <c r="AC22" s="620"/>
      <c r="AD22" s="620"/>
      <c r="AE22" s="620"/>
      <c r="AF22" s="620"/>
      <c r="AG22" s="620"/>
      <c r="AH22" s="933"/>
    </row>
    <row r="23" spans="1:34">
      <c r="A23" s="818" t="s">
        <v>20</v>
      </c>
      <c r="B23" s="922" t="s">
        <v>15</v>
      </c>
      <c r="C23" s="684">
        <f>'Exh D Captl Projects State Fed'!C23+'Exh D Captl Projects State Fed'!M23</f>
        <v>4225</v>
      </c>
      <c r="D23" s="941"/>
      <c r="E23" s="684">
        <f>'Exh D Captl Projects State Fed'!E23+'Exh D Captl Projects State Fed'!O23</f>
        <v>3625</v>
      </c>
      <c r="F23" s="641"/>
      <c r="G23" s="641">
        <f>+'Exh D Captl Projects State Fed'!G23+'Exh D Captl Projects State Fed'!Q23</f>
        <v>3629.5</v>
      </c>
      <c r="H23" s="641"/>
      <c r="I23" s="1529">
        <v>0</v>
      </c>
      <c r="J23" s="1529"/>
      <c r="K23" s="1646">
        <f t="shared" si="0"/>
        <v>3629.5</v>
      </c>
      <c r="L23" s="1529"/>
      <c r="M23" s="893">
        <f t="shared" si="1"/>
        <v>-595.5</v>
      </c>
      <c r="O23" s="893">
        <f t="shared" si="2"/>
        <v>4.5</v>
      </c>
    </row>
    <row r="24" spans="1:34">
      <c r="A24" s="818" t="s">
        <v>21</v>
      </c>
      <c r="B24" s="922" t="s">
        <v>15</v>
      </c>
      <c r="C24" s="684">
        <f>'Exh D Captl Projects State Fed'!C24+'Exh D Captl Projects State Fed'!M24</f>
        <v>1196</v>
      </c>
      <c r="D24" s="941"/>
      <c r="E24" s="684">
        <f>'Exh D Captl Projects State Fed'!E24+'Exh D Captl Projects State Fed'!O24</f>
        <v>1098</v>
      </c>
      <c r="F24" s="641"/>
      <c r="G24" s="641">
        <f>+'Exh D Captl Projects State Fed'!G24+'Exh D Captl Projects State Fed'!Q24</f>
        <v>1097</v>
      </c>
      <c r="H24" s="641"/>
      <c r="I24" s="1529">
        <v>0</v>
      </c>
      <c r="J24" s="1529"/>
      <c r="K24" s="1646">
        <f t="shared" si="0"/>
        <v>1097</v>
      </c>
      <c r="L24" s="1529"/>
      <c r="M24" s="893">
        <f t="shared" si="1"/>
        <v>-99</v>
      </c>
      <c r="O24" s="893">
        <f t="shared" si="2"/>
        <v>-1</v>
      </c>
    </row>
    <row r="25" spans="1:34">
      <c r="A25" s="818" t="s">
        <v>97</v>
      </c>
      <c r="B25" s="922" t="s">
        <v>15</v>
      </c>
      <c r="C25" s="684">
        <f>'Exh D Captl Projects State Fed'!C25+'Exh D Captl Projects State Fed'!M25</f>
        <v>0</v>
      </c>
      <c r="D25" s="1187"/>
      <c r="E25" s="684">
        <f>'Exh D Captl Projects State Fed'!E25+'Exh D Captl Projects State Fed'!O25</f>
        <v>0</v>
      </c>
      <c r="F25" s="641"/>
      <c r="G25" s="657">
        <f>+'Exh D Captl Projects State Fed'!G25+'Exh D Captl Projects State Fed'!Q25</f>
        <v>0</v>
      </c>
      <c r="H25" s="641"/>
      <c r="I25" s="1529">
        <v>0</v>
      </c>
      <c r="J25" s="1529"/>
      <c r="K25" s="657">
        <f t="shared" si="0"/>
        <v>0</v>
      </c>
      <c r="L25" s="1529"/>
      <c r="M25" s="893">
        <f t="shared" si="1"/>
        <v>0</v>
      </c>
      <c r="O25" s="893">
        <f t="shared" si="2"/>
        <v>0</v>
      </c>
    </row>
    <row r="26" spans="1:34">
      <c r="A26" s="818" t="s">
        <v>47</v>
      </c>
      <c r="B26" s="922" t="s">
        <v>15</v>
      </c>
      <c r="C26" s="684">
        <f>'Exh D Captl Projects State Fed'!C26+'Exh D Captl Projects State Fed'!M26</f>
        <v>2071</v>
      </c>
      <c r="D26" s="941"/>
      <c r="E26" s="684">
        <f>'Exh D Captl Projects State Fed'!E26+'Exh D Captl Projects State Fed'!O26</f>
        <v>1043</v>
      </c>
      <c r="F26" s="641"/>
      <c r="G26" s="679">
        <f>+'Exh D Captl Projects State Fed'!G26+'Exh D Captl Projects State Fed'!Q26</f>
        <v>1184.5</v>
      </c>
      <c r="H26" s="641"/>
      <c r="I26" s="893">
        <f>'Exhibit I'!AC93</f>
        <v>0</v>
      </c>
      <c r="J26" s="1529"/>
      <c r="K26" s="1646">
        <f t="shared" si="0"/>
        <v>1184.5</v>
      </c>
      <c r="L26" s="1529"/>
      <c r="M26" s="893">
        <f t="shared" si="1"/>
        <v>-886.5</v>
      </c>
      <c r="O26" s="893">
        <f t="shared" si="2"/>
        <v>141.5</v>
      </c>
    </row>
    <row r="27" spans="1:34" ht="18" customHeight="1">
      <c r="A27" s="1119" t="s">
        <v>108</v>
      </c>
      <c r="B27" s="148" t="s">
        <v>15</v>
      </c>
      <c r="C27" s="1873">
        <f>ROUND(SUM(C20:C26),1)</f>
        <v>8159</v>
      </c>
      <c r="D27" s="1530"/>
      <c r="E27" s="1873">
        <f>ROUND(SUM(E20:E26),1)</f>
        <v>6457</v>
      </c>
      <c r="F27" s="920"/>
      <c r="G27" s="212">
        <f>ROUND(SUM(G20:G26),1)</f>
        <v>6586.3</v>
      </c>
      <c r="H27" s="920"/>
      <c r="I27" s="1540">
        <f>ROUND(SUM(I20:I26),1)</f>
        <v>0</v>
      </c>
      <c r="J27" s="920"/>
      <c r="K27" s="1540">
        <f>ROUND(SUM(K20:K26),1)</f>
        <v>6586.3</v>
      </c>
      <c r="L27" s="920"/>
      <c r="M27" s="1482">
        <f>ROUND(SUM(M20:M26),1)</f>
        <v>-1572.7</v>
      </c>
      <c r="O27" s="212">
        <f>ROUND(SUM(O20:O26),1)</f>
        <v>129.30000000000001</v>
      </c>
    </row>
    <row r="28" spans="1:34">
      <c r="A28" s="688"/>
      <c r="B28" s="922" t="s">
        <v>15</v>
      </c>
      <c r="C28" s="1871"/>
      <c r="D28" s="941"/>
      <c r="E28" s="1871"/>
      <c r="F28" s="641"/>
      <c r="G28" s="686"/>
      <c r="H28" s="641"/>
      <c r="I28" s="1529"/>
      <c r="J28" s="1529"/>
      <c r="K28" s="1529"/>
      <c r="L28" s="1529"/>
      <c r="M28" s="1040" t="s">
        <v>15</v>
      </c>
      <c r="O28" s="686" t="s">
        <v>15</v>
      </c>
    </row>
    <row r="29" spans="1:34">
      <c r="A29" s="29" t="s">
        <v>23</v>
      </c>
      <c r="B29" s="922" t="s">
        <v>15</v>
      </c>
      <c r="C29" s="1529"/>
      <c r="D29" s="941"/>
      <c r="E29" s="1529"/>
      <c r="F29" s="641"/>
      <c r="G29" s="641"/>
      <c r="H29" s="641"/>
      <c r="I29" s="1529"/>
      <c r="J29" s="1529"/>
      <c r="K29" s="1529"/>
      <c r="L29" s="1529"/>
      <c r="M29" s="893"/>
      <c r="O29" s="641"/>
    </row>
    <row r="30" spans="1:34">
      <c r="A30" s="818" t="s">
        <v>93</v>
      </c>
      <c r="B30" s="922" t="s">
        <v>15</v>
      </c>
      <c r="C30" s="684">
        <f>'Exh D Captl Projects State Fed'!C30+'Exh D Captl Projects State Fed'!M30</f>
        <v>2879</v>
      </c>
      <c r="D30" s="941"/>
      <c r="E30" s="684">
        <f>'Exh D Captl Projects State Fed'!E30+'Exh D Captl Projects State Fed'!O30</f>
        <v>2553</v>
      </c>
      <c r="F30" s="641"/>
      <c r="G30" s="641">
        <f>+'Exh D Captl Projects State Fed'!G30+'Exh D Captl Projects State Fed'!Q30</f>
        <v>2543.3000000000002</v>
      </c>
      <c r="H30" s="641"/>
      <c r="I30" s="1529">
        <v>0</v>
      </c>
      <c r="J30" s="1529"/>
      <c r="K30" s="1646">
        <f>+G30+I30</f>
        <v>2543.3000000000002</v>
      </c>
      <c r="L30" s="1529"/>
      <c r="M30" s="893">
        <f>ROUND(SUM(K30)-SUM(C30),1)</f>
        <v>-335.7</v>
      </c>
      <c r="O30" s="893">
        <f t="shared" ref="O30:O32" si="3">K30-E30</f>
        <v>-9.6999999999998181</v>
      </c>
    </row>
    <row r="31" spans="1:34">
      <c r="A31" s="818" t="s">
        <v>42</v>
      </c>
      <c r="B31" s="922" t="s">
        <v>15</v>
      </c>
      <c r="C31" s="684">
        <f>'Exh D Captl Projects State Fed'!C31+'Exh D Captl Projects State Fed'!M31</f>
        <v>5712</v>
      </c>
      <c r="D31" s="1187"/>
      <c r="E31" s="684">
        <f>'Exh D Captl Projects State Fed'!E31+'Exh D Captl Projects State Fed'!O31</f>
        <v>4219</v>
      </c>
      <c r="F31" s="641"/>
      <c r="G31" s="641">
        <f>+'Exh D Captl Projects State Fed'!G31+'Exh D Captl Projects State Fed'!Q31</f>
        <v>4144.7</v>
      </c>
      <c r="H31" s="641"/>
      <c r="I31" s="1529">
        <v>0</v>
      </c>
      <c r="J31" s="1529"/>
      <c r="K31" s="1646">
        <f>+G31+I31</f>
        <v>4144.7</v>
      </c>
      <c r="L31" s="1529"/>
      <c r="M31" s="893">
        <f>ROUND(SUM(K31)-SUM(C31),1)</f>
        <v>-1567.3</v>
      </c>
      <c r="O31" s="893">
        <f t="shared" si="3"/>
        <v>-74.300000000000182</v>
      </c>
    </row>
    <row r="32" spans="1:34">
      <c r="A32" s="818" t="s">
        <v>98</v>
      </c>
      <c r="B32" s="922" t="s">
        <v>15</v>
      </c>
      <c r="C32" s="684">
        <f>'Exh D Captl Projects State Fed'!C32+'Exh D Captl Projects State Fed'!M32</f>
        <v>296</v>
      </c>
      <c r="D32" s="941"/>
      <c r="E32" s="684">
        <f>'Exh D Captl Projects State Fed'!E32+'Exh D Captl Projects State Fed'!O32</f>
        <v>285</v>
      </c>
      <c r="F32" s="641"/>
      <c r="G32" s="641">
        <f>+'Exh D Captl Projects State Fed'!G32+'Exh D Captl Projects State Fed'!Q32</f>
        <v>286.5</v>
      </c>
      <c r="H32" s="641"/>
      <c r="I32" s="893">
        <f>-'Exhibit I'!AC94</f>
        <v>0</v>
      </c>
      <c r="J32" s="1529"/>
      <c r="K32" s="1646">
        <f>+G32+I32</f>
        <v>286.5</v>
      </c>
      <c r="L32" s="1529"/>
      <c r="M32" s="893">
        <f>ROUND(SUM(K32)-SUM(C32),1)</f>
        <v>-9.5</v>
      </c>
      <c r="O32" s="893">
        <f t="shared" si="3"/>
        <v>1.5</v>
      </c>
    </row>
    <row r="33" spans="1:34" ht="18" customHeight="1">
      <c r="A33" s="1119" t="s">
        <v>117</v>
      </c>
      <c r="B33" s="148" t="s">
        <v>15</v>
      </c>
      <c r="C33" s="1873">
        <f>ROUND(SUM(C30:C32),1)</f>
        <v>8887</v>
      </c>
      <c r="D33" s="1530"/>
      <c r="E33" s="1873">
        <f>ROUND(SUM(E30:E32),1)</f>
        <v>7057</v>
      </c>
      <c r="F33" s="920"/>
      <c r="G33" s="212">
        <f>ROUND(SUM(G30:G32),1)</f>
        <v>6974.5</v>
      </c>
      <c r="H33" s="920"/>
      <c r="I33" s="1540">
        <f>ROUND(SUM(I30:I32),1)</f>
        <v>0</v>
      </c>
      <c r="J33" s="920"/>
      <c r="K33" s="1540">
        <f>ROUND(SUM(K30:K32),1)</f>
        <v>6974.5</v>
      </c>
      <c r="L33" s="920"/>
      <c r="M33" s="1482">
        <f>ROUND(SUM(M30:M32),1)</f>
        <v>-1912.5</v>
      </c>
      <c r="O33" s="212">
        <f>ROUND(SUM(O30:O32),1)</f>
        <v>-82.5</v>
      </c>
    </row>
    <row r="34" spans="1:34">
      <c r="A34" s="688"/>
      <c r="B34" s="922" t="s">
        <v>15</v>
      </c>
      <c r="C34" s="1871"/>
      <c r="D34" s="941"/>
      <c r="E34" s="1871"/>
      <c r="F34" s="641"/>
      <c r="G34" s="686"/>
      <c r="H34" s="641"/>
      <c r="I34" s="1529"/>
      <c r="J34" s="1529"/>
      <c r="K34" s="1529"/>
      <c r="L34" s="1529"/>
      <c r="M34" s="1040"/>
      <c r="O34" s="686"/>
    </row>
    <row r="35" spans="1:34">
      <c r="A35" s="29" t="s">
        <v>100</v>
      </c>
      <c r="B35" s="922"/>
      <c r="C35" s="1529"/>
      <c r="D35" s="941"/>
      <c r="E35" s="1529"/>
      <c r="F35" s="641"/>
      <c r="G35" s="641"/>
      <c r="H35" s="641"/>
      <c r="I35" s="1529"/>
      <c r="J35" s="1529"/>
      <c r="K35" s="1529"/>
      <c r="L35" s="1529"/>
      <c r="M35" s="893"/>
      <c r="O35" s="641"/>
    </row>
    <row r="36" spans="1:34">
      <c r="A36" s="29" t="s">
        <v>101</v>
      </c>
      <c r="B36" s="922"/>
      <c r="C36" s="1529"/>
      <c r="D36" s="941"/>
      <c r="E36" s="1529"/>
      <c r="F36" s="641"/>
      <c r="G36" s="641"/>
      <c r="H36" s="641"/>
      <c r="I36" s="1529"/>
      <c r="J36" s="1529"/>
      <c r="K36" s="1529"/>
      <c r="L36" s="1529"/>
      <c r="M36" s="893"/>
      <c r="O36" s="641"/>
    </row>
    <row r="37" spans="1:34">
      <c r="A37" s="1119" t="s">
        <v>102</v>
      </c>
      <c r="B37" s="171" t="s">
        <v>15</v>
      </c>
      <c r="C37" s="1530">
        <f>ROUND(SUM(C27)-SUM(C33),1)</f>
        <v>-728</v>
      </c>
      <c r="D37" s="1530"/>
      <c r="E37" s="1530">
        <f>ROUND(SUM(E27)-SUM(E33),1)</f>
        <v>-600</v>
      </c>
      <c r="F37" s="82"/>
      <c r="G37" s="74">
        <f>ROUND(SUM(G27)-SUM(G33),1)</f>
        <v>-388.2</v>
      </c>
      <c r="H37" s="82"/>
      <c r="I37" s="82">
        <v>0</v>
      </c>
      <c r="J37" s="82"/>
      <c r="K37" s="1530">
        <f>ROUND(SUM(K27)-SUM(K33),1)</f>
        <v>-388.2</v>
      </c>
      <c r="L37" s="82"/>
      <c r="M37" s="112">
        <f>ROUND(SUM(M27)-SUM(M33),1)</f>
        <v>339.8</v>
      </c>
      <c r="N37" s="620"/>
      <c r="O37" s="74">
        <f>ROUND(SUM(O27)-SUM(O33),1)</f>
        <v>211.8</v>
      </c>
    </row>
    <row r="38" spans="1:34">
      <c r="B38" s="620"/>
      <c r="C38" s="668"/>
      <c r="D38" s="1530"/>
      <c r="E38" s="668"/>
      <c r="F38" s="930"/>
      <c r="G38" s="668"/>
      <c r="H38" s="930"/>
      <c r="I38" s="930"/>
      <c r="J38" s="930"/>
      <c r="K38" s="668"/>
      <c r="L38" s="930"/>
      <c r="M38" s="1483"/>
      <c r="O38" s="668"/>
    </row>
    <row r="39" spans="1:34">
      <c r="A39" s="1119" t="str">
        <f>+'Exh D-Governmental  '!A49</f>
        <v>Fund Balances (Deficits) at April 1</v>
      </c>
      <c r="B39" s="932" t="s">
        <v>15</v>
      </c>
      <c r="C39" s="1877">
        <f>'Exh D Captl Projects State Fed'!C39+'Exh D Captl Projects State Fed'!M39</f>
        <v>-1035</v>
      </c>
      <c r="D39" s="1530"/>
      <c r="E39" s="1877">
        <f>'Exh D Captl Projects State Fed'!C39+'Exh D Captl Projects State Fed'!M39</f>
        <v>-1035</v>
      </c>
      <c r="F39" s="930"/>
      <c r="G39" s="74">
        <f>'Exhibit I'!E15</f>
        <v>-1034.9000000000001</v>
      </c>
      <c r="H39" s="930"/>
      <c r="I39" s="3070">
        <v>0</v>
      </c>
      <c r="J39" s="930"/>
      <c r="K39" s="1879">
        <f>+G39+I39</f>
        <v>-1034.9000000000001</v>
      </c>
      <c r="L39" s="930"/>
      <c r="M39" s="1642">
        <f>ROUND(SUM(K39-C39),1)</f>
        <v>0.1</v>
      </c>
      <c r="N39" s="620"/>
      <c r="O39" s="1642">
        <f>K39-E39</f>
        <v>9.9999999999909051E-2</v>
      </c>
      <c r="P39" s="620"/>
      <c r="Q39" s="620"/>
      <c r="R39" s="620"/>
      <c r="S39" s="620"/>
      <c r="T39" s="620"/>
      <c r="U39" s="620"/>
      <c r="V39" s="620"/>
      <c r="W39" s="620"/>
      <c r="X39" s="620"/>
      <c r="Y39" s="620"/>
      <c r="Z39" s="620"/>
      <c r="AA39" s="620"/>
      <c r="AB39" s="620"/>
      <c r="AC39" s="620"/>
      <c r="AD39" s="620"/>
      <c r="AE39" s="620"/>
      <c r="AF39" s="620"/>
      <c r="AG39" s="620"/>
      <c r="AH39" s="933"/>
    </row>
    <row r="40" spans="1:34" ht="16" thickBot="1">
      <c r="A40" s="1377" t="str">
        <f>+'Exh D-Governmental  '!A50</f>
        <v>Fund Balances (Deficits) at October 31, 2020</v>
      </c>
      <c r="B40" s="177" t="s">
        <v>15</v>
      </c>
      <c r="C40" s="95">
        <f>ROUND(SUM(C37:C39),1)</f>
        <v>-1763</v>
      </c>
      <c r="D40" s="216"/>
      <c r="E40" s="95">
        <f>ROUND(SUM(E37:E39),1)</f>
        <v>-1635</v>
      </c>
      <c r="F40" s="178"/>
      <c r="G40" s="95">
        <f>ROUND(SUM(G37:G39),1)</f>
        <v>-1423.1</v>
      </c>
      <c r="H40" s="178"/>
      <c r="I40" s="95">
        <f>ROUND(SUM(I37:I39),1)</f>
        <v>0</v>
      </c>
      <c r="J40" s="178"/>
      <c r="K40" s="95">
        <f>ROUND(SUM(K37:K39),1)</f>
        <v>-1423.1</v>
      </c>
      <c r="L40" s="178"/>
      <c r="M40" s="1484">
        <f>ROUND(SUM(M37:M39),1)</f>
        <v>339.9</v>
      </c>
      <c r="N40" s="620"/>
      <c r="O40" s="95">
        <f>ROUND(SUM(O37:O39),1)</f>
        <v>211.9</v>
      </c>
      <c r="P40" s="620"/>
      <c r="Q40" s="620"/>
      <c r="R40" s="620"/>
      <c r="S40" s="620"/>
      <c r="T40" s="620"/>
      <c r="U40" s="620"/>
      <c r="V40" s="620"/>
      <c r="W40" s="620"/>
      <c r="X40" s="620"/>
      <c r="Y40" s="620"/>
      <c r="Z40" s="620"/>
      <c r="AA40" s="620"/>
      <c r="AB40" s="620"/>
      <c r="AC40" s="620"/>
      <c r="AD40" s="620"/>
      <c r="AE40" s="620"/>
      <c r="AF40" s="620"/>
      <c r="AG40" s="620"/>
      <c r="AH40" s="933"/>
    </row>
    <row r="41" spans="1:34" ht="16" thickTop="1">
      <c r="B41" s="620"/>
      <c r="C41" s="620"/>
      <c r="D41" s="620"/>
      <c r="E41" s="620"/>
      <c r="G41" s="956"/>
    </row>
    <row r="42" spans="1:34">
      <c r="A42" s="2135" t="str">
        <f>'Exh D-Governmental  '!A52</f>
        <v>(*)    Source: 2020-21 Enacted Financial Plan dated April 25, 2020.</v>
      </c>
      <c r="B42" s="620"/>
      <c r="D42" s="620"/>
    </row>
    <row r="43" spans="1:34" s="991" customFormat="1">
      <c r="A43" s="2135" t="str">
        <f>'Exh D-Governmental  '!A53</f>
        <v>(**)   Source: 2020-21 Mid Year Update dated October 30, 2020.</v>
      </c>
      <c r="B43" s="1940"/>
      <c r="C43" s="423"/>
      <c r="D43" s="1940"/>
      <c r="E43" s="423"/>
      <c r="F43" s="949"/>
      <c r="G43" s="1643"/>
      <c r="H43" s="1641"/>
      <c r="I43" s="1641"/>
      <c r="J43" s="1641"/>
      <c r="K43" s="1641"/>
      <c r="L43" s="1641"/>
      <c r="M43" s="1643"/>
      <c r="N43" s="1641"/>
      <c r="O43" s="3602"/>
      <c r="P43" s="949"/>
      <c r="Q43" s="949"/>
      <c r="R43" s="949"/>
      <c r="S43" s="949"/>
    </row>
    <row r="44" spans="1:34">
      <c r="A44" s="1497"/>
      <c r="B44" s="620"/>
      <c r="D44" s="620"/>
    </row>
    <row r="45" spans="1:34">
      <c r="A45" s="1497"/>
      <c r="B45" s="620"/>
      <c r="D45" s="620"/>
    </row>
    <row r="46" spans="1:34">
      <c r="A46" s="1049"/>
      <c r="B46" s="620"/>
      <c r="D46" s="620"/>
    </row>
    <row r="47" spans="1:34">
      <c r="A47" s="180"/>
      <c r="B47" s="620"/>
      <c r="D47" s="620"/>
    </row>
    <row r="48" spans="1:34">
      <c r="B48" s="620"/>
      <c r="D48" s="620"/>
    </row>
    <row r="49" spans="2:2">
      <c r="B49" s="620"/>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69140625" defaultRowHeight="15.5"/>
  <cols>
    <col min="1" max="1" width="51.69140625" style="929" customWidth="1"/>
    <col min="2" max="2" width="2.07421875" style="933" customWidth="1"/>
    <col min="3" max="3" width="15.69140625" style="422" customWidth="1"/>
    <col min="4" max="4" width="1.07421875" style="933" customWidth="1"/>
    <col min="5" max="5" width="15.69140625" style="422" customWidth="1"/>
    <col min="6" max="6" width="1.07421875" style="933" customWidth="1"/>
    <col min="7" max="7" width="15.69140625" style="933" customWidth="1"/>
    <col min="8" max="8" width="0.69140625" style="933" customWidth="1"/>
    <col min="9" max="9" width="19.4609375" style="933" customWidth="1"/>
    <col min="10" max="10" width="1.07421875" style="620" customWidth="1"/>
    <col min="11" max="11" width="19.4609375" style="933" customWidth="1"/>
    <col min="12" max="12" width="1.07421875" style="933" customWidth="1"/>
    <col min="13" max="13" width="15.69140625" style="620" customWidth="1"/>
    <col min="14" max="14" width="1.07421875" style="620" customWidth="1"/>
    <col min="15" max="15" width="15.69140625" style="620" customWidth="1"/>
    <col min="16" max="16" width="1.07421875" style="620" customWidth="1"/>
    <col min="17" max="17" width="15.69140625" style="620" customWidth="1"/>
    <col min="18" max="18" width="1.07421875" style="620" customWidth="1"/>
    <col min="19" max="19" width="15.69140625" style="620" customWidth="1"/>
    <col min="20" max="20" width="1.69140625" style="620" customWidth="1"/>
    <col min="21" max="21" width="15.69140625" style="422" customWidth="1"/>
    <col min="22" max="22" width="0.69140625" style="620" customWidth="1"/>
    <col min="23" max="23" width="15.69140625" style="422" customWidth="1"/>
    <col min="24" max="24" width="1.07421875" style="620" customWidth="1"/>
    <col min="25" max="25" width="15.69140625" style="620" customWidth="1"/>
    <col min="26" max="26" width="1" style="620" customWidth="1"/>
    <col min="27" max="27" width="15.69140625" style="620" customWidth="1"/>
    <col min="28" max="28" width="3.69140625" style="933" bestFit="1" customWidth="1"/>
    <col min="29" max="33" width="8.69140625" style="933"/>
    <col min="34" max="16384" width="8.69140625" style="929"/>
  </cols>
  <sheetData>
    <row r="1" spans="1:48">
      <c r="A1" s="935" t="s">
        <v>963</v>
      </c>
    </row>
    <row r="2" spans="1:48" ht="16.5">
      <c r="A2" s="182"/>
      <c r="B2" s="184"/>
      <c r="C2" s="416"/>
      <c r="D2" s="184"/>
      <c r="E2" s="416"/>
      <c r="F2" s="184"/>
      <c r="G2" s="184"/>
      <c r="H2" s="184"/>
      <c r="I2" s="184"/>
      <c r="J2" s="183"/>
      <c r="K2" s="184"/>
      <c r="L2" s="184"/>
      <c r="M2" s="183"/>
      <c r="N2" s="183"/>
      <c r="O2" s="183"/>
      <c r="P2" s="183"/>
      <c r="Q2" s="183"/>
      <c r="R2" s="183"/>
      <c r="S2" s="183"/>
      <c r="T2" s="183"/>
      <c r="U2" s="1180"/>
      <c r="V2" s="183"/>
      <c r="W2" s="1180"/>
      <c r="X2" s="183"/>
      <c r="Y2" s="183"/>
      <c r="Z2" s="183"/>
      <c r="AA2" s="183"/>
    </row>
    <row r="3" spans="1:48" ht="17.25" customHeight="1">
      <c r="A3" s="188" t="s">
        <v>0</v>
      </c>
      <c r="B3" s="145"/>
      <c r="C3" s="418"/>
      <c r="D3" s="140"/>
      <c r="E3" s="418"/>
      <c r="F3" s="140"/>
      <c r="G3" s="140"/>
      <c r="H3" s="140"/>
      <c r="I3" s="140"/>
      <c r="J3" s="153"/>
      <c r="K3" s="140"/>
      <c r="L3" s="140"/>
      <c r="M3" s="153"/>
      <c r="N3" s="153"/>
      <c r="O3" s="153"/>
      <c r="P3" s="153"/>
      <c r="Q3" s="153"/>
      <c r="R3" s="153"/>
      <c r="S3" s="820"/>
      <c r="T3" s="153"/>
      <c r="U3" s="820" t="s">
        <v>83</v>
      </c>
      <c r="V3" s="153"/>
      <c r="W3" s="1182"/>
      <c r="X3" s="153"/>
      <c r="Y3" s="153"/>
      <c r="Z3" s="153"/>
      <c r="AA3" s="1183"/>
    </row>
    <row r="4" spans="1:48" ht="17.25" customHeight="1">
      <c r="A4" s="188" t="s">
        <v>1189</v>
      </c>
      <c r="B4" s="145"/>
      <c r="C4" s="418"/>
      <c r="D4" s="140"/>
      <c r="E4" s="418"/>
      <c r="F4" s="140"/>
      <c r="G4" s="140"/>
      <c r="H4" s="140"/>
      <c r="I4" s="140"/>
      <c r="J4" s="153"/>
      <c r="K4" s="140"/>
      <c r="L4" s="140"/>
      <c r="M4" s="153"/>
      <c r="N4" s="153"/>
      <c r="O4" s="153"/>
      <c r="P4" s="153"/>
      <c r="Q4" s="153"/>
      <c r="R4" s="153"/>
      <c r="S4" s="821"/>
      <c r="T4" s="153"/>
      <c r="U4" s="821"/>
      <c r="V4" s="153"/>
      <c r="W4" s="1182"/>
      <c r="X4" s="153"/>
      <c r="Y4" s="153"/>
      <c r="Z4" s="153"/>
      <c r="AA4" s="1184"/>
    </row>
    <row r="5" spans="1:48" ht="17.25" customHeight="1">
      <c r="A5" s="3923" t="str">
        <f>'Exh D-Governmental  '!A5:E5</f>
        <v>FISCAL YEAR 2020-2021</v>
      </c>
      <c r="B5" s="3924"/>
      <c r="C5" s="3924"/>
      <c r="D5" s="3924"/>
      <c r="E5" s="3924"/>
      <c r="F5" s="140"/>
      <c r="G5" s="140"/>
      <c r="H5" s="140"/>
      <c r="I5" s="140"/>
      <c r="J5" s="153"/>
      <c r="K5" s="140"/>
      <c r="L5" s="140"/>
      <c r="M5" s="153"/>
      <c r="N5" s="153"/>
      <c r="O5" s="153"/>
      <c r="P5" s="153"/>
      <c r="Q5" s="153"/>
      <c r="R5" s="153"/>
      <c r="S5" s="153"/>
      <c r="T5" s="153"/>
      <c r="U5" s="1182"/>
      <c r="V5" s="153"/>
      <c r="W5" s="1182"/>
      <c r="X5" s="153"/>
      <c r="Y5" s="153"/>
      <c r="Z5" s="153"/>
      <c r="AA5" s="153"/>
    </row>
    <row r="6" spans="1:48" ht="17.25" customHeight="1">
      <c r="A6" s="1472" t="str">
        <f>'Exh D-Governmental  '!A6</f>
        <v xml:space="preserve">FOR SEVEN MONTHS ENDED OCTOBER 31, 2020    </v>
      </c>
      <c r="B6" s="144"/>
      <c r="C6" s="418"/>
      <c r="D6" s="140"/>
      <c r="E6" s="418"/>
      <c r="F6" s="140"/>
      <c r="G6" s="140"/>
      <c r="H6" s="140"/>
      <c r="I6" s="140"/>
      <c r="J6" s="153"/>
      <c r="K6" s="140"/>
      <c r="L6" s="140"/>
      <c r="M6" s="153"/>
      <c r="N6" s="153"/>
      <c r="O6" s="153"/>
      <c r="P6" s="153"/>
      <c r="Q6" s="153"/>
      <c r="R6" s="153"/>
      <c r="S6" s="153"/>
      <c r="T6" s="153"/>
      <c r="U6" s="1182"/>
      <c r="V6" s="153"/>
      <c r="W6" s="1182"/>
      <c r="X6" s="153"/>
      <c r="Y6" s="153"/>
      <c r="Z6" s="153"/>
      <c r="AA6" s="153"/>
      <c r="AB6" s="140"/>
      <c r="AC6" s="153"/>
      <c r="AD6" s="153"/>
      <c r="AE6" s="153"/>
      <c r="AF6" s="153"/>
      <c r="AG6" s="153"/>
      <c r="AH6" s="153"/>
      <c r="AI6" s="153"/>
      <c r="AJ6" s="153"/>
      <c r="AK6" s="153"/>
      <c r="AL6" s="153"/>
      <c r="AM6" s="153"/>
      <c r="AN6" s="153"/>
      <c r="AO6" s="153"/>
      <c r="AP6" s="153"/>
      <c r="AQ6" s="620"/>
      <c r="AR6" s="620"/>
      <c r="AS6" s="620"/>
      <c r="AT6" s="620"/>
      <c r="AU6" s="620"/>
      <c r="AV6" s="933"/>
    </row>
    <row r="7" spans="1:48" ht="18">
      <c r="A7" s="188" t="s">
        <v>1366</v>
      </c>
      <c r="B7" s="145"/>
      <c r="C7" s="418"/>
      <c r="D7" s="140"/>
      <c r="E7" s="418"/>
      <c r="F7" s="140"/>
      <c r="G7" s="140"/>
      <c r="H7" s="140"/>
      <c r="I7" s="140"/>
      <c r="J7" s="153"/>
      <c r="K7" s="140"/>
      <c r="L7" s="140"/>
      <c r="M7" s="153"/>
      <c r="N7" s="153"/>
      <c r="O7" s="153"/>
      <c r="P7" s="153"/>
      <c r="Q7" s="153"/>
      <c r="R7" s="153"/>
      <c r="S7" s="153"/>
      <c r="T7" s="153"/>
      <c r="U7" s="1182"/>
      <c r="V7" s="153"/>
      <c r="W7" s="1182"/>
      <c r="X7" s="153"/>
      <c r="Y7" s="153"/>
      <c r="Z7" s="153"/>
      <c r="AA7" s="153"/>
    </row>
    <row r="8" spans="1:48" ht="17.5">
      <c r="A8" s="190"/>
      <c r="B8" s="145"/>
      <c r="C8" s="418"/>
      <c r="D8" s="140"/>
      <c r="E8" s="418"/>
      <c r="F8" s="140"/>
      <c r="G8" s="140"/>
      <c r="H8" s="140"/>
      <c r="I8" s="140"/>
      <c r="J8" s="153"/>
      <c r="K8" s="140"/>
      <c r="L8" s="140"/>
      <c r="M8" s="153"/>
      <c r="N8" s="153"/>
      <c r="O8" s="153"/>
      <c r="P8" s="153"/>
      <c r="Q8" s="153"/>
      <c r="R8" s="153"/>
      <c r="S8" s="153"/>
      <c r="T8" s="153"/>
      <c r="U8" s="1182"/>
      <c r="V8" s="153"/>
      <c r="W8" s="1182"/>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82"/>
      <c r="V9" s="153"/>
      <c r="W9" s="1182"/>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62"/>
      <c r="V10" s="144"/>
      <c r="W10" s="962"/>
      <c r="X10" s="144"/>
      <c r="Y10" s="144"/>
      <c r="Z10" s="144"/>
      <c r="AA10" s="144"/>
      <c r="AB10" s="949"/>
    </row>
    <row r="11" spans="1:48">
      <c r="A11" s="688"/>
      <c r="B11" s="148"/>
      <c r="C11" s="3925" t="s">
        <v>1131</v>
      </c>
      <c r="D11" s="3925"/>
      <c r="E11" s="3925"/>
      <c r="F11" s="3925"/>
      <c r="G11" s="3925"/>
      <c r="H11" s="3925"/>
      <c r="I11" s="3925"/>
      <c r="J11" s="1176"/>
      <c r="K11" s="1176"/>
      <c r="L11" s="202"/>
      <c r="M11" s="3925" t="s">
        <v>1132</v>
      </c>
      <c r="N11" s="3925"/>
      <c r="O11" s="3925"/>
      <c r="P11" s="3925"/>
      <c r="Q11" s="3925"/>
      <c r="R11" s="3925"/>
      <c r="S11" s="3925"/>
      <c r="T11" s="1189"/>
      <c r="U11" s="1415"/>
      <c r="V11" s="1415"/>
      <c r="W11" s="193"/>
      <c r="X11" s="193"/>
      <c r="Y11" s="193"/>
      <c r="Z11" s="193"/>
      <c r="AA11" s="193"/>
      <c r="AB11" s="949"/>
    </row>
    <row r="12" spans="1:48">
      <c r="A12" s="688"/>
      <c r="B12" s="148"/>
      <c r="C12" s="424"/>
      <c r="D12" s="149"/>
      <c r="E12" s="424"/>
      <c r="F12" s="149"/>
      <c r="G12" s="149"/>
      <c r="H12" s="149"/>
      <c r="I12" s="203" t="s">
        <v>84</v>
      </c>
      <c r="J12" s="203"/>
      <c r="K12" s="203" t="s">
        <v>84</v>
      </c>
      <c r="L12" s="936"/>
      <c r="M12" s="424"/>
      <c r="N12" s="149"/>
      <c r="O12" s="424"/>
      <c r="P12" s="149"/>
      <c r="Q12" s="149"/>
      <c r="R12" s="149"/>
      <c r="S12" s="203" t="s">
        <v>84</v>
      </c>
      <c r="T12" s="148"/>
      <c r="U12" s="203" t="s">
        <v>84</v>
      </c>
      <c r="V12" s="148"/>
      <c r="W12" s="978"/>
      <c r="X12" s="148"/>
      <c r="Y12" s="148"/>
      <c r="Z12" s="148"/>
      <c r="AA12" s="203"/>
    </row>
    <row r="13" spans="1:48">
      <c r="A13" s="688"/>
      <c r="B13" s="148"/>
      <c r="C13" s="424"/>
      <c r="D13" s="149"/>
      <c r="E13" s="424"/>
      <c r="F13" s="149"/>
      <c r="G13" s="149"/>
      <c r="H13" s="149"/>
      <c r="I13" s="150" t="s">
        <v>874</v>
      </c>
      <c r="J13" s="198"/>
      <c r="K13" s="150" t="s">
        <v>874</v>
      </c>
      <c r="L13" s="936"/>
      <c r="M13" s="424"/>
      <c r="N13" s="149"/>
      <c r="O13" s="424"/>
      <c r="P13" s="149"/>
      <c r="Q13" s="149"/>
      <c r="R13" s="149"/>
      <c r="S13" s="150" t="s">
        <v>874</v>
      </c>
      <c r="T13" s="148"/>
      <c r="U13" s="150" t="s">
        <v>874</v>
      </c>
      <c r="V13" s="148"/>
      <c r="W13" s="978"/>
      <c r="X13" s="148"/>
      <c r="Y13" s="148"/>
      <c r="Z13" s="148"/>
      <c r="AA13" s="198"/>
    </row>
    <row r="14" spans="1:48" ht="15.75" customHeight="1">
      <c r="A14" s="688"/>
      <c r="B14" s="148"/>
      <c r="C14" s="151" t="s">
        <v>1075</v>
      </c>
      <c r="D14" s="929"/>
      <c r="E14" s="151" t="s">
        <v>1076</v>
      </c>
      <c r="F14" s="149"/>
      <c r="G14" s="149"/>
      <c r="H14" s="149"/>
      <c r="I14" s="150" t="s">
        <v>85</v>
      </c>
      <c r="J14" s="198"/>
      <c r="K14" s="150" t="s">
        <v>85</v>
      </c>
      <c r="L14" s="936"/>
      <c r="M14" s="151" t="s">
        <v>1075</v>
      </c>
      <c r="N14" s="929"/>
      <c r="O14" s="151" t="s">
        <v>1076</v>
      </c>
      <c r="P14" s="149"/>
      <c r="Q14" s="149"/>
      <c r="R14" s="149"/>
      <c r="S14" s="150" t="s">
        <v>85</v>
      </c>
      <c r="T14" s="199"/>
      <c r="U14" s="150" t="s">
        <v>85</v>
      </c>
      <c r="V14" s="689"/>
      <c r="W14" s="197"/>
      <c r="X14" s="148"/>
      <c r="Y14" s="148"/>
      <c r="Z14" s="148"/>
      <c r="AA14" s="198"/>
    </row>
    <row r="15" spans="1:48" ht="15.75" customHeight="1">
      <c r="A15" s="688"/>
      <c r="B15" s="148"/>
      <c r="C15" s="150" t="s">
        <v>1112</v>
      </c>
      <c r="D15" s="149"/>
      <c r="E15" s="150" t="s">
        <v>1112</v>
      </c>
      <c r="F15" s="149"/>
      <c r="G15" s="149"/>
      <c r="H15" s="149"/>
      <c r="I15" s="150" t="s">
        <v>1075</v>
      </c>
      <c r="J15" s="197"/>
      <c r="K15" s="151" t="s">
        <v>1076</v>
      </c>
      <c r="L15" s="979"/>
      <c r="M15" s="150" t="s">
        <v>1112</v>
      </c>
      <c r="N15" s="149"/>
      <c r="O15" s="150" t="s">
        <v>1112</v>
      </c>
      <c r="P15" s="149"/>
      <c r="Q15" s="149"/>
      <c r="R15" s="149"/>
      <c r="S15" s="150" t="s">
        <v>1075</v>
      </c>
      <c r="T15" s="199"/>
      <c r="U15" s="151" t="s">
        <v>1076</v>
      </c>
      <c r="V15" s="148"/>
      <c r="W15" s="198"/>
      <c r="X15" s="148"/>
      <c r="Y15" s="148"/>
      <c r="Z15" s="148"/>
      <c r="AA15" s="197"/>
    </row>
    <row r="16" spans="1:48">
      <c r="A16" s="688"/>
      <c r="B16" s="148"/>
      <c r="C16" s="150" t="s">
        <v>1113</v>
      </c>
      <c r="D16" s="149"/>
      <c r="E16" s="150" t="s">
        <v>1510</v>
      </c>
      <c r="F16" s="149"/>
      <c r="G16" s="151" t="s">
        <v>84</v>
      </c>
      <c r="H16" s="149"/>
      <c r="I16" s="150" t="s">
        <v>86</v>
      </c>
      <c r="J16" s="198"/>
      <c r="K16" s="150" t="s">
        <v>86</v>
      </c>
      <c r="L16" s="936"/>
      <c r="M16" s="150" t="s">
        <v>1113</v>
      </c>
      <c r="N16" s="149"/>
      <c r="O16" s="150" t="s">
        <v>1510</v>
      </c>
      <c r="P16" s="149"/>
      <c r="Q16" s="151" t="s">
        <v>84</v>
      </c>
      <c r="R16" s="149"/>
      <c r="S16" s="150" t="s">
        <v>86</v>
      </c>
      <c r="T16" s="198"/>
      <c r="U16" s="150" t="s">
        <v>86</v>
      </c>
      <c r="V16" s="148"/>
      <c r="W16" s="198"/>
      <c r="X16" s="148"/>
      <c r="Y16" s="197"/>
      <c r="Z16" s="148"/>
      <c r="AA16" s="198"/>
    </row>
    <row r="17" spans="1:48">
      <c r="A17" s="152"/>
      <c r="B17" s="153"/>
      <c r="C17" s="154"/>
      <c r="D17" s="140"/>
      <c r="E17" s="154"/>
      <c r="F17" s="140"/>
      <c r="G17" s="154"/>
      <c r="H17" s="140"/>
      <c r="I17" s="154"/>
      <c r="J17" s="153"/>
      <c r="K17" s="154"/>
      <c r="L17" s="937"/>
      <c r="M17" s="154"/>
      <c r="N17" s="140"/>
      <c r="O17" s="154"/>
      <c r="P17" s="140"/>
      <c r="Q17" s="154"/>
      <c r="R17" s="140"/>
      <c r="S17" s="154"/>
      <c r="T17" s="153"/>
      <c r="U17" s="154"/>
      <c r="V17" s="153"/>
      <c r="W17" s="153"/>
      <c r="X17" s="153"/>
      <c r="Y17" s="153"/>
      <c r="Z17" s="153"/>
      <c r="AA17" s="153"/>
    </row>
    <row r="18" spans="1:48">
      <c r="A18" s="29" t="s">
        <v>14</v>
      </c>
      <c r="B18" s="922"/>
      <c r="C18" s="655"/>
      <c r="D18" s="655"/>
      <c r="E18" s="655"/>
      <c r="F18" s="655"/>
      <c r="G18" s="813" t="s">
        <v>15</v>
      </c>
      <c r="H18" s="655"/>
      <c r="I18" s="655"/>
      <c r="J18" s="922"/>
      <c r="K18" s="655"/>
      <c r="L18" s="938"/>
      <c r="M18" s="655"/>
      <c r="N18" s="655"/>
      <c r="O18" s="655"/>
      <c r="P18" s="655"/>
      <c r="Q18" s="655" t="s">
        <v>15</v>
      </c>
      <c r="R18" s="655"/>
      <c r="S18" s="655"/>
      <c r="T18" s="922"/>
      <c r="U18" s="655"/>
      <c r="V18" s="922"/>
      <c r="W18" s="922"/>
      <c r="X18" s="922"/>
      <c r="Y18" s="922"/>
      <c r="Z18" s="922"/>
      <c r="AA18" s="922"/>
    </row>
    <row r="19" spans="1:48">
      <c r="A19" s="818" t="s">
        <v>87</v>
      </c>
      <c r="B19" s="923" t="s">
        <v>15</v>
      </c>
      <c r="C19" s="656"/>
      <c r="D19" s="658"/>
      <c r="E19" s="656"/>
      <c r="F19" s="658"/>
      <c r="G19" s="656"/>
      <c r="H19" s="658"/>
      <c r="I19" s="656"/>
      <c r="J19" s="969"/>
      <c r="K19" s="656"/>
      <c r="L19" s="950"/>
      <c r="M19" s="656"/>
      <c r="N19" s="656"/>
      <c r="O19" s="656"/>
      <c r="P19" s="656"/>
      <c r="Q19" s="951"/>
      <c r="R19" s="658"/>
      <c r="S19" s="656"/>
      <c r="T19" s="658"/>
      <c r="U19" s="656"/>
      <c r="V19" s="969"/>
      <c r="W19" s="969"/>
      <c r="X19" s="969"/>
      <c r="Y19" s="1190"/>
      <c r="Z19" s="967"/>
      <c r="AA19" s="969"/>
      <c r="AB19" s="922"/>
      <c r="AC19" s="922"/>
      <c r="AD19" s="922"/>
      <c r="AE19" s="922"/>
      <c r="AF19" s="922"/>
      <c r="AG19" s="922"/>
      <c r="AH19" s="922"/>
      <c r="AI19" s="922"/>
      <c r="AJ19" s="922"/>
      <c r="AK19" s="922"/>
      <c r="AL19" s="922"/>
      <c r="AM19" s="922"/>
      <c r="AN19" s="922"/>
      <c r="AO19" s="922"/>
      <c r="AP19" s="922"/>
      <c r="AQ19" s="620"/>
      <c r="AR19" s="620"/>
      <c r="AS19" s="620"/>
      <c r="AT19" s="620"/>
      <c r="AU19" s="620"/>
      <c r="AV19" s="933"/>
    </row>
    <row r="20" spans="1:48">
      <c r="A20" s="818" t="s">
        <v>89</v>
      </c>
      <c r="B20" s="922" t="s">
        <v>15</v>
      </c>
      <c r="C20" s="2054">
        <v>298</v>
      </c>
      <c r="D20" s="656"/>
      <c r="E20" s="2054">
        <v>306</v>
      </c>
      <c r="F20" s="656"/>
      <c r="G20" s="939">
        <f>+'Exhibit I State'!AD22</f>
        <v>299.2</v>
      </c>
      <c r="H20" s="656"/>
      <c r="I20" s="656">
        <f t="shared" ref="I20:I26" si="0">ROUND(SUM(G20)-SUM(C20),1)</f>
        <v>1.2</v>
      </c>
      <c r="J20" s="969"/>
      <c r="K20" s="656">
        <f>G20-E20</f>
        <v>-6.8000000000000114</v>
      </c>
      <c r="L20" s="950"/>
      <c r="M20" s="2054">
        <v>0</v>
      </c>
      <c r="N20" s="2054"/>
      <c r="O20" s="2054">
        <v>0</v>
      </c>
      <c r="P20" s="659"/>
      <c r="Q20" s="939">
        <v>0</v>
      </c>
      <c r="R20" s="659"/>
      <c r="S20" s="656">
        <f t="shared" ref="S20:S26" si="1">ROUND(SUM(Q20)-SUM(M20),1)</f>
        <v>0</v>
      </c>
      <c r="T20" s="969"/>
      <c r="U20" s="656">
        <f>Q20-O20</f>
        <v>0</v>
      </c>
      <c r="V20" s="1191"/>
      <c r="W20" s="968"/>
      <c r="X20" s="1191"/>
      <c r="Y20" s="968"/>
      <c r="Z20" s="1191"/>
      <c r="AA20" s="969"/>
      <c r="AB20" s="922"/>
      <c r="AC20" s="922"/>
      <c r="AD20" s="922"/>
      <c r="AE20" s="922"/>
      <c r="AF20" s="922"/>
      <c r="AG20" s="922"/>
      <c r="AH20" s="922"/>
      <c r="AI20" s="922"/>
      <c r="AJ20" s="922"/>
      <c r="AK20" s="922"/>
      <c r="AL20" s="922"/>
      <c r="AM20" s="922"/>
      <c r="AN20" s="922"/>
      <c r="AO20" s="922"/>
      <c r="AP20" s="922"/>
      <c r="AQ20" s="620"/>
      <c r="AR20" s="620"/>
      <c r="AS20" s="620"/>
      <c r="AT20" s="620"/>
      <c r="AU20" s="620"/>
      <c r="AV20" s="933"/>
    </row>
    <row r="21" spans="1:48">
      <c r="A21" s="818" t="s">
        <v>90</v>
      </c>
      <c r="B21" s="923" t="s">
        <v>15</v>
      </c>
      <c r="C21" s="1120">
        <v>309</v>
      </c>
      <c r="D21" s="679"/>
      <c r="E21" s="1120">
        <v>326</v>
      </c>
      <c r="F21" s="679"/>
      <c r="G21" s="684">
        <f>+'Exhibit I State'!AD27</f>
        <v>316.5</v>
      </c>
      <c r="H21" s="679"/>
      <c r="I21" s="641">
        <f t="shared" si="0"/>
        <v>7.5</v>
      </c>
      <c r="J21" s="941"/>
      <c r="K21" s="1529">
        <f t="shared" ref="K21:K26" si="2">G21-E21</f>
        <v>-9.5</v>
      </c>
      <c r="L21" s="952"/>
      <c r="M21" s="1120">
        <v>0</v>
      </c>
      <c r="N21" s="1120"/>
      <c r="O21" s="1120">
        <v>0</v>
      </c>
      <c r="P21" s="657"/>
      <c r="Q21" s="684">
        <v>0</v>
      </c>
      <c r="R21" s="657"/>
      <c r="S21" s="641">
        <f t="shared" si="1"/>
        <v>0</v>
      </c>
      <c r="T21" s="679"/>
      <c r="U21" s="1529">
        <f t="shared" ref="U21:U26" si="3">Q21-O21</f>
        <v>0</v>
      </c>
      <c r="V21" s="944"/>
      <c r="W21" s="972"/>
      <c r="X21" s="944"/>
      <c r="Y21" s="972"/>
      <c r="Z21" s="944"/>
      <c r="AA21" s="941"/>
      <c r="AB21" s="943"/>
      <c r="AC21" s="922"/>
      <c r="AD21" s="922"/>
      <c r="AE21" s="943"/>
      <c r="AF21" s="922"/>
      <c r="AG21" s="943"/>
      <c r="AH21" s="922"/>
      <c r="AI21" s="922"/>
      <c r="AJ21" s="943"/>
      <c r="AK21" s="922"/>
      <c r="AL21" s="922"/>
      <c r="AM21" s="943"/>
      <c r="AN21" s="200"/>
      <c r="AO21" s="943"/>
      <c r="AP21" s="922"/>
      <c r="AQ21" s="620"/>
      <c r="AR21" s="620"/>
      <c r="AS21" s="620"/>
      <c r="AT21" s="620"/>
      <c r="AU21" s="620"/>
      <c r="AV21" s="933"/>
    </row>
    <row r="22" spans="1:48">
      <c r="A22" s="818" t="s">
        <v>91</v>
      </c>
      <c r="B22" s="922" t="s">
        <v>15</v>
      </c>
      <c r="C22" s="1120">
        <v>60</v>
      </c>
      <c r="D22" s="1529"/>
      <c r="E22" s="1120">
        <v>59</v>
      </c>
      <c r="F22" s="641"/>
      <c r="G22" s="684">
        <f>+'Exhibit I State'!AD30</f>
        <v>59.6</v>
      </c>
      <c r="H22" s="641"/>
      <c r="I22" s="641">
        <f t="shared" si="0"/>
        <v>-0.4</v>
      </c>
      <c r="J22" s="941"/>
      <c r="K22" s="1529">
        <f t="shared" si="2"/>
        <v>0.60000000000000142</v>
      </c>
      <c r="L22" s="952"/>
      <c r="M22" s="1120">
        <v>0</v>
      </c>
      <c r="N22" s="1120"/>
      <c r="O22" s="1120">
        <v>0</v>
      </c>
      <c r="P22" s="657"/>
      <c r="Q22" s="684">
        <v>0</v>
      </c>
      <c r="R22" s="657"/>
      <c r="S22" s="641">
        <f t="shared" si="1"/>
        <v>0</v>
      </c>
      <c r="T22" s="941"/>
      <c r="U22" s="1529">
        <f t="shared" si="3"/>
        <v>0</v>
      </c>
      <c r="V22" s="944"/>
      <c r="W22" s="972"/>
      <c r="X22" s="944"/>
      <c r="Y22" s="972"/>
      <c r="Z22" s="944"/>
      <c r="AA22" s="941"/>
      <c r="AB22" s="922"/>
      <c r="AC22" s="922"/>
      <c r="AD22" s="922"/>
      <c r="AE22" s="922"/>
      <c r="AF22" s="922"/>
      <c r="AG22" s="922"/>
      <c r="AH22" s="922"/>
      <c r="AI22" s="922"/>
      <c r="AJ22" s="922"/>
      <c r="AK22" s="922"/>
      <c r="AL22" s="922"/>
      <c r="AM22" s="922"/>
      <c r="AN22" s="922"/>
      <c r="AO22" s="922"/>
      <c r="AP22" s="922"/>
      <c r="AQ22" s="620"/>
      <c r="AR22" s="620"/>
      <c r="AS22" s="620"/>
      <c r="AT22" s="620"/>
      <c r="AU22" s="620"/>
      <c r="AV22" s="933"/>
    </row>
    <row r="23" spans="1:48">
      <c r="A23" s="818" t="s">
        <v>20</v>
      </c>
      <c r="B23" s="922" t="s">
        <v>15</v>
      </c>
      <c r="C23" s="1120">
        <v>4225</v>
      </c>
      <c r="D23" s="1529"/>
      <c r="E23" s="1120">
        <v>3624</v>
      </c>
      <c r="F23" s="641"/>
      <c r="G23" s="684">
        <f>+'Exhibit I State'!AD60</f>
        <v>3628.9</v>
      </c>
      <c r="H23" s="641"/>
      <c r="I23" s="641">
        <f t="shared" si="0"/>
        <v>-596.1</v>
      </c>
      <c r="J23" s="941"/>
      <c r="K23" s="1529">
        <f t="shared" si="2"/>
        <v>4.9000000000000909</v>
      </c>
      <c r="L23" s="952"/>
      <c r="M23" s="1120">
        <v>0</v>
      </c>
      <c r="N23" s="1529"/>
      <c r="O23" s="1120">
        <v>1</v>
      </c>
      <c r="P23" s="641"/>
      <c r="Q23" s="641">
        <f>+'Exhibit I Federal'!AD42</f>
        <v>0.6</v>
      </c>
      <c r="R23" s="641"/>
      <c r="S23" s="641">
        <f t="shared" si="1"/>
        <v>0.6</v>
      </c>
      <c r="T23" s="941"/>
      <c r="U23" s="1529">
        <f t="shared" si="3"/>
        <v>-0.4</v>
      </c>
      <c r="V23" s="941"/>
      <c r="W23" s="972"/>
      <c r="X23" s="941"/>
      <c r="Y23" s="972"/>
      <c r="Z23" s="941"/>
      <c r="AA23" s="941"/>
    </row>
    <row r="24" spans="1:48">
      <c r="A24" s="818" t="s">
        <v>21</v>
      </c>
      <c r="B24" s="922" t="s">
        <v>15</v>
      </c>
      <c r="C24" s="1120">
        <v>2</v>
      </c>
      <c r="D24" s="1529"/>
      <c r="E24" s="1120">
        <v>2</v>
      </c>
      <c r="F24" s="641"/>
      <c r="G24" s="684">
        <f>+'Exhibit I State'!AD62</f>
        <v>2.1</v>
      </c>
      <c r="H24" s="641"/>
      <c r="I24" s="641">
        <f t="shared" si="0"/>
        <v>0.1</v>
      </c>
      <c r="J24" s="941"/>
      <c r="K24" s="1529">
        <f t="shared" si="2"/>
        <v>0.10000000000000009</v>
      </c>
      <c r="L24" s="952"/>
      <c r="M24" s="1120">
        <v>1194</v>
      </c>
      <c r="N24" s="1529"/>
      <c r="O24" s="1120">
        <v>1096</v>
      </c>
      <c r="P24" s="641"/>
      <c r="Q24" s="641">
        <f>+'Exhibit I Federal'!AD44</f>
        <v>1094.9000000000001</v>
      </c>
      <c r="R24" s="641"/>
      <c r="S24" s="641">
        <f t="shared" si="1"/>
        <v>-99.1</v>
      </c>
      <c r="T24" s="941"/>
      <c r="U24" s="1529">
        <f t="shared" si="3"/>
        <v>-1.0999999999999091</v>
      </c>
      <c r="V24" s="941"/>
      <c r="W24" s="972"/>
      <c r="X24" s="941"/>
      <c r="Y24" s="972"/>
      <c r="Z24" s="941"/>
      <c r="AA24" s="941"/>
    </row>
    <row r="25" spans="1:48">
      <c r="A25" s="818" t="s">
        <v>97</v>
      </c>
      <c r="B25" s="922" t="s">
        <v>15</v>
      </c>
      <c r="C25" s="1120">
        <v>0</v>
      </c>
      <c r="D25" s="1529"/>
      <c r="E25" s="1120">
        <v>0</v>
      </c>
      <c r="F25" s="641"/>
      <c r="G25" s="684">
        <f>+'Exhibit I State'!AA91</f>
        <v>0</v>
      </c>
      <c r="H25" s="641"/>
      <c r="I25" s="641">
        <f t="shared" si="0"/>
        <v>0</v>
      </c>
      <c r="J25" s="941"/>
      <c r="K25" s="1529">
        <f t="shared" si="2"/>
        <v>0</v>
      </c>
      <c r="L25" s="953"/>
      <c r="M25" s="1120">
        <v>0</v>
      </c>
      <c r="N25" s="893"/>
      <c r="O25" s="1120">
        <v>0</v>
      </c>
      <c r="P25" s="641"/>
      <c r="Q25" s="657">
        <v>0</v>
      </c>
      <c r="R25" s="641"/>
      <c r="S25" s="641">
        <f t="shared" si="1"/>
        <v>0</v>
      </c>
      <c r="T25" s="942"/>
      <c r="U25" s="1529">
        <f t="shared" si="3"/>
        <v>0</v>
      </c>
      <c r="V25" s="941"/>
      <c r="W25" s="972"/>
      <c r="X25" s="941"/>
      <c r="Y25" s="972"/>
      <c r="Z25" s="941"/>
      <c r="AA25" s="941"/>
    </row>
    <row r="26" spans="1:48">
      <c r="A26" s="818" t="s">
        <v>47</v>
      </c>
      <c r="B26" s="922" t="s">
        <v>15</v>
      </c>
      <c r="C26" s="1120">
        <v>2240</v>
      </c>
      <c r="D26" s="1529"/>
      <c r="E26" s="1120">
        <v>1043</v>
      </c>
      <c r="F26" s="641"/>
      <c r="G26" s="682">
        <f>+'Exhibit I State'!AD92</f>
        <v>1184.5</v>
      </c>
      <c r="H26" s="641"/>
      <c r="I26" s="641">
        <f t="shared" si="0"/>
        <v>-1055.5</v>
      </c>
      <c r="J26" s="941"/>
      <c r="K26" s="1529">
        <f t="shared" si="2"/>
        <v>141.5</v>
      </c>
      <c r="L26" s="952"/>
      <c r="M26" s="1120">
        <v>-169</v>
      </c>
      <c r="N26" s="893"/>
      <c r="O26" s="1120">
        <v>0</v>
      </c>
      <c r="P26" s="641"/>
      <c r="Q26" s="679">
        <f>+'Exhibit I Federal'!I73</f>
        <v>0</v>
      </c>
      <c r="R26" s="641"/>
      <c r="S26" s="641">
        <f t="shared" si="1"/>
        <v>169</v>
      </c>
      <c r="T26" s="942"/>
      <c r="U26" s="1529">
        <f t="shared" si="3"/>
        <v>0</v>
      </c>
      <c r="V26" s="941"/>
      <c r="W26" s="972"/>
      <c r="X26" s="941"/>
      <c r="Y26" s="972"/>
      <c r="Z26" s="941"/>
      <c r="AA26" s="941"/>
    </row>
    <row r="27" spans="1:48" ht="18" customHeight="1">
      <c r="A27" s="170" t="s">
        <v>108</v>
      </c>
      <c r="B27" s="148" t="s">
        <v>15</v>
      </c>
      <c r="C27" s="1874">
        <f>ROUND(SUM(C20:C26),1)</f>
        <v>7134</v>
      </c>
      <c r="D27" s="920"/>
      <c r="E27" s="1874">
        <f>ROUND(SUM(E20:E26),1)</f>
        <v>5360</v>
      </c>
      <c r="F27" s="920"/>
      <c r="G27" s="212">
        <f>ROUND(SUM(G20:G26),1)</f>
        <v>5490.8</v>
      </c>
      <c r="H27" s="920"/>
      <c r="I27" s="212">
        <f>ROUND(SUM(I20:I26),1)</f>
        <v>-1643.2</v>
      </c>
      <c r="J27" s="74"/>
      <c r="K27" s="212">
        <f>ROUND(SUM(K20:K26),1)</f>
        <v>130.80000000000001</v>
      </c>
      <c r="L27" s="954"/>
      <c r="M27" s="1874">
        <f>ROUND(SUM(M20:M26),1)</f>
        <v>1025</v>
      </c>
      <c r="N27" s="920"/>
      <c r="O27" s="1874">
        <f>ROUND(SUM(O20:O26),1)</f>
        <v>1097</v>
      </c>
      <c r="P27" s="920"/>
      <c r="Q27" s="212">
        <f>ROUND(SUM(Q20:Q26),1)</f>
        <v>1095.5</v>
      </c>
      <c r="R27" s="920"/>
      <c r="S27" s="212">
        <f>ROUND(SUM(S20:S26),1)</f>
        <v>70.5</v>
      </c>
      <c r="T27" s="74"/>
      <c r="U27" s="212">
        <f>ROUND(SUM(U20:U26),1)</f>
        <v>-1.5</v>
      </c>
      <c r="V27" s="74"/>
      <c r="W27" s="74"/>
      <c r="X27" s="74"/>
      <c r="Y27" s="74"/>
      <c r="Z27" s="74"/>
      <c r="AA27" s="74"/>
    </row>
    <row r="28" spans="1:48">
      <c r="A28" s="688"/>
      <c r="B28" s="922" t="s">
        <v>15</v>
      </c>
      <c r="C28" s="1875"/>
      <c r="D28" s="1529"/>
      <c r="E28" s="1875"/>
      <c r="F28" s="641"/>
      <c r="G28" s="686"/>
      <c r="H28" s="641"/>
      <c r="I28" s="686"/>
      <c r="J28" s="941"/>
      <c r="K28" s="686"/>
      <c r="L28" s="952"/>
      <c r="M28" s="1875"/>
      <c r="N28" s="1529"/>
      <c r="O28" s="1875"/>
      <c r="P28" s="641"/>
      <c r="Q28" s="686"/>
      <c r="R28" s="641"/>
      <c r="S28" s="686" t="s">
        <v>15</v>
      </c>
      <c r="T28" s="941"/>
      <c r="U28" s="686"/>
      <c r="V28" s="941"/>
      <c r="W28" s="941"/>
      <c r="X28" s="941"/>
      <c r="Y28" s="941"/>
      <c r="Z28" s="941"/>
      <c r="AA28" s="941"/>
    </row>
    <row r="29" spans="1:48">
      <c r="A29" s="29" t="s">
        <v>23</v>
      </c>
      <c r="B29" s="922" t="s">
        <v>15</v>
      </c>
      <c r="C29" s="893"/>
      <c r="D29" s="1529"/>
      <c r="E29" s="893"/>
      <c r="F29" s="641"/>
      <c r="G29" s="641" t="s">
        <v>15</v>
      </c>
      <c r="H29" s="641"/>
      <c r="I29" s="641"/>
      <c r="J29" s="941"/>
      <c r="K29" s="1529"/>
      <c r="L29" s="952"/>
      <c r="M29" s="893"/>
      <c r="N29" s="1529"/>
      <c r="O29" s="893"/>
      <c r="P29" s="641"/>
      <c r="Q29" s="641"/>
      <c r="R29" s="641"/>
      <c r="S29" s="641"/>
      <c r="T29" s="941"/>
      <c r="U29" s="1529"/>
      <c r="V29" s="941"/>
      <c r="W29" s="941"/>
      <c r="X29" s="941"/>
      <c r="Y29" s="941"/>
      <c r="Z29" s="941"/>
      <c r="AA29" s="941"/>
    </row>
    <row r="30" spans="1:48">
      <c r="A30" s="818" t="s">
        <v>93</v>
      </c>
      <c r="B30" s="922" t="s">
        <v>15</v>
      </c>
      <c r="C30" s="1120">
        <v>2491</v>
      </c>
      <c r="D30" s="1529"/>
      <c r="E30" s="1120">
        <v>2252</v>
      </c>
      <c r="F30" s="641"/>
      <c r="G30" s="657">
        <f>+'Exhibit I State'!AD78</f>
        <v>2251.3000000000002</v>
      </c>
      <c r="H30" s="641"/>
      <c r="I30" s="641">
        <f>ROUND(SUM(G30)-SUM(C30),1)</f>
        <v>-239.7</v>
      </c>
      <c r="J30" s="941"/>
      <c r="K30" s="1529">
        <f t="shared" ref="K30:K32" si="4">G30-E30</f>
        <v>-0.6999999999998181</v>
      </c>
      <c r="L30" s="952"/>
      <c r="M30" s="1120">
        <v>388</v>
      </c>
      <c r="N30" s="1529"/>
      <c r="O30" s="1120">
        <v>301</v>
      </c>
      <c r="P30" s="641"/>
      <c r="Q30" s="641">
        <f>+'Exhibit I Federal'!AD60</f>
        <v>292</v>
      </c>
      <c r="R30" s="641"/>
      <c r="S30" s="641">
        <f>ROUND(SUM(Q30)-SUM(M30),1)</f>
        <v>-96</v>
      </c>
      <c r="T30" s="941"/>
      <c r="U30" s="1529">
        <f t="shared" ref="U30:U32" si="5">Q30-O30</f>
        <v>-9</v>
      </c>
      <c r="V30" s="941"/>
      <c r="W30" s="972"/>
      <c r="X30" s="941"/>
      <c r="Y30" s="972"/>
      <c r="Z30" s="941"/>
      <c r="AA30" s="941"/>
    </row>
    <row r="31" spans="1:48">
      <c r="A31" s="818" t="s">
        <v>42</v>
      </c>
      <c r="B31" s="922" t="s">
        <v>15</v>
      </c>
      <c r="C31" s="1120">
        <v>4979</v>
      </c>
      <c r="D31" s="1529"/>
      <c r="E31" s="1120">
        <v>3421</v>
      </c>
      <c r="F31" s="641"/>
      <c r="G31" s="657">
        <f>+'Exhibit I State'!AD83</f>
        <v>3364.3</v>
      </c>
      <c r="H31" s="641"/>
      <c r="I31" s="641">
        <f>ROUND(SUM(G31)-SUM(C31),1)</f>
        <v>-1614.7</v>
      </c>
      <c r="J31" s="941"/>
      <c r="K31" s="1529">
        <f t="shared" si="4"/>
        <v>-56.699999999999818</v>
      </c>
      <c r="L31" s="953"/>
      <c r="M31" s="1120">
        <v>733</v>
      </c>
      <c r="N31" s="1529"/>
      <c r="O31" s="1120">
        <v>798</v>
      </c>
      <c r="P31" s="641"/>
      <c r="Q31" s="641">
        <f>+'Exhibit I Federal'!AD65</f>
        <v>780.4</v>
      </c>
      <c r="R31" s="641"/>
      <c r="S31" s="641">
        <f>ROUND(SUM(Q31)-SUM(M31),1)</f>
        <v>47.4</v>
      </c>
      <c r="T31" s="941"/>
      <c r="U31" s="1529">
        <f t="shared" si="5"/>
        <v>-17.600000000000023</v>
      </c>
      <c r="V31" s="941"/>
      <c r="W31" s="972"/>
      <c r="X31" s="941"/>
      <c r="Y31" s="972"/>
      <c r="Z31" s="941"/>
      <c r="AA31" s="941"/>
    </row>
    <row r="32" spans="1:48">
      <c r="A32" s="818" t="s">
        <v>98</v>
      </c>
      <c r="B32" s="922" t="s">
        <v>15</v>
      </c>
      <c r="C32" s="1120">
        <v>297</v>
      </c>
      <c r="D32" s="1529"/>
      <c r="E32" s="1120">
        <v>285</v>
      </c>
      <c r="F32" s="641"/>
      <c r="G32" s="679">
        <f>-'Exhibit I State'!AD93</f>
        <v>286.5</v>
      </c>
      <c r="H32" s="641"/>
      <c r="I32" s="641">
        <f>ROUND(SUM(G32)-SUM(C32),1)</f>
        <v>-10.5</v>
      </c>
      <c r="J32" s="941"/>
      <c r="K32" s="1529">
        <f t="shared" si="4"/>
        <v>1.5</v>
      </c>
      <c r="L32" s="952"/>
      <c r="M32" s="1120">
        <v>-1</v>
      </c>
      <c r="N32" s="1529"/>
      <c r="O32" s="1120">
        <v>0</v>
      </c>
      <c r="P32" s="641"/>
      <c r="Q32" s="679">
        <f>-'Exhibit I Federal'!AD74</f>
        <v>0</v>
      </c>
      <c r="R32" s="641"/>
      <c r="S32" s="641">
        <f>ROUND(SUM(Q32)-SUM(M32),1)</f>
        <v>1</v>
      </c>
      <c r="T32" s="942"/>
      <c r="U32" s="1529">
        <f t="shared" si="5"/>
        <v>0</v>
      </c>
      <c r="V32" s="941"/>
      <c r="W32" s="972"/>
      <c r="X32" s="941"/>
      <c r="Y32" s="972"/>
      <c r="Z32" s="941"/>
      <c r="AA32" s="941"/>
    </row>
    <row r="33" spans="1:48" ht="18" customHeight="1">
      <c r="A33" s="170" t="s">
        <v>117</v>
      </c>
      <c r="B33" s="148" t="s">
        <v>15</v>
      </c>
      <c r="C33" s="1874">
        <f>ROUND(SUM(C30:C32),1)</f>
        <v>7767</v>
      </c>
      <c r="D33" s="920"/>
      <c r="E33" s="1874">
        <f>ROUND(SUM(E30:E32),1)</f>
        <v>5958</v>
      </c>
      <c r="F33" s="920"/>
      <c r="G33" s="212">
        <f>ROUND(SUM(G30:G32),1)</f>
        <v>5902.1</v>
      </c>
      <c r="H33" s="920"/>
      <c r="I33" s="212">
        <f>ROUND(SUM(I30:I32),1)</f>
        <v>-1864.9</v>
      </c>
      <c r="J33" s="74"/>
      <c r="K33" s="212">
        <f>ROUND(SUM(K30:K32),1)</f>
        <v>-55.9</v>
      </c>
      <c r="L33" s="954"/>
      <c r="M33" s="1873">
        <f>ROUND(SUM(M30:M32),1)</f>
        <v>1120</v>
      </c>
      <c r="N33" s="920"/>
      <c r="O33" s="1873">
        <f>ROUND(SUM(O30:O32),1)</f>
        <v>1099</v>
      </c>
      <c r="P33" s="920"/>
      <c r="Q33" s="212">
        <f>ROUND(SUM(Q30:Q32),1)</f>
        <v>1072.4000000000001</v>
      </c>
      <c r="R33" s="920"/>
      <c r="S33" s="212">
        <f>ROUND(SUM(S30:S32),1)</f>
        <v>-47.6</v>
      </c>
      <c r="T33" s="74"/>
      <c r="U33" s="212">
        <f>ROUND(SUM(U30:U32),1)</f>
        <v>-26.6</v>
      </c>
      <c r="V33" s="74"/>
      <c r="W33" s="74"/>
      <c r="X33" s="74"/>
      <c r="Y33" s="74"/>
      <c r="Z33" s="74"/>
      <c r="AA33" s="74"/>
    </row>
    <row r="34" spans="1:48">
      <c r="A34" s="688"/>
      <c r="B34" s="922" t="s">
        <v>15</v>
      </c>
      <c r="C34" s="1875"/>
      <c r="D34" s="1529"/>
      <c r="E34" s="1875"/>
      <c r="F34" s="641"/>
      <c r="G34" s="686"/>
      <c r="H34" s="641"/>
      <c r="I34" s="686"/>
      <c r="J34" s="941"/>
      <c r="K34" s="686"/>
      <c r="L34" s="952"/>
      <c r="M34" s="1871"/>
      <c r="N34" s="1529"/>
      <c r="O34" s="1871"/>
      <c r="P34" s="641"/>
      <c r="Q34" s="686"/>
      <c r="R34" s="641"/>
      <c r="S34" s="686"/>
      <c r="T34" s="941"/>
      <c r="U34" s="686"/>
      <c r="V34" s="941"/>
      <c r="W34" s="941"/>
      <c r="X34" s="941"/>
      <c r="Y34" s="941"/>
      <c r="Z34" s="941"/>
      <c r="AA34" s="941"/>
    </row>
    <row r="35" spans="1:48">
      <c r="A35" s="29" t="s">
        <v>100</v>
      </c>
      <c r="B35" s="922"/>
      <c r="C35" s="893"/>
      <c r="D35" s="1529"/>
      <c r="E35" s="893"/>
      <c r="F35" s="641"/>
      <c r="G35" s="641"/>
      <c r="H35" s="641"/>
      <c r="I35" s="641"/>
      <c r="J35" s="941"/>
      <c r="K35" s="1529"/>
      <c r="L35" s="952"/>
      <c r="M35" s="1529"/>
      <c r="N35" s="1529"/>
      <c r="O35" s="1529"/>
      <c r="P35" s="641"/>
      <c r="Q35" s="641"/>
      <c r="R35" s="641"/>
      <c r="S35" s="641"/>
      <c r="T35" s="941"/>
      <c r="U35" s="1529"/>
      <c r="V35" s="941"/>
      <c r="W35" s="941"/>
      <c r="X35" s="941"/>
      <c r="Y35" s="941"/>
      <c r="Z35" s="941"/>
      <c r="AA35" s="941"/>
    </row>
    <row r="36" spans="1:48">
      <c r="A36" s="29" t="s">
        <v>101</v>
      </c>
      <c r="B36" s="922"/>
      <c r="C36" s="893"/>
      <c r="D36" s="1529"/>
      <c r="E36" s="893"/>
      <c r="F36" s="641"/>
      <c r="G36" s="641"/>
      <c r="H36" s="641"/>
      <c r="I36" s="641"/>
      <c r="J36" s="941"/>
      <c r="K36" s="1529"/>
      <c r="L36" s="952"/>
      <c r="M36" s="1529"/>
      <c r="N36" s="1529"/>
      <c r="O36" s="1529"/>
      <c r="P36" s="641"/>
      <c r="Q36" s="641"/>
      <c r="R36" s="641"/>
      <c r="S36" s="641"/>
      <c r="T36" s="941"/>
      <c r="U36" s="1529"/>
      <c r="V36" s="941"/>
      <c r="W36" s="941"/>
      <c r="X36" s="941"/>
      <c r="Y36" s="941"/>
      <c r="Z36" s="941"/>
      <c r="AA36" s="941"/>
    </row>
    <row r="37" spans="1:48">
      <c r="A37" s="170" t="s">
        <v>102</v>
      </c>
      <c r="B37" s="171" t="s">
        <v>15</v>
      </c>
      <c r="C37" s="112">
        <f>ROUND(SUM(C27)-SUM(C33),1)</f>
        <v>-633</v>
      </c>
      <c r="D37" s="82"/>
      <c r="E37" s="112">
        <f>ROUND(SUM(E27)-SUM(E33),1)</f>
        <v>-598</v>
      </c>
      <c r="F37" s="82"/>
      <c r="G37" s="74">
        <f>ROUND(SUM(G27)-SUM(G33),1)</f>
        <v>-411.3</v>
      </c>
      <c r="H37" s="82"/>
      <c r="I37" s="74">
        <f>ROUND(SUM(I27)-SUM(I33),1)</f>
        <v>221.7</v>
      </c>
      <c r="J37" s="74"/>
      <c r="K37" s="1530">
        <f>ROUND(SUM(K27)-SUM(K33),1)</f>
        <v>186.7</v>
      </c>
      <c r="L37" s="954"/>
      <c r="M37" s="1530">
        <f>ROUND(SUM(M27)-SUM(M33),1)</f>
        <v>-95</v>
      </c>
      <c r="N37" s="82"/>
      <c r="O37" s="1530">
        <f>ROUND(SUM(O27)-SUM(O33),1)</f>
        <v>-2</v>
      </c>
      <c r="P37" s="82"/>
      <c r="Q37" s="74">
        <f>ROUND(SUM(Q27)-SUM(Q33),1)</f>
        <v>23.1</v>
      </c>
      <c r="R37" s="82"/>
      <c r="S37" s="74">
        <f>ROUND(SUM(S27)-SUM(S33),1)</f>
        <v>118.1</v>
      </c>
      <c r="T37" s="1530"/>
      <c r="U37" s="1530">
        <f>ROUND(SUM(U27)-SUM(U33),1)</f>
        <v>25.1</v>
      </c>
      <c r="V37" s="389"/>
      <c r="W37" s="74"/>
      <c r="X37" s="389"/>
      <c r="Y37" s="74"/>
      <c r="Z37" s="389"/>
      <c r="AA37" s="74"/>
      <c r="AB37" s="620"/>
    </row>
    <row r="38" spans="1:48">
      <c r="B38" s="620"/>
      <c r="C38" s="1483"/>
      <c r="D38" s="930"/>
      <c r="E38" s="1483"/>
      <c r="F38" s="930"/>
      <c r="G38" s="668"/>
      <c r="H38" s="930"/>
      <c r="I38" s="668"/>
      <c r="J38" s="668"/>
      <c r="K38" s="668"/>
      <c r="L38" s="954"/>
      <c r="M38" s="668"/>
      <c r="N38" s="930"/>
      <c r="O38" s="668"/>
      <c r="P38" s="930"/>
      <c r="Q38" s="668"/>
      <c r="R38" s="930"/>
      <c r="S38" s="668"/>
      <c r="T38" s="668"/>
      <c r="U38" s="668"/>
      <c r="V38" s="668"/>
      <c r="W38" s="668"/>
      <c r="X38" s="668"/>
      <c r="Y38" s="668"/>
      <c r="Z38" s="668"/>
      <c r="AA38" s="668"/>
    </row>
    <row r="39" spans="1:48">
      <c r="A39" s="170" t="s">
        <v>103</v>
      </c>
      <c r="B39" s="932" t="s">
        <v>15</v>
      </c>
      <c r="C39" s="112">
        <v>-471</v>
      </c>
      <c r="D39" s="1650"/>
      <c r="E39" s="112">
        <v>-471</v>
      </c>
      <c r="F39" s="930"/>
      <c r="G39" s="112">
        <f>'Exhibit I State'!E14</f>
        <v>-472.2</v>
      </c>
      <c r="H39" s="930"/>
      <c r="I39" s="79">
        <f>ROUND(SUM(G39-C39),1)</f>
        <v>-1.2</v>
      </c>
      <c r="J39" s="79"/>
      <c r="K39" s="79">
        <f>G39-E39</f>
        <v>-1.1999999999999886</v>
      </c>
      <c r="L39" s="954"/>
      <c r="M39" s="112">
        <v>-564</v>
      </c>
      <c r="N39" s="1650"/>
      <c r="O39" s="112">
        <v>-564</v>
      </c>
      <c r="P39" s="930"/>
      <c r="Q39" s="112">
        <f>'Exhibit I Federal'!E14</f>
        <v>-562.70000000000005</v>
      </c>
      <c r="R39" s="930"/>
      <c r="S39" s="79">
        <f>ROUND(SUM(Q39-M39),1)</f>
        <v>1.3</v>
      </c>
      <c r="T39" s="668"/>
      <c r="U39" s="79">
        <f>Q39-O39</f>
        <v>1.2999999999999545</v>
      </c>
      <c r="V39" s="668"/>
      <c r="W39" s="74"/>
      <c r="X39" s="668"/>
      <c r="Y39" s="74"/>
      <c r="Z39" s="668"/>
      <c r="AA39" s="79"/>
      <c r="AB39" s="620"/>
      <c r="AC39" s="620"/>
      <c r="AD39" s="620"/>
      <c r="AE39" s="620"/>
      <c r="AF39" s="620"/>
      <c r="AG39" s="620"/>
      <c r="AH39" s="620"/>
      <c r="AI39" s="620"/>
      <c r="AJ39" s="620"/>
      <c r="AK39" s="620"/>
      <c r="AL39" s="620"/>
      <c r="AM39" s="620"/>
      <c r="AN39" s="620"/>
      <c r="AO39" s="620"/>
      <c r="AP39" s="620"/>
      <c r="AQ39" s="620"/>
      <c r="AR39" s="620"/>
      <c r="AS39" s="620"/>
      <c r="AT39" s="620"/>
      <c r="AU39" s="620"/>
      <c r="AV39" s="933"/>
    </row>
    <row r="40" spans="1:48" ht="16" thickBot="1">
      <c r="A40" s="1378" t="str">
        <f>+'Exh D-Governmental  '!A50</f>
        <v>Fund Balances (Deficits) at October 31, 2020</v>
      </c>
      <c r="B40" s="177" t="s">
        <v>15</v>
      </c>
      <c r="C40" s="95">
        <f>ROUND(SUM(C37:C39),1)</f>
        <v>-1104</v>
      </c>
      <c r="D40" s="178"/>
      <c r="E40" s="95">
        <f>ROUND(SUM(E37:E39),1)</f>
        <v>-1069</v>
      </c>
      <c r="F40" s="178"/>
      <c r="G40" s="95">
        <f>ROUND(SUM(G37:G39),1)</f>
        <v>-883.5</v>
      </c>
      <c r="H40" s="178"/>
      <c r="I40" s="95">
        <f>ROUND(SUM(I37:I39),1)</f>
        <v>220.5</v>
      </c>
      <c r="J40" s="216"/>
      <c r="K40" s="95">
        <f>ROUND(SUM(K37:K39),1)</f>
        <v>185.5</v>
      </c>
      <c r="L40" s="955"/>
      <c r="M40" s="95">
        <f>ROUND(SUM(M37:M39),1)</f>
        <v>-659</v>
      </c>
      <c r="N40" s="178"/>
      <c r="O40" s="95">
        <f>ROUND(SUM(O37:O39),1)</f>
        <v>-566</v>
      </c>
      <c r="P40" s="178"/>
      <c r="Q40" s="95">
        <f>ROUND(SUM(Q37:Q39),1)</f>
        <v>-539.6</v>
      </c>
      <c r="R40" s="178"/>
      <c r="S40" s="95">
        <f>ROUND(SUM(S37:S39),1)</f>
        <v>119.4</v>
      </c>
      <c r="T40" s="178"/>
      <c r="U40" s="95">
        <f>ROUND(SUM(U37:U39),1)</f>
        <v>26.4</v>
      </c>
      <c r="V40" s="973"/>
      <c r="W40" s="216"/>
      <c r="X40" s="973"/>
      <c r="Y40" s="216"/>
      <c r="Z40" s="973"/>
      <c r="AA40" s="216"/>
      <c r="AB40" s="620"/>
      <c r="AC40" s="620"/>
      <c r="AD40" s="620"/>
      <c r="AE40" s="620"/>
      <c r="AF40" s="620"/>
      <c r="AG40" s="620"/>
      <c r="AH40" s="620"/>
      <c r="AI40" s="620"/>
      <c r="AJ40" s="620"/>
      <c r="AK40" s="620"/>
      <c r="AL40" s="620"/>
      <c r="AM40" s="620"/>
      <c r="AN40" s="620"/>
      <c r="AO40" s="620"/>
      <c r="AP40" s="620"/>
      <c r="AQ40" s="620"/>
      <c r="AR40" s="620"/>
      <c r="AS40" s="620"/>
      <c r="AT40" s="620"/>
      <c r="AU40" s="620"/>
      <c r="AV40" s="933"/>
    </row>
    <row r="41" spans="1:48" ht="16" thickTop="1">
      <c r="B41" s="620"/>
      <c r="L41" s="620"/>
      <c r="N41" s="933"/>
      <c r="P41" s="933"/>
      <c r="Q41" s="956"/>
      <c r="R41" s="933"/>
      <c r="S41" s="933"/>
      <c r="U41" s="933"/>
      <c r="W41" s="620"/>
      <c r="Y41" s="931"/>
    </row>
    <row r="42" spans="1:48">
      <c r="A42" s="934" t="str">
        <f>'Exh D-Governmental  '!A52</f>
        <v>(*)    Source: 2020-21 Enacted Financial Plan dated April 25, 2020.</v>
      </c>
      <c r="B42" s="620"/>
      <c r="S42" s="1411"/>
    </row>
    <row r="43" spans="1:48" s="991" customFormat="1">
      <c r="A43" s="934" t="str">
        <f>'Exh D-Governmental  '!A53</f>
        <v>(**)   Source: 2020-21 Mid Year Update dated October 30, 2020.</v>
      </c>
      <c r="B43" s="1940"/>
      <c r="C43" s="423"/>
      <c r="D43" s="949"/>
      <c r="E43" s="423"/>
      <c r="F43" s="949"/>
      <c r="G43" s="949"/>
      <c r="H43" s="949"/>
      <c r="I43" s="949"/>
      <c r="J43" s="949"/>
      <c r="K43" s="1940"/>
      <c r="L43" s="423"/>
      <c r="M43" s="1940"/>
      <c r="N43" s="1940"/>
      <c r="O43" s="1940"/>
      <c r="P43" s="1940"/>
      <c r="Q43" s="1940"/>
      <c r="R43" s="1940"/>
      <c r="S43" s="1940"/>
      <c r="T43" s="1940"/>
      <c r="U43" s="1940"/>
      <c r="V43" s="1940"/>
      <c r="W43" s="1940"/>
      <c r="X43" s="1940"/>
      <c r="Y43" s="1940"/>
      <c r="Z43" s="1940"/>
      <c r="AA43" s="1940"/>
      <c r="AB43" s="1940"/>
      <c r="AC43" s="1940"/>
      <c r="AD43" s="1940"/>
      <c r="AE43" s="1940"/>
      <c r="AF43" s="1940"/>
      <c r="AG43" s="1940"/>
      <c r="AH43" s="1940"/>
      <c r="AI43" s="1940"/>
      <c r="AJ43" s="1940"/>
      <c r="AK43" s="949"/>
    </row>
    <row r="44" spans="1:48">
      <c r="A44" s="1497"/>
      <c r="B44" s="620"/>
      <c r="Y44" s="945"/>
      <c r="Z44" s="922"/>
      <c r="AA44" s="945"/>
      <c r="AB44" s="655"/>
      <c r="AC44" s="957"/>
    </row>
    <row r="45" spans="1:48">
      <c r="A45" s="1497"/>
      <c r="B45" s="620"/>
    </row>
    <row r="46" spans="1:48">
      <c r="A46" s="1049"/>
      <c r="B46" s="620"/>
    </row>
    <row r="47" spans="1:48">
      <c r="A47" s="180"/>
      <c r="B47" s="620"/>
    </row>
    <row r="48" spans="1:48">
      <c r="B48" s="620"/>
    </row>
    <row r="49" spans="2:7">
      <c r="B49" s="620"/>
    </row>
    <row r="52" spans="2:7">
      <c r="G52" s="956"/>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3"/>
  <sheetViews>
    <sheetView showGridLines="0" zoomScale="80" workbookViewId="0"/>
  </sheetViews>
  <sheetFormatPr defaultColWidth="9.69140625" defaultRowHeight="12.5"/>
  <cols>
    <col min="1" max="1" width="32.07421875" style="2807" customWidth="1"/>
    <col min="2" max="2" width="10.69140625" style="2807" customWidth="1"/>
    <col min="3" max="3" width="3.4609375" style="2807" customWidth="1"/>
    <col min="4" max="4" width="12.07421875" style="2807" customWidth="1"/>
    <col min="5" max="5" width="1.69140625" style="2807" customWidth="1"/>
    <col min="6" max="6" width="17" style="2807" bestFit="1" customWidth="1"/>
    <col min="7" max="7" width="1.69140625" style="2807" customWidth="1"/>
    <col min="8" max="8" width="12.07421875" style="2807" customWidth="1"/>
    <col min="9" max="9" width="1.69140625" style="2807" customWidth="1"/>
    <col min="10" max="10" width="12.07421875" style="2807" customWidth="1"/>
    <col min="11" max="11" width="1.69140625" style="2807" customWidth="1"/>
    <col min="12" max="12" width="12.07421875" style="2807" customWidth="1"/>
    <col min="13" max="13" width="1.69140625" style="2807" customWidth="1"/>
    <col min="14" max="14" width="13" style="2807" customWidth="1"/>
    <col min="15" max="15" width="1.69140625" style="2807" customWidth="1"/>
    <col min="16" max="16" width="12.07421875" style="2807" customWidth="1"/>
    <col min="17" max="17" width="1.69140625" style="2807" customWidth="1"/>
    <col min="18" max="18" width="12.07421875" style="2807" customWidth="1"/>
    <col min="19" max="19" width="1.69140625" style="2807" customWidth="1"/>
    <col min="20" max="20" width="1" style="2807" customWidth="1"/>
    <col min="21" max="21" width="1.69140625" style="2807" customWidth="1"/>
    <col min="22" max="22" width="15.53515625" style="2807" customWidth="1"/>
    <col min="23" max="23" width="1.69140625" style="2807" customWidth="1"/>
    <col min="24" max="24" width="17" style="2807" bestFit="1" customWidth="1"/>
    <col min="25" max="25" width="1.69140625" style="2807" customWidth="1"/>
    <col min="26" max="26" width="1" style="2807" customWidth="1"/>
    <col min="27" max="27" width="1.69140625" style="2807" customWidth="1"/>
    <col min="28" max="28" width="12.07421875" style="2833" customWidth="1"/>
    <col min="29" max="29" width="1.69140625" style="2833" customWidth="1"/>
    <col min="30" max="30" width="16.07421875" style="2833" customWidth="1"/>
    <col min="31" max="31" width="1.53515625" style="2833" customWidth="1"/>
    <col min="32" max="32" width="0.4609375" style="2833" customWidth="1"/>
    <col min="33" max="33" width="1.53515625" style="2833" customWidth="1"/>
    <col min="34" max="34" width="14.53515625" style="2833" bestFit="1" customWidth="1"/>
    <col min="35" max="35" width="1.69140625" style="2807" customWidth="1"/>
    <col min="36" max="36" width="13.07421875" style="2807" customWidth="1"/>
    <col min="37" max="37" width="2.07421875" style="2807" customWidth="1"/>
    <col min="38" max="38" width="1.69140625" style="2807" customWidth="1"/>
    <col min="39" max="16384" width="9.69140625" style="2807"/>
  </cols>
  <sheetData>
    <row r="1" spans="1:38" s="2799" customFormat="1" ht="15.5">
      <c r="A1" s="2233" t="s">
        <v>963</v>
      </c>
      <c r="AB1" s="3116"/>
      <c r="AC1" s="3116"/>
      <c r="AD1" s="3116"/>
      <c r="AE1" s="3116"/>
      <c r="AF1" s="3116"/>
      <c r="AG1" s="3116"/>
      <c r="AH1" s="3116"/>
    </row>
    <row r="2" spans="1:38" s="2802" customFormat="1">
      <c r="A2" s="2800"/>
      <c r="B2" s="2801"/>
      <c r="C2" s="2801"/>
      <c r="D2" s="2799"/>
      <c r="E2" s="2801"/>
      <c r="F2" s="2801"/>
      <c r="G2" s="2801"/>
      <c r="H2" s="2801"/>
      <c r="I2" s="2801"/>
      <c r="J2" s="2801"/>
      <c r="K2" s="2801"/>
      <c r="L2" s="2801"/>
      <c r="M2" s="2801"/>
      <c r="N2" s="2801"/>
      <c r="O2" s="2801"/>
      <c r="P2" s="2801"/>
      <c r="Q2" s="2801"/>
      <c r="R2" s="2801"/>
      <c r="S2" s="2801"/>
      <c r="T2" s="2801"/>
      <c r="U2" s="2801"/>
      <c r="V2" s="2801"/>
      <c r="W2" s="2801"/>
      <c r="X2" s="2801"/>
      <c r="Y2" s="2801"/>
      <c r="Z2" s="2801"/>
      <c r="AA2" s="2801"/>
      <c r="AB2" s="3117"/>
      <c r="AC2" s="3117"/>
      <c r="AD2" s="3117"/>
      <c r="AE2" s="3117"/>
      <c r="AF2" s="3117"/>
      <c r="AG2" s="3117"/>
      <c r="AH2" s="3117"/>
    </row>
    <row r="3" spans="1:38" ht="18">
      <c r="A3" s="2803" t="s">
        <v>0</v>
      </c>
      <c r="B3" s="2804"/>
      <c r="C3" s="2804"/>
      <c r="D3" s="2799"/>
      <c r="E3" s="2804"/>
      <c r="F3" s="2804"/>
      <c r="G3" s="2804"/>
      <c r="H3" s="2804"/>
      <c r="I3" s="2804"/>
      <c r="J3" s="2804"/>
      <c r="K3" s="2804"/>
      <c r="L3" s="2805"/>
      <c r="M3" s="2805"/>
      <c r="N3" s="2805"/>
      <c r="O3" s="2805"/>
      <c r="P3" s="2804"/>
      <c r="Q3" s="2804"/>
      <c r="R3" s="2804"/>
      <c r="S3" s="2805"/>
      <c r="T3" s="2804"/>
      <c r="U3" s="2805"/>
      <c r="V3" s="2805"/>
      <c r="W3" s="2805"/>
      <c r="X3" s="2805"/>
      <c r="Y3" s="2805"/>
      <c r="Z3" s="2805"/>
      <c r="AA3" s="2805"/>
      <c r="AB3" s="3118"/>
      <c r="AC3" s="3118"/>
      <c r="AD3" s="3118"/>
      <c r="AE3" s="3118"/>
      <c r="AF3" s="3369"/>
      <c r="AG3" s="3369"/>
      <c r="AH3" s="2832"/>
      <c r="AI3" s="2806"/>
    </row>
    <row r="4" spans="1:38" ht="18">
      <c r="A4" s="2808" t="s">
        <v>1</v>
      </c>
      <c r="B4" s="2804"/>
      <c r="C4" s="2804"/>
      <c r="D4" s="2799"/>
      <c r="E4" s="2804"/>
      <c r="F4" s="2804"/>
      <c r="G4" s="2804"/>
      <c r="H4" s="2804"/>
      <c r="I4" s="2804"/>
      <c r="J4" s="2804"/>
      <c r="K4" s="2804"/>
      <c r="L4" s="2805"/>
      <c r="M4" s="2805"/>
      <c r="N4" s="2805"/>
      <c r="O4" s="2805"/>
      <c r="P4" s="2804"/>
      <c r="Q4" s="2804"/>
      <c r="R4" s="2804"/>
      <c r="S4" s="2805"/>
      <c r="T4" s="2804"/>
      <c r="U4" s="2805"/>
      <c r="V4" s="2805"/>
      <c r="W4" s="2805"/>
      <c r="X4" s="2805"/>
      <c r="Y4" s="2805"/>
      <c r="Z4" s="2805"/>
      <c r="AA4" s="2805"/>
      <c r="AB4" s="3118"/>
      <c r="AC4" s="3118"/>
      <c r="AD4" s="3118"/>
      <c r="AE4" s="3118"/>
      <c r="AF4" s="3369"/>
      <c r="AG4" s="3369"/>
      <c r="AH4" s="2832"/>
      <c r="AI4" s="2806"/>
    </row>
    <row r="5" spans="1:38" ht="18">
      <c r="A5" s="2803" t="s">
        <v>1523</v>
      </c>
      <c r="B5" s="2804"/>
      <c r="C5" s="2804"/>
      <c r="D5" s="2799"/>
      <c r="E5" s="2804"/>
      <c r="F5" s="2804"/>
      <c r="G5" s="2804"/>
      <c r="H5" s="2805"/>
      <c r="I5" s="2805"/>
      <c r="J5" s="2805"/>
      <c r="K5" s="2804"/>
      <c r="L5" s="2805"/>
      <c r="M5" s="2805"/>
      <c r="N5" s="2805"/>
      <c r="O5" s="2805"/>
      <c r="P5" s="2804"/>
      <c r="Q5" s="2804"/>
      <c r="R5" s="2804"/>
      <c r="S5" s="2805"/>
      <c r="T5" s="2804"/>
      <c r="U5" s="2805"/>
      <c r="V5" s="2805"/>
      <c r="W5" s="2805"/>
      <c r="X5" s="2805"/>
      <c r="Y5" s="2805"/>
      <c r="Z5" s="2805"/>
      <c r="AA5" s="2805"/>
      <c r="AB5" s="3118"/>
      <c r="AC5" s="3118"/>
      <c r="AD5" s="3118"/>
      <c r="AE5" s="3118"/>
      <c r="AF5" s="3369"/>
      <c r="AG5" s="3369"/>
      <c r="AH5" s="2832"/>
      <c r="AI5" s="2806"/>
    </row>
    <row r="6" spans="1:38" ht="18">
      <c r="A6" s="2803" t="s">
        <v>1365</v>
      </c>
      <c r="B6" s="2804"/>
      <c r="C6" s="2804"/>
      <c r="D6" s="2799"/>
      <c r="E6" s="2804"/>
      <c r="F6" s="2804"/>
      <c r="G6" s="2804"/>
      <c r="H6" s="2804"/>
      <c r="I6" s="2804"/>
      <c r="J6" s="2804"/>
      <c r="K6" s="2804"/>
      <c r="L6" s="2805"/>
      <c r="M6" s="2805"/>
      <c r="N6" s="2805"/>
      <c r="O6" s="2805"/>
      <c r="P6" s="2804"/>
      <c r="Q6" s="2804"/>
      <c r="R6" s="2804"/>
      <c r="S6" s="2805"/>
      <c r="T6" s="2804"/>
      <c r="U6" s="2805"/>
      <c r="V6" s="2805"/>
      <c r="W6" s="2805"/>
      <c r="X6" s="2805"/>
      <c r="Y6" s="2805"/>
      <c r="Z6" s="2805"/>
      <c r="AA6" s="2805"/>
      <c r="AB6" s="3118"/>
      <c r="AC6" s="3118"/>
      <c r="AD6" s="3118"/>
      <c r="AE6" s="3118"/>
      <c r="AF6" s="3369"/>
      <c r="AG6" s="3369"/>
      <c r="AH6" s="2832"/>
      <c r="AI6" s="2806"/>
    </row>
    <row r="7" spans="1:38" ht="18">
      <c r="A7" s="2804"/>
      <c r="B7" s="2804"/>
      <c r="C7" s="2804"/>
      <c r="D7" s="2799"/>
      <c r="E7" s="2804"/>
      <c r="F7" s="2804"/>
      <c r="G7" s="2804"/>
      <c r="H7" s="2804"/>
      <c r="I7" s="2804"/>
      <c r="J7" s="2804"/>
      <c r="K7" s="2804"/>
      <c r="L7" s="2805"/>
      <c r="M7" s="2805"/>
      <c r="N7" s="2805"/>
      <c r="O7" s="2805"/>
      <c r="P7" s="2805"/>
      <c r="Q7" s="2805"/>
      <c r="R7" s="2805"/>
      <c r="S7" s="2805"/>
      <c r="T7" s="2805"/>
      <c r="U7" s="2805"/>
      <c r="V7" s="2805"/>
      <c r="W7" s="2805"/>
      <c r="X7" s="2805"/>
      <c r="Y7" s="2805"/>
      <c r="Z7" s="2805"/>
      <c r="AA7" s="2805"/>
      <c r="AB7" s="3119"/>
      <c r="AC7" s="3119"/>
      <c r="AD7" s="3119"/>
      <c r="AE7" s="3119"/>
      <c r="AF7" s="3369"/>
      <c r="AG7" s="3369"/>
      <c r="AH7" s="2832"/>
      <c r="AI7" s="2806"/>
      <c r="AJ7" s="2809" t="s">
        <v>890</v>
      </c>
    </row>
    <row r="8" spans="1:38" ht="15.5">
      <c r="A8" s="2233"/>
      <c r="B8" s="2233"/>
      <c r="C8" s="2233"/>
      <c r="D8" s="2799"/>
      <c r="E8" s="2233"/>
      <c r="F8" s="2233"/>
      <c r="G8" s="2233"/>
      <c r="H8" s="2233"/>
      <c r="I8" s="2233"/>
      <c r="J8" s="2233"/>
      <c r="K8" s="2233"/>
      <c r="L8" s="2315"/>
      <c r="M8" s="2315"/>
      <c r="N8" s="2315"/>
      <c r="O8" s="2315"/>
      <c r="P8" s="2315"/>
      <c r="Q8" s="2315"/>
      <c r="R8" s="2315"/>
      <c r="S8" s="2315"/>
      <c r="T8" s="2315"/>
      <c r="U8" s="2315"/>
      <c r="V8" s="2315"/>
      <c r="W8" s="2315"/>
      <c r="X8" s="2315"/>
      <c r="Y8" s="2315"/>
      <c r="Z8" s="2315"/>
      <c r="AA8" s="2315"/>
      <c r="AB8" s="3075"/>
      <c r="AC8" s="3075"/>
      <c r="AD8" s="3075"/>
      <c r="AE8" s="3075"/>
      <c r="AF8" s="2334"/>
      <c r="AG8" s="2334"/>
      <c r="AH8" s="2832"/>
      <c r="AI8" s="2806"/>
    </row>
    <row r="9" spans="1:38" ht="15.5">
      <c r="A9" s="2233"/>
      <c r="B9" s="2233"/>
      <c r="C9" s="2233"/>
      <c r="D9" s="2799"/>
      <c r="E9" s="2315"/>
      <c r="F9" s="2315"/>
      <c r="G9" s="2315"/>
      <c r="H9" s="2315"/>
      <c r="I9" s="2315"/>
      <c r="J9" s="2315"/>
      <c r="K9" s="2315"/>
      <c r="L9" s="2315"/>
      <c r="M9" s="2315"/>
      <c r="N9" s="2315"/>
      <c r="O9" s="2315"/>
      <c r="P9" s="2315"/>
      <c r="Q9" s="2315"/>
      <c r="R9" s="2315"/>
      <c r="S9" s="2315"/>
      <c r="T9" s="2315"/>
      <c r="U9" s="2315"/>
      <c r="V9" s="2810"/>
      <c r="W9" s="2810"/>
      <c r="X9" s="2810"/>
      <c r="Y9" s="2810"/>
      <c r="Z9" s="2810"/>
      <c r="AA9" s="2810"/>
      <c r="AB9" s="3120"/>
      <c r="AC9" s="3120"/>
      <c r="AD9" s="3120"/>
      <c r="AE9" s="3120"/>
      <c r="AF9" s="3075"/>
      <c r="AG9" s="3075"/>
      <c r="AH9" s="3370"/>
      <c r="AI9" s="2811"/>
    </row>
    <row r="10" spans="1:38" ht="4.4000000000000004" customHeight="1">
      <c r="A10" s="2233"/>
      <c r="B10" s="2233"/>
      <c r="C10" s="2233"/>
      <c r="D10" s="2233"/>
      <c r="E10" s="2233"/>
      <c r="F10" s="2233"/>
      <c r="G10" s="2233"/>
      <c r="H10" s="2233"/>
      <c r="I10" s="2233"/>
      <c r="J10" s="2233"/>
      <c r="K10" s="2233"/>
      <c r="L10" s="2233"/>
      <c r="M10" s="2233"/>
      <c r="N10" s="2233"/>
      <c r="O10" s="2233"/>
      <c r="P10" s="2233"/>
      <c r="Q10" s="2233"/>
      <c r="R10" s="2233"/>
      <c r="S10" s="2233"/>
      <c r="T10" s="2256"/>
      <c r="U10" s="2256"/>
      <c r="V10" s="2233"/>
      <c r="W10" s="2233"/>
      <c r="X10" s="2233"/>
      <c r="Y10" s="2233"/>
      <c r="Z10" s="2233"/>
      <c r="AA10" s="2233"/>
      <c r="AB10" s="2334"/>
      <c r="AC10" s="2334"/>
      <c r="AD10" s="2334"/>
      <c r="AE10" s="2334"/>
      <c r="AF10" s="2334"/>
      <c r="AG10" s="2334"/>
      <c r="AH10" s="2832"/>
      <c r="AI10" s="2806"/>
    </row>
    <row r="11" spans="1:38" ht="15" customHeight="1">
      <c r="A11" s="2233"/>
      <c r="B11" s="2233"/>
      <c r="C11" s="2233"/>
      <c r="D11" s="2812" t="s">
        <v>3</v>
      </c>
      <c r="E11" s="2812"/>
      <c r="F11" s="2812"/>
      <c r="G11" s="2256"/>
      <c r="H11" s="2812" t="s">
        <v>56</v>
      </c>
      <c r="I11" s="2812"/>
      <c r="J11" s="2812"/>
      <c r="K11" s="2256"/>
      <c r="L11" s="2812" t="s">
        <v>5</v>
      </c>
      <c r="M11" s="2812"/>
      <c r="N11" s="2812"/>
      <c r="O11" s="2256"/>
      <c r="P11" s="2812" t="s">
        <v>120</v>
      </c>
      <c r="Q11" s="2812"/>
      <c r="R11" s="2812"/>
      <c r="S11" s="2233"/>
      <c r="T11" s="2256"/>
      <c r="U11" s="2256"/>
      <c r="V11" s="2813" t="s">
        <v>891</v>
      </c>
      <c r="W11" s="2812"/>
      <c r="X11" s="2812"/>
      <c r="Y11" s="2812"/>
      <c r="Z11" s="2814"/>
      <c r="AA11" s="2814"/>
      <c r="AB11" s="3489"/>
      <c r="AC11" s="3489"/>
      <c r="AD11" s="3489"/>
      <c r="AE11" s="3371"/>
      <c r="AF11" s="3372"/>
      <c r="AG11" s="3373"/>
      <c r="AH11" s="3374" t="s">
        <v>892</v>
      </c>
      <c r="AI11" s="2812"/>
      <c r="AJ11" s="2812"/>
    </row>
    <row r="12" spans="1:38" ht="15.5">
      <c r="A12" s="2233"/>
      <c r="B12" s="2233"/>
      <c r="C12" s="2233"/>
      <c r="D12" s="1502" t="s">
        <v>7</v>
      </c>
      <c r="E12" s="1502"/>
      <c r="F12" s="2815" t="str">
        <f>'Exhibit A'!F11</f>
        <v>7 MOS. ENDED</v>
      </c>
      <c r="G12" s="2331"/>
      <c r="H12" s="1502" t="s">
        <v>7</v>
      </c>
      <c r="I12" s="1503"/>
      <c r="J12" s="1502" t="str">
        <f>F12</f>
        <v>7 MOS. ENDED</v>
      </c>
      <c r="K12" s="2331"/>
      <c r="L12" s="1502" t="s">
        <v>7</v>
      </c>
      <c r="M12" s="1503"/>
      <c r="N12" s="1502" t="str">
        <f>F12</f>
        <v>7 MOS. ENDED</v>
      </c>
      <c r="O12" s="2331"/>
      <c r="P12" s="1502" t="s">
        <v>7</v>
      </c>
      <c r="Q12" s="1503"/>
      <c r="R12" s="1502" t="str">
        <f>F12</f>
        <v>7 MOS. ENDED</v>
      </c>
      <c r="S12" s="2315"/>
      <c r="T12" s="2331"/>
      <c r="U12" s="2331"/>
      <c r="V12" s="1502" t="s">
        <v>7</v>
      </c>
      <c r="W12" s="1502"/>
      <c r="X12" s="1502" t="str">
        <f>F12</f>
        <v>7 MOS. ENDED</v>
      </c>
      <c r="Y12" s="1502"/>
      <c r="Z12" s="1504"/>
      <c r="AA12" s="1504"/>
      <c r="AB12" s="3490" t="s">
        <v>7</v>
      </c>
      <c r="AC12" s="3490"/>
      <c r="AD12" s="3490" t="str">
        <f>F12</f>
        <v>7 MOS. ENDED</v>
      </c>
      <c r="AE12" s="3375"/>
      <c r="AF12" s="3375"/>
      <c r="AG12" s="3376"/>
      <c r="AH12" s="3377" t="s">
        <v>8</v>
      </c>
      <c r="AI12" s="1503"/>
      <c r="AJ12" s="2815" t="s">
        <v>9</v>
      </c>
      <c r="AK12" s="2816"/>
      <c r="AL12" s="2806"/>
    </row>
    <row r="13" spans="1:38" ht="15.5">
      <c r="A13" s="2233"/>
      <c r="B13" s="2233"/>
      <c r="C13" s="2233"/>
      <c r="D13" s="1505" t="str">
        <f>'Exhibit A'!D12</f>
        <v>OCT. 2020</v>
      </c>
      <c r="E13" s="1508"/>
      <c r="F13" s="1505" t="str">
        <f>'Exhibit A'!F12</f>
        <v>OCT. 31, 2020</v>
      </c>
      <c r="G13" s="2315"/>
      <c r="H13" s="1505" t="str">
        <f>D13</f>
        <v>OCT. 2020</v>
      </c>
      <c r="I13" s="1508"/>
      <c r="J13" s="1505" t="str">
        <f>F13</f>
        <v>OCT. 31, 2020</v>
      </c>
      <c r="K13" s="2315"/>
      <c r="L13" s="1505" t="str">
        <f>D13</f>
        <v>OCT. 2020</v>
      </c>
      <c r="M13" s="1508"/>
      <c r="N13" s="1505" t="str">
        <f>F13</f>
        <v>OCT. 31, 2020</v>
      </c>
      <c r="O13" s="2315"/>
      <c r="P13" s="1505" t="str">
        <f>D13</f>
        <v>OCT. 2020</v>
      </c>
      <c r="Q13" s="1508"/>
      <c r="R13" s="1505" t="str">
        <f>F13</f>
        <v>OCT. 31, 2020</v>
      </c>
      <c r="S13" s="2315"/>
      <c r="T13" s="2331"/>
      <c r="U13" s="2331"/>
      <c r="V13" s="1506" t="str">
        <f>D13</f>
        <v>OCT. 2020</v>
      </c>
      <c r="W13" s="1507"/>
      <c r="X13" s="1506" t="str">
        <f>F13</f>
        <v>OCT. 31, 2020</v>
      </c>
      <c r="Y13" s="1507"/>
      <c r="Z13" s="2817"/>
      <c r="AA13" s="2817"/>
      <c r="AB13" s="3491" t="str">
        <f>'Exhibit A'!AB12</f>
        <v>OCT. 2019</v>
      </c>
      <c r="AC13" s="3121"/>
      <c r="AD13" s="3491" t="str">
        <f>'Exhibit A'!AD12</f>
        <v>OCT. 31, 2019</v>
      </c>
      <c r="AE13" s="3121"/>
      <c r="AF13" s="3378"/>
      <c r="AG13" s="3379"/>
      <c r="AH13" s="3380" t="s">
        <v>12</v>
      </c>
      <c r="AI13" s="1508"/>
      <c r="AJ13" s="1505" t="s">
        <v>13</v>
      </c>
      <c r="AK13" s="2816"/>
      <c r="AL13" s="2818"/>
    </row>
    <row r="14" spans="1:38" ht="15.5">
      <c r="A14" s="2233"/>
      <c r="B14" s="2233"/>
      <c r="C14" s="2233"/>
      <c r="D14" s="2256"/>
      <c r="E14" s="2256"/>
      <c r="F14" s="2256"/>
      <c r="G14" s="2233"/>
      <c r="H14" s="2256"/>
      <c r="I14" s="2256"/>
      <c r="J14" s="2256"/>
      <c r="K14" s="2233"/>
      <c r="L14" s="2256"/>
      <c r="M14" s="2256"/>
      <c r="N14" s="2256"/>
      <c r="O14" s="2233"/>
      <c r="P14" s="2256"/>
      <c r="Q14" s="2256"/>
      <c r="R14" s="2256"/>
      <c r="S14" s="2233"/>
      <c r="T14" s="2819"/>
      <c r="U14" s="2819"/>
      <c r="V14" s="2820"/>
      <c r="W14" s="2256"/>
      <c r="X14" s="2820"/>
      <c r="Y14" s="2256"/>
      <c r="Z14" s="2821"/>
      <c r="AA14" s="2256"/>
      <c r="AB14" s="3492"/>
      <c r="AC14" s="3122"/>
      <c r="AD14" s="3492"/>
      <c r="AE14" s="3122"/>
      <c r="AF14" s="3539"/>
      <c r="AG14" s="3122"/>
      <c r="AH14" s="3122"/>
      <c r="AI14" s="2256"/>
      <c r="AJ14" s="2822"/>
      <c r="AK14" s="2806"/>
      <c r="AL14" s="2806"/>
    </row>
    <row r="15" spans="1:38" ht="18" customHeight="1">
      <c r="A15" s="2823" t="s">
        <v>1168</v>
      </c>
      <c r="B15" s="2824"/>
      <c r="C15" s="2824"/>
      <c r="D15" s="2233"/>
      <c r="E15" s="2233"/>
      <c r="F15" s="2233"/>
      <c r="G15" s="2233"/>
      <c r="H15" s="2233"/>
      <c r="I15" s="2233"/>
      <c r="J15" s="2233"/>
      <c r="K15" s="2233"/>
      <c r="L15" s="2233"/>
      <c r="M15" s="2233"/>
      <c r="N15" s="2233"/>
      <c r="O15" s="2233"/>
      <c r="P15" s="2233"/>
      <c r="Q15" s="2233"/>
      <c r="R15" s="2233"/>
      <c r="S15" s="2233"/>
      <c r="T15" s="2819"/>
      <c r="U15" s="2819"/>
      <c r="V15" s="2233"/>
      <c r="W15" s="2233"/>
      <c r="X15" s="2233"/>
      <c r="Y15" s="2233"/>
      <c r="Z15" s="2821"/>
      <c r="AA15" s="2256"/>
      <c r="AB15" s="2334"/>
      <c r="AC15" s="2334"/>
      <c r="AD15" s="2334"/>
      <c r="AE15" s="2334"/>
      <c r="AF15" s="3539"/>
      <c r="AG15" s="2334"/>
      <c r="AH15" s="2334"/>
      <c r="AI15" s="2233"/>
      <c r="AJ15" s="2822"/>
      <c r="AK15" s="2806"/>
      <c r="AL15" s="2806"/>
    </row>
    <row r="16" spans="1:38" s="2833" customFormat="1" ht="18" customHeight="1">
      <c r="A16" s="2825" t="s">
        <v>893</v>
      </c>
      <c r="B16" s="2825"/>
      <c r="C16" s="2826"/>
      <c r="D16" s="1787">
        <f>'Exhibit F'!P17</f>
        <v>2919.5000000000009</v>
      </c>
      <c r="E16" s="2827"/>
      <c r="F16" s="1787">
        <f>'Exhibit F'!AC17</f>
        <v>21555.5</v>
      </c>
      <c r="G16" s="2827"/>
      <c r="H16" s="1798">
        <v>0</v>
      </c>
      <c r="I16" s="2827"/>
      <c r="J16" s="1798">
        <v>0</v>
      </c>
      <c r="K16" s="2827"/>
      <c r="L16" s="1798">
        <v>0</v>
      </c>
      <c r="M16" s="2827"/>
      <c r="N16" s="1798">
        <v>0</v>
      </c>
      <c r="O16" s="2827"/>
      <c r="P16" s="1798">
        <v>0</v>
      </c>
      <c r="Q16" s="2827"/>
      <c r="R16" s="1798">
        <v>0</v>
      </c>
      <c r="S16" s="1787"/>
      <c r="T16" s="2828"/>
      <c r="U16" s="2829"/>
      <c r="V16" s="1829">
        <f t="shared" ref="V16:V20" si="0">SUM(D16)+SUM(H16)+SUM(L16)+SUM(P16)</f>
        <v>2919.5000000000009</v>
      </c>
      <c r="W16" s="2827"/>
      <c r="X16" s="1829">
        <f>SUM(F16)+SUM(J16)+SUM(N16)+SUM(R16)</f>
        <v>21555.5</v>
      </c>
      <c r="Y16" s="2830"/>
      <c r="Z16" s="2831"/>
      <c r="AA16" s="2827"/>
      <c r="AB16" s="3493">
        <v>3270.6</v>
      </c>
      <c r="AC16" s="2827"/>
      <c r="AD16" s="1829">
        <f>'Cashflow Governmental'!AE21</f>
        <v>21800.7</v>
      </c>
      <c r="AE16" s="1829"/>
      <c r="AF16" s="3539"/>
      <c r="AG16" s="2830"/>
      <c r="AH16" s="1829">
        <f>ROUND(SUM(X16)-SUM(AD16),1)</f>
        <v>-245.2</v>
      </c>
      <c r="AI16" s="2405"/>
      <c r="AJ16" s="1830">
        <f>ROUND(AH16/AD16,3)</f>
        <v>-1.0999999999999999E-2</v>
      </c>
      <c r="AK16" s="1831"/>
      <c r="AL16" s="2832"/>
    </row>
    <row r="17" spans="1:38" s="2833" customFormat="1" ht="18" customHeight="1">
      <c r="A17" s="2834" t="s">
        <v>960</v>
      </c>
      <c r="B17" s="2825"/>
      <c r="C17" s="2835"/>
      <c r="D17" s="619">
        <f>'Exhibit F'!P18</f>
        <v>176.80000000000018</v>
      </c>
      <c r="E17" s="619"/>
      <c r="F17" s="619">
        <f>'Exhibit F'!AC18</f>
        <v>10912.6</v>
      </c>
      <c r="G17" s="619"/>
      <c r="H17" s="1789">
        <v>0</v>
      </c>
      <c r="I17" s="1791"/>
      <c r="J17" s="1790">
        <v>0</v>
      </c>
      <c r="K17" s="619"/>
      <c r="L17" s="1789">
        <v>0</v>
      </c>
      <c r="M17" s="1791"/>
      <c r="N17" s="1790">
        <v>0</v>
      </c>
      <c r="O17" s="619"/>
      <c r="P17" s="1789">
        <v>0</v>
      </c>
      <c r="Q17" s="1791"/>
      <c r="R17" s="1790">
        <v>0</v>
      </c>
      <c r="S17" s="619"/>
      <c r="T17" s="2836"/>
      <c r="U17" s="2836"/>
      <c r="V17" s="1791">
        <f t="shared" si="0"/>
        <v>176.80000000000018</v>
      </c>
      <c r="W17" s="1418"/>
      <c r="X17" s="1791">
        <f t="shared" ref="X17:X24" si="1">SUM(F17)+SUM(J17)+SUM(N17)+SUM(R17)</f>
        <v>10912.6</v>
      </c>
      <c r="Y17" s="2837"/>
      <c r="Z17" s="2838"/>
      <c r="AA17" s="1418"/>
      <c r="AB17" s="1788">
        <v>170.9</v>
      </c>
      <c r="AC17" s="619"/>
      <c r="AD17" s="1791">
        <f>'Cashflow Governmental'!AE22</f>
        <v>12482.5</v>
      </c>
      <c r="AE17" s="1791"/>
      <c r="AF17" s="3539"/>
      <c r="AG17" s="2837"/>
      <c r="AH17" s="1791">
        <f>ROUND(SUM(X17)-SUM(AD17),1)</f>
        <v>-1569.9</v>
      </c>
      <c r="AI17" s="2839"/>
      <c r="AJ17" s="1831">
        <f>ROUND(AH17/AD17,3)</f>
        <v>-0.126</v>
      </c>
      <c r="AK17" s="1831"/>
      <c r="AL17" s="2832"/>
    </row>
    <row r="18" spans="1:38" s="2833" customFormat="1" ht="18" customHeight="1">
      <c r="A18" s="2825" t="s">
        <v>894</v>
      </c>
      <c r="B18" s="2825" t="s">
        <v>15</v>
      </c>
      <c r="C18" s="2825"/>
      <c r="D18" s="619">
        <f>'Exhibit F'!P19</f>
        <v>528.00000000000011</v>
      </c>
      <c r="E18" s="619"/>
      <c r="F18" s="619">
        <f>'Exhibit F'!AC19</f>
        <v>3170.5</v>
      </c>
      <c r="G18" s="619"/>
      <c r="H18" s="1789">
        <v>0</v>
      </c>
      <c r="I18" s="1791"/>
      <c r="J18" s="1790">
        <v>0</v>
      </c>
      <c r="K18" s="619"/>
      <c r="L18" s="1789">
        <v>0</v>
      </c>
      <c r="M18" s="1791"/>
      <c r="N18" s="1790">
        <v>0</v>
      </c>
      <c r="O18" s="619"/>
      <c r="P18" s="1789">
        <v>0</v>
      </c>
      <c r="Q18" s="1791"/>
      <c r="R18" s="1790">
        <v>0</v>
      </c>
      <c r="S18" s="619"/>
      <c r="T18" s="2836"/>
      <c r="U18" s="2836"/>
      <c r="V18" s="1791">
        <f t="shared" si="0"/>
        <v>528.00000000000011</v>
      </c>
      <c r="W18" s="1418"/>
      <c r="X18" s="1791">
        <f t="shared" si="1"/>
        <v>3170.5</v>
      </c>
      <c r="Y18" s="2837"/>
      <c r="Z18" s="2838"/>
      <c r="AA18" s="1418"/>
      <c r="AB18" s="1788">
        <v>564.20000000000005</v>
      </c>
      <c r="AC18" s="619"/>
      <c r="AD18" s="1791">
        <f>'Cashflow Governmental'!AE23</f>
        <v>3131.7</v>
      </c>
      <c r="AE18" s="1791"/>
      <c r="AF18" s="3539"/>
      <c r="AG18" s="2837"/>
      <c r="AH18" s="1791">
        <f>ROUND(SUM(X18)-SUM(AD18),1)</f>
        <v>38.799999999999997</v>
      </c>
      <c r="AI18" s="2839"/>
      <c r="AJ18" s="1831">
        <f>ROUND(AH18/AD18,3)</f>
        <v>1.2E-2</v>
      </c>
      <c r="AK18" s="1831"/>
      <c r="AL18" s="2832"/>
    </row>
    <row r="19" spans="1:38" s="2833" customFormat="1" ht="18" customHeight="1">
      <c r="A19" s="2834" t="s">
        <v>895</v>
      </c>
      <c r="B19" s="2825"/>
      <c r="C19" s="2825"/>
      <c r="D19" s="619">
        <f>'Exhibit F'!P20</f>
        <v>-444.90000000000015</v>
      </c>
      <c r="E19" s="619"/>
      <c r="F19" s="619">
        <f>'Exhibit F'!AC20</f>
        <v>-899.7</v>
      </c>
      <c r="G19" s="619"/>
      <c r="H19" s="1789">
        <v>0</v>
      </c>
      <c r="I19" s="1791"/>
      <c r="J19" s="1790">
        <v>0</v>
      </c>
      <c r="K19" s="619"/>
      <c r="L19" s="1789">
        <v>0</v>
      </c>
      <c r="M19" s="1791"/>
      <c r="N19" s="1790">
        <v>0</v>
      </c>
      <c r="O19" s="619"/>
      <c r="P19" s="1789">
        <v>0</v>
      </c>
      <c r="Q19" s="1791"/>
      <c r="R19" s="1790">
        <v>0</v>
      </c>
      <c r="S19" s="619"/>
      <c r="T19" s="2836"/>
      <c r="U19" s="2836"/>
      <c r="V19" s="1791">
        <f t="shared" si="0"/>
        <v>-444.90000000000015</v>
      </c>
      <c r="W19" s="1418"/>
      <c r="X19" s="1791">
        <f t="shared" si="1"/>
        <v>-899.7</v>
      </c>
      <c r="Y19" s="2837"/>
      <c r="Z19" s="2838"/>
      <c r="AA19" s="1418"/>
      <c r="AB19" s="1788">
        <v>-475.4</v>
      </c>
      <c r="AC19" s="619"/>
      <c r="AD19" s="1791">
        <f>'Cashflow Governmental'!AE24</f>
        <v>-918.4</v>
      </c>
      <c r="AE19" s="1791"/>
      <c r="AF19" s="3539"/>
      <c r="AG19" s="2837"/>
      <c r="AH19" s="1791">
        <f>-ROUND(SUM(X19)-SUM(AD19),1)</f>
        <v>-18.7</v>
      </c>
      <c r="AI19" s="2839"/>
      <c r="AJ19" s="1831">
        <f>-ROUND(AH19/AD19,3)</f>
        <v>-0.02</v>
      </c>
      <c r="AK19" s="1831"/>
      <c r="AL19" s="2832"/>
    </row>
    <row r="20" spans="1:38" s="2833" customFormat="1" ht="18" customHeight="1">
      <c r="A20" s="2834" t="s">
        <v>896</v>
      </c>
      <c r="B20" s="2825" t="s">
        <v>15</v>
      </c>
      <c r="C20" s="2825"/>
      <c r="D20" s="619">
        <f>'Exhibit F'!P21</f>
        <v>133.2999999999999</v>
      </c>
      <c r="E20" s="619"/>
      <c r="F20" s="619">
        <f>'Exhibit F'!AC21</f>
        <v>639.79999999999995</v>
      </c>
      <c r="G20" s="619"/>
      <c r="H20" s="1789">
        <v>0</v>
      </c>
      <c r="I20" s="1791"/>
      <c r="J20" s="1790">
        <v>0</v>
      </c>
      <c r="K20" s="619"/>
      <c r="L20" s="1789">
        <v>0</v>
      </c>
      <c r="M20" s="1791"/>
      <c r="N20" s="1790">
        <v>0</v>
      </c>
      <c r="O20" s="619"/>
      <c r="P20" s="1789">
        <v>0</v>
      </c>
      <c r="Q20" s="1791"/>
      <c r="R20" s="1790">
        <v>0</v>
      </c>
      <c r="S20" s="619"/>
      <c r="T20" s="2836"/>
      <c r="U20" s="2836"/>
      <c r="V20" s="1791">
        <f t="shared" si="0"/>
        <v>133.2999999999999</v>
      </c>
      <c r="W20" s="1418"/>
      <c r="X20" s="1791">
        <f t="shared" si="1"/>
        <v>639.79999999999995</v>
      </c>
      <c r="Y20" s="2837"/>
      <c r="Z20" s="2838"/>
      <c r="AA20" s="1418"/>
      <c r="AB20" s="1788">
        <v>104.3</v>
      </c>
      <c r="AC20" s="619"/>
      <c r="AD20" s="1791">
        <f>'Cashflow Governmental'!AE25</f>
        <v>752.7</v>
      </c>
      <c r="AE20" s="1791"/>
      <c r="AF20" s="3539"/>
      <c r="AG20" s="2837"/>
      <c r="AH20" s="1791">
        <f>ROUND(SUM(X20)-SUM(AD20),1)</f>
        <v>-112.9</v>
      </c>
      <c r="AI20" s="2839"/>
      <c r="AJ20" s="3515">
        <f>ROUND(AH20/AD20,3)</f>
        <v>-0.15</v>
      </c>
      <c r="AK20" s="1831"/>
      <c r="AL20" s="2832"/>
    </row>
    <row r="21" spans="1:38" s="2848" customFormat="1" ht="18" customHeight="1">
      <c r="A21" s="2840" t="s">
        <v>897</v>
      </c>
      <c r="B21" s="2840"/>
      <c r="C21" s="2840"/>
      <c r="D21" s="1799">
        <f>ROUND(SUM(D16:D20),1)</f>
        <v>3312.7</v>
      </c>
      <c r="E21" s="1476"/>
      <c r="F21" s="1799">
        <f>ROUND(SUM(F16:F20),1)</f>
        <v>35378.699999999997</v>
      </c>
      <c r="G21" s="23"/>
      <c r="H21" s="1799">
        <f>ROUND(SUM(H16:H20),1)</f>
        <v>0</v>
      </c>
      <c r="I21" s="2841"/>
      <c r="J21" s="1799">
        <f>ROUND(SUM(J16:J20),1)</f>
        <v>0</v>
      </c>
      <c r="K21" s="23"/>
      <c r="L21" s="1799">
        <f>ROUND(SUM(L16:L20),1)</f>
        <v>0</v>
      </c>
      <c r="M21" s="2841"/>
      <c r="N21" s="1799">
        <f>ROUND(SUM(N16:N20),1)</f>
        <v>0</v>
      </c>
      <c r="O21" s="23"/>
      <c r="P21" s="1799">
        <f>ROUND(SUM(P16:P20),1)</f>
        <v>0</v>
      </c>
      <c r="Q21" s="2841"/>
      <c r="R21" s="1799">
        <f>ROUND(SUM(R16:R20),1)</f>
        <v>0</v>
      </c>
      <c r="S21" s="23"/>
      <c r="T21" s="2842"/>
      <c r="U21" s="2842"/>
      <c r="V21" s="2843">
        <f>ROUND(SUM(V16:V20),1)</f>
        <v>3312.7</v>
      </c>
      <c r="W21" s="1476"/>
      <c r="X21" s="2843">
        <f>ROUND(SUM(X16:X20),1)</f>
        <v>35378.699999999997</v>
      </c>
      <c r="Y21" s="2844"/>
      <c r="Z21" s="2313"/>
      <c r="AA21" s="1476"/>
      <c r="AB21" s="1458">
        <f>ROUND(SUM(AB16:AB20),1)</f>
        <v>3634.6</v>
      </c>
      <c r="AC21" s="23"/>
      <c r="AD21" s="3887">
        <f>ROUND(SUM(AD16:AD20),1)</f>
        <v>37249.199999999997</v>
      </c>
      <c r="AE21" s="2841"/>
      <c r="AF21" s="3539"/>
      <c r="AG21" s="2844"/>
      <c r="AH21" s="3560">
        <f>ROUND(SUM(X21)-SUM(AD21),1)</f>
        <v>-1870.5</v>
      </c>
      <c r="AI21" s="2845"/>
      <c r="AJ21" s="3516">
        <f>ROUND(AH21/AD21,3)</f>
        <v>-0.05</v>
      </c>
      <c r="AK21" s="2846"/>
      <c r="AL21" s="2847"/>
    </row>
    <row r="22" spans="1:38" s="2833" customFormat="1" ht="18" customHeight="1">
      <c r="A22" s="2834" t="s">
        <v>898</v>
      </c>
      <c r="B22" s="2825"/>
      <c r="C22" s="2825"/>
      <c r="D22" s="1788">
        <f>'Exhibit F'!P23</f>
        <v>-0.1</v>
      </c>
      <c r="E22" s="1791"/>
      <c r="F22" s="1788">
        <f>'Exhibit F'!AC23</f>
        <v>-0.2</v>
      </c>
      <c r="G22" s="619"/>
      <c r="H22" s="619">
        <f>'Exhibit G'!P17</f>
        <v>0.1</v>
      </c>
      <c r="I22" s="1791"/>
      <c r="J22" s="1804">
        <f>'Exhibit G'!AD17</f>
        <v>0.2</v>
      </c>
      <c r="K22" s="619"/>
      <c r="L22" s="1800">
        <v>0</v>
      </c>
      <c r="M22" s="1791"/>
      <c r="N22" s="1800">
        <v>0</v>
      </c>
      <c r="O22" s="619"/>
      <c r="P22" s="1800">
        <v>0</v>
      </c>
      <c r="Q22" s="1791"/>
      <c r="R22" s="1800">
        <v>0</v>
      </c>
      <c r="S22" s="619"/>
      <c r="T22" s="2836"/>
      <c r="U22" s="2836"/>
      <c r="V22" s="2849">
        <f>SUM(D22)+SUM(H22)+SUM(L22)+SUM(P22)</f>
        <v>0</v>
      </c>
      <c r="W22" s="1418"/>
      <c r="X22" s="2849">
        <f t="shared" si="1"/>
        <v>0</v>
      </c>
      <c r="Y22" s="2837"/>
      <c r="Z22" s="2838"/>
      <c r="AA22" s="1418"/>
      <c r="AB22" s="1788">
        <v>0</v>
      </c>
      <c r="AC22" s="1418"/>
      <c r="AD22" s="1791">
        <f>'Cashflow Governmental'!AE27</f>
        <v>0</v>
      </c>
      <c r="AE22" s="1789"/>
      <c r="AF22" s="3539"/>
      <c r="AG22" s="2837"/>
      <c r="AH22" s="1790">
        <f>ROUND(SUM(X22)-SUM(AD22),1)</f>
        <v>0</v>
      </c>
      <c r="AI22" s="2839"/>
      <c r="AJ22" s="1723">
        <f>ROUND(IF(AD22=0,0,AH22/(AD22)),3)</f>
        <v>0</v>
      </c>
      <c r="AK22" s="2850"/>
      <c r="AL22" s="2832"/>
    </row>
    <row r="23" spans="1:38" s="2833" customFormat="1" ht="18" customHeight="1">
      <c r="A23" s="2834" t="s">
        <v>899</v>
      </c>
      <c r="B23" s="2825"/>
      <c r="C23" s="2825"/>
      <c r="D23" s="1788">
        <f>'Exhibit F'!P24</f>
        <v>-1265.7999999999993</v>
      </c>
      <c r="E23" s="619"/>
      <c r="F23" s="1788">
        <f>'Exhibit F'!AC24</f>
        <v>-14695.3</v>
      </c>
      <c r="G23" s="619"/>
      <c r="H23" s="1789">
        <v>0</v>
      </c>
      <c r="I23" s="1791"/>
      <c r="J23" s="1790">
        <v>0</v>
      </c>
      <c r="K23" s="619"/>
      <c r="L23" s="1791">
        <f>'Exhibit H'!N16</f>
        <v>1265.7999999999993</v>
      </c>
      <c r="M23" s="1791"/>
      <c r="N23" s="1791">
        <f>'Exhibit H'!AA16</f>
        <v>14695.3</v>
      </c>
      <c r="O23" s="619"/>
      <c r="P23" s="1789">
        <v>0</v>
      </c>
      <c r="Q23" s="1791"/>
      <c r="R23" s="1790">
        <v>0</v>
      </c>
      <c r="S23" s="619"/>
      <c r="T23" s="2836"/>
      <c r="U23" s="2836"/>
      <c r="V23" s="1791">
        <f>ROUND(SUM(D23)+SUM(H23)+SUM(L23)+SUM(P23),1)</f>
        <v>0</v>
      </c>
      <c r="W23" s="1418"/>
      <c r="X23" s="1791">
        <f t="shared" si="1"/>
        <v>0</v>
      </c>
      <c r="Y23" s="2837"/>
      <c r="Z23" s="2838"/>
      <c r="AA23" s="1418"/>
      <c r="AB23" s="1788">
        <v>0</v>
      </c>
      <c r="AC23" s="1418"/>
      <c r="AD23" s="1791">
        <f>'Cashflow Governmental'!AE28</f>
        <v>0</v>
      </c>
      <c r="AE23" s="1789"/>
      <c r="AF23" s="3539"/>
      <c r="AG23" s="2837"/>
      <c r="AH23" s="1790">
        <f>ROUND(SUM(X23)-SUM(AD23),1)</f>
        <v>0</v>
      </c>
      <c r="AI23" s="2839"/>
      <c r="AJ23" s="1723">
        <f>ROUND(IF(AD23=0,0,AH23/(AD23)),3)</f>
        <v>0</v>
      </c>
      <c r="AK23" s="2850"/>
      <c r="AL23" s="2832"/>
    </row>
    <row r="24" spans="1:38" s="2833" customFormat="1" ht="18" customHeight="1">
      <c r="A24" s="2825" t="s">
        <v>900</v>
      </c>
      <c r="B24" s="2825"/>
      <c r="C24" s="2825"/>
      <c r="D24" s="1788">
        <f>'Exhibit F'!P25</f>
        <v>-781.10000000000093</v>
      </c>
      <c r="E24" s="1418"/>
      <c r="F24" s="1788">
        <f>'Exhibit F'!AC25</f>
        <v>-5988.1</v>
      </c>
      <c r="G24" s="619"/>
      <c r="H24" s="1789">
        <v>0</v>
      </c>
      <c r="I24" s="1791"/>
      <c r="J24" s="1790">
        <v>0</v>
      </c>
      <c r="K24" s="619"/>
      <c r="L24" s="1789">
        <v>0</v>
      </c>
      <c r="M24" s="1791"/>
      <c r="N24" s="1790">
        <v>0</v>
      </c>
      <c r="O24" s="619"/>
      <c r="P24" s="1789">
        <v>0</v>
      </c>
      <c r="Q24" s="1791"/>
      <c r="R24" s="1790">
        <v>0</v>
      </c>
      <c r="S24" s="619"/>
      <c r="T24" s="2836"/>
      <c r="U24" s="2836"/>
      <c r="V24" s="1791">
        <f>SUM(D24)+SUM(H24)+SUM(L24)+SUM(P24)</f>
        <v>-781.10000000000093</v>
      </c>
      <c r="W24" s="1418"/>
      <c r="X24" s="1791">
        <f t="shared" si="1"/>
        <v>-5988.1</v>
      </c>
      <c r="Y24" s="2837"/>
      <c r="Z24" s="2838"/>
      <c r="AA24" s="1418"/>
      <c r="AB24" s="1788">
        <v>-1056.2</v>
      </c>
      <c r="AC24" s="619"/>
      <c r="AD24" s="1791">
        <f>'Cashflow Governmental'!AE29</f>
        <v>-6689.4</v>
      </c>
      <c r="AE24" s="1791"/>
      <c r="AF24" s="3539"/>
      <c r="AG24" s="2837"/>
      <c r="AH24" s="1791">
        <f>-ROUND(SUM(X24)-SUM(AD24),1)</f>
        <v>-701.3</v>
      </c>
      <c r="AI24" s="2839"/>
      <c r="AJ24" s="1832">
        <f>-ROUND(AH24/AD24,3)</f>
        <v>-0.105</v>
      </c>
      <c r="AK24" s="1831"/>
      <c r="AL24" s="2832"/>
    </row>
    <row r="25" spans="1:38" s="2833" customFormat="1" ht="18" customHeight="1">
      <c r="A25" s="2851" t="s">
        <v>901</v>
      </c>
      <c r="B25" s="2825"/>
      <c r="C25" s="2825"/>
      <c r="D25" s="1801">
        <f>ROUND(SUM(D21:D24),1)</f>
        <v>1265.7</v>
      </c>
      <c r="E25" s="1476"/>
      <c r="F25" s="1801">
        <f>ROUND(SUM(F21:F24),1)</f>
        <v>14695.1</v>
      </c>
      <c r="G25" s="23"/>
      <c r="H25" s="1801">
        <f>ROUND(SUM(H21:H24),1)</f>
        <v>0.1</v>
      </c>
      <c r="I25" s="2841"/>
      <c r="J25" s="1801">
        <f>ROUND(SUM(J21:J24),1)</f>
        <v>0.2</v>
      </c>
      <c r="K25" s="23"/>
      <c r="L25" s="1801">
        <f>ROUND(SUM(L21:L24),1)</f>
        <v>1265.8</v>
      </c>
      <c r="M25" s="2841"/>
      <c r="N25" s="1801">
        <f>ROUND(SUM(N21:N24),1)</f>
        <v>14695.3</v>
      </c>
      <c r="O25" s="23"/>
      <c r="P25" s="1801">
        <f>ROUND(SUM(P21:P24),1)</f>
        <v>0</v>
      </c>
      <c r="Q25" s="2841"/>
      <c r="R25" s="1801">
        <f>ROUND(SUM(R21:R24),1)</f>
        <v>0</v>
      </c>
      <c r="S25" s="23"/>
      <c r="T25" s="2842"/>
      <c r="U25" s="2842"/>
      <c r="V25" s="2843">
        <f>ROUND(SUM(V21:V24),1)</f>
        <v>2531.6</v>
      </c>
      <c r="W25" s="1476"/>
      <c r="X25" s="2843">
        <f>ROUND(SUM(X21:X24),1)</f>
        <v>29390.6</v>
      </c>
      <c r="Y25" s="2852"/>
      <c r="Z25" s="2313"/>
      <c r="AA25" s="1476"/>
      <c r="AB25" s="3494">
        <f>ROUND(SUM(AB21:AB24),1)</f>
        <v>2578.4</v>
      </c>
      <c r="AC25" s="23"/>
      <c r="AD25" s="2843">
        <f>ROUND(SUM(AD21:AD24),1)</f>
        <v>30559.8</v>
      </c>
      <c r="AE25" s="1476" t="s">
        <v>15</v>
      </c>
      <c r="AF25" s="3539"/>
      <c r="AG25" s="2844"/>
      <c r="AH25" s="1833">
        <f>ROUND(SUM(X25)-SUM(AD25),1)</f>
        <v>-1169.2</v>
      </c>
      <c r="AI25" s="2845"/>
      <c r="AJ25" s="1834">
        <f>ROUND(AH25/AD25,3)</f>
        <v>-3.7999999999999999E-2</v>
      </c>
      <c r="AK25" s="2846"/>
      <c r="AL25" s="2847"/>
    </row>
    <row r="26" spans="1:38" ht="18" customHeight="1">
      <c r="A26" s="2824"/>
      <c r="B26" s="2824"/>
      <c r="C26" s="2824"/>
      <c r="D26" s="1512"/>
      <c r="E26" s="615"/>
      <c r="F26" s="1802" t="s">
        <v>15</v>
      </c>
      <c r="G26" s="619"/>
      <c r="H26" s="1802"/>
      <c r="I26" s="1418"/>
      <c r="J26" s="1802"/>
      <c r="K26" s="619"/>
      <c r="L26" s="1802"/>
      <c r="M26" s="1418"/>
      <c r="N26" s="1802"/>
      <c r="O26" s="619"/>
      <c r="P26" s="1802"/>
      <c r="Q26" s="1418"/>
      <c r="R26" s="1802"/>
      <c r="S26" s="619"/>
      <c r="T26" s="2836"/>
      <c r="U26" s="2836"/>
      <c r="V26" s="1802"/>
      <c r="W26" s="1418"/>
      <c r="X26" s="1802"/>
      <c r="Y26" s="1418"/>
      <c r="Z26" s="2838"/>
      <c r="AA26" s="1418"/>
      <c r="AB26" s="1802"/>
      <c r="AC26" s="619"/>
      <c r="AD26" s="1802"/>
      <c r="AE26" s="1418"/>
      <c r="AF26" s="3539"/>
      <c r="AG26" s="1418"/>
      <c r="AH26" s="1418"/>
      <c r="AI26" s="612"/>
      <c r="AJ26" s="2853"/>
      <c r="AK26" s="2854"/>
      <c r="AL26" s="2806"/>
    </row>
    <row r="27" spans="1:38" ht="18" customHeight="1">
      <c r="A27" s="2855" t="s">
        <v>1169</v>
      </c>
      <c r="B27" s="2824"/>
      <c r="C27" s="2856"/>
      <c r="D27" s="614"/>
      <c r="E27" s="614"/>
      <c r="F27" s="619"/>
      <c r="G27" s="619"/>
      <c r="H27" s="619"/>
      <c r="I27" s="619"/>
      <c r="J27" s="619"/>
      <c r="K27" s="619"/>
      <c r="L27" s="619"/>
      <c r="M27" s="619"/>
      <c r="N27" s="619"/>
      <c r="O27" s="619"/>
      <c r="P27" s="619"/>
      <c r="Q27" s="619"/>
      <c r="R27" s="619"/>
      <c r="S27" s="619"/>
      <c r="T27" s="2836"/>
      <c r="U27" s="2836"/>
      <c r="V27" s="1418"/>
      <c r="W27" s="1418"/>
      <c r="X27" s="619"/>
      <c r="Y27" s="619"/>
      <c r="Z27" s="2838"/>
      <c r="AA27" s="1418"/>
      <c r="AB27" s="619"/>
      <c r="AC27" s="619"/>
      <c r="AD27" s="619"/>
      <c r="AE27" s="619"/>
      <c r="AF27" s="3539"/>
      <c r="AG27" s="619"/>
      <c r="AH27" s="619"/>
      <c r="AI27" s="2259"/>
      <c r="AJ27" s="2853"/>
      <c r="AK27" s="2854"/>
      <c r="AL27" s="2806"/>
    </row>
    <row r="28" spans="1:38" s="2833" customFormat="1" ht="18" customHeight="1">
      <c r="A28" s="2825" t="s">
        <v>902</v>
      </c>
      <c r="B28" s="2825"/>
      <c r="C28" s="2825"/>
      <c r="D28" s="619">
        <f>'Exhibit F'!P28</f>
        <v>511.5</v>
      </c>
      <c r="E28" s="619"/>
      <c r="F28" s="619">
        <f>'Exhibit F'!AC28</f>
        <v>3663.2</v>
      </c>
      <c r="G28" s="619"/>
      <c r="H28" s="619">
        <f>'Exhibit G'!P20</f>
        <v>79.19999999999996</v>
      </c>
      <c r="I28" s="619"/>
      <c r="J28" s="619">
        <f>'Exhibit G'!AD20</f>
        <v>505.9</v>
      </c>
      <c r="K28" s="619"/>
      <c r="L28" s="1791">
        <f>'Exhibit H'!N19</f>
        <v>549.89999999999964</v>
      </c>
      <c r="M28" s="1791"/>
      <c r="N28" s="1791">
        <f>'Exhibit H'!AA19</f>
        <v>3660.7</v>
      </c>
      <c r="O28" s="619"/>
      <c r="P28" s="1789">
        <v>0</v>
      </c>
      <c r="Q28" s="1791"/>
      <c r="R28" s="1790">
        <v>0</v>
      </c>
      <c r="S28" s="619"/>
      <c r="T28" s="2836"/>
      <c r="U28" s="2836"/>
      <c r="V28" s="1791">
        <f t="shared" ref="V28:V33" si="2">SUM(D28)+SUM(H28)+SUM(L28)+SUM(P28)</f>
        <v>1140.5999999999995</v>
      </c>
      <c r="W28" s="1418"/>
      <c r="X28" s="1791">
        <f t="shared" ref="X28:X34" si="3">SUM(F28)+SUM(J28)+SUM(N28)+SUM(R28)</f>
        <v>7829.7999999999993</v>
      </c>
      <c r="Y28" s="619"/>
      <c r="Z28" s="2838"/>
      <c r="AA28" s="1418"/>
      <c r="AB28" s="1788">
        <v>1238.3000000000002</v>
      </c>
      <c r="AC28" s="619"/>
      <c r="AD28" s="1791">
        <f>'Cashflow Governmental'!AE32</f>
        <v>9318.2000000000007</v>
      </c>
      <c r="AE28" s="1791"/>
      <c r="AF28" s="3539"/>
      <c r="AG28" s="619"/>
      <c r="AH28" s="619">
        <f t="shared" ref="AH28:AH37" si="4">ROUND(SUM(X28)-SUM(AD28),1)</f>
        <v>-1488.4</v>
      </c>
      <c r="AI28" s="2839"/>
      <c r="AJ28" s="1831">
        <f t="shared" ref="AJ28:AJ37" si="5">ROUND(AH28/AD28,3)</f>
        <v>-0.16</v>
      </c>
      <c r="AK28" s="1831"/>
      <c r="AL28" s="2832"/>
    </row>
    <row r="29" spans="1:38" s="2833" customFormat="1" ht="18" customHeight="1">
      <c r="A29" s="2834" t="s">
        <v>903</v>
      </c>
      <c r="B29" s="2825"/>
      <c r="C29" s="2857"/>
      <c r="D29" s="619">
        <f>'Exhibit F'!P29</f>
        <v>0</v>
      </c>
      <c r="E29" s="1791"/>
      <c r="F29" s="619">
        <f>'Exhibit F'!AC29</f>
        <v>0</v>
      </c>
      <c r="G29" s="619"/>
      <c r="H29" s="619">
        <f>'Exhibit G'!P21</f>
        <v>0</v>
      </c>
      <c r="I29" s="1791"/>
      <c r="J29" s="619">
        <f>'Exhibit G'!AD21</f>
        <v>4.9000000000000004</v>
      </c>
      <c r="K29" s="619"/>
      <c r="L29" s="1789">
        <v>0</v>
      </c>
      <c r="M29" s="1791"/>
      <c r="N29" s="1790">
        <v>0</v>
      </c>
      <c r="O29" s="619"/>
      <c r="P29" s="1788">
        <f>'Exhibit I'!Q20</f>
        <v>0.10000000000000142</v>
      </c>
      <c r="Q29" s="619"/>
      <c r="R29" s="1788">
        <f>'Exhibit I'!AF20</f>
        <v>26.5</v>
      </c>
      <c r="S29" s="619"/>
      <c r="T29" s="2836"/>
      <c r="U29" s="2836"/>
      <c r="V29" s="1791">
        <f t="shared" si="2"/>
        <v>0.10000000000000142</v>
      </c>
      <c r="W29" s="1418"/>
      <c r="X29" s="1791">
        <f t="shared" si="3"/>
        <v>31.4</v>
      </c>
      <c r="Y29" s="2837"/>
      <c r="Z29" s="2838"/>
      <c r="AA29" s="1418"/>
      <c r="AB29" s="1788">
        <v>-7.3</v>
      </c>
      <c r="AC29" s="619"/>
      <c r="AD29" s="1791">
        <f>'Cashflow Governmental'!AE33</f>
        <v>57.199999999999996</v>
      </c>
      <c r="AE29" s="1791"/>
      <c r="AF29" s="3539"/>
      <c r="AG29" s="2837"/>
      <c r="AH29" s="1791">
        <f t="shared" si="4"/>
        <v>-25.8</v>
      </c>
      <c r="AI29" s="2858"/>
      <c r="AJ29" s="1831">
        <f t="shared" si="5"/>
        <v>-0.45100000000000001</v>
      </c>
      <c r="AK29" s="1831"/>
      <c r="AL29" s="2832"/>
    </row>
    <row r="30" spans="1:38" ht="18" customHeight="1">
      <c r="A30" s="2824" t="s">
        <v>904</v>
      </c>
      <c r="B30" s="2824"/>
      <c r="C30" s="2824"/>
      <c r="D30" s="619">
        <f>'Exhibit F'!P30</f>
        <v>25.299999999999997</v>
      </c>
      <c r="E30" s="619"/>
      <c r="F30" s="619">
        <f>'Exhibit F'!AC30</f>
        <v>191.9</v>
      </c>
      <c r="G30" s="619"/>
      <c r="H30" s="619">
        <f>'Exhibit G'!P22</f>
        <v>55.699999999999989</v>
      </c>
      <c r="I30" s="1791"/>
      <c r="J30" s="619">
        <f>'Exhibit G'!AD22</f>
        <v>436.2</v>
      </c>
      <c r="K30" s="619"/>
      <c r="L30" s="1789">
        <v>0</v>
      </c>
      <c r="M30" s="1791"/>
      <c r="N30" s="1790">
        <v>0</v>
      </c>
      <c r="O30" s="619"/>
      <c r="P30" s="1789">
        <v>0</v>
      </c>
      <c r="Q30" s="1791"/>
      <c r="R30" s="1790">
        <v>0</v>
      </c>
      <c r="S30" s="619"/>
      <c r="T30" s="2836"/>
      <c r="U30" s="2836"/>
      <c r="V30" s="1791">
        <f t="shared" si="2"/>
        <v>80.999999999999986</v>
      </c>
      <c r="W30" s="1418"/>
      <c r="X30" s="1791">
        <f t="shared" si="3"/>
        <v>628.1</v>
      </c>
      <c r="Y30" s="2837"/>
      <c r="Z30" s="2838"/>
      <c r="AA30" s="1418"/>
      <c r="AB30" s="1788">
        <v>93.8</v>
      </c>
      <c r="AC30" s="619"/>
      <c r="AD30" s="1791">
        <f>'Cashflow Governmental'!AE34</f>
        <v>638.70000000000005</v>
      </c>
      <c r="AE30" s="1804"/>
      <c r="AF30" s="3540"/>
      <c r="AG30" s="2837"/>
      <c r="AH30" s="1791">
        <f t="shared" si="4"/>
        <v>-10.6</v>
      </c>
      <c r="AI30" s="2859"/>
      <c r="AJ30" s="1509">
        <f t="shared" si="5"/>
        <v>-1.7000000000000001E-2</v>
      </c>
      <c r="AK30" s="1509"/>
      <c r="AL30" s="2806"/>
    </row>
    <row r="31" spans="1:38" ht="18" customHeight="1">
      <c r="A31" s="2824" t="s">
        <v>1252</v>
      </c>
      <c r="B31" s="2824"/>
      <c r="C31" s="2824"/>
      <c r="D31" s="619">
        <v>0</v>
      </c>
      <c r="E31" s="619"/>
      <c r="F31" s="619">
        <v>0</v>
      </c>
      <c r="G31" s="619"/>
      <c r="H31" s="619">
        <f>'Exhibit G'!P23</f>
        <v>0.80000000000000093</v>
      </c>
      <c r="I31" s="1791"/>
      <c r="J31" s="619">
        <f>'Exhibit G'!AD23</f>
        <v>4.7</v>
      </c>
      <c r="K31" s="619"/>
      <c r="L31" s="1789">
        <v>0</v>
      </c>
      <c r="M31" s="1791"/>
      <c r="N31" s="1790">
        <v>0</v>
      </c>
      <c r="O31" s="619"/>
      <c r="P31" s="1789">
        <v>0</v>
      </c>
      <c r="Q31" s="1791"/>
      <c r="R31" s="1790">
        <v>0</v>
      </c>
      <c r="S31" s="619"/>
      <c r="T31" s="2836"/>
      <c r="U31" s="2836"/>
      <c r="V31" s="1791">
        <f>SUM(D31)+SUM(H31)+SUM(L31)+SUM(P31)</f>
        <v>0.80000000000000093</v>
      </c>
      <c r="W31" s="1418"/>
      <c r="X31" s="1791">
        <f>SUM(F31)+SUM(J31)+SUM(N31)+SUM(R31)</f>
        <v>4.7</v>
      </c>
      <c r="Y31" s="2837"/>
      <c r="Z31" s="2838"/>
      <c r="AA31" s="1418"/>
      <c r="AB31" s="1788">
        <v>0.4</v>
      </c>
      <c r="AC31" s="619"/>
      <c r="AD31" s="1791">
        <f>'Cashflow Governmental'!AE35</f>
        <v>3.2</v>
      </c>
      <c r="AE31" s="1804"/>
      <c r="AF31" s="3540"/>
      <c r="AG31" s="2837"/>
      <c r="AH31" s="1791">
        <f>ROUND(SUM(X31)-SUM(AD31),1)</f>
        <v>1.5</v>
      </c>
      <c r="AI31" s="2859"/>
      <c r="AJ31" s="1436">
        <f>ROUND(IF(AD31=0,0,AH31/(AD31)),3)</f>
        <v>0.46899999999999997</v>
      </c>
      <c r="AK31" s="1509"/>
      <c r="AL31" s="2806"/>
    </row>
    <row r="32" spans="1:38" ht="18" customHeight="1">
      <c r="A32" s="2824" t="s">
        <v>905</v>
      </c>
      <c r="B32" s="2824"/>
      <c r="C32" s="2824"/>
      <c r="D32" s="619">
        <f>'Exhibit F'!P31</f>
        <v>0</v>
      </c>
      <c r="E32" s="1791"/>
      <c r="F32" s="619">
        <f>'Exhibit F'!AC31</f>
        <v>0</v>
      </c>
      <c r="G32" s="619"/>
      <c r="H32" s="619">
        <f>'Exhibit G'!P24</f>
        <v>8.3000000000000149</v>
      </c>
      <c r="I32" s="1791"/>
      <c r="J32" s="619">
        <f>'Exhibit G'!AD24</f>
        <v>52.6</v>
      </c>
      <c r="K32" s="619"/>
      <c r="L32" s="1789">
        <v>0</v>
      </c>
      <c r="M32" s="1791"/>
      <c r="N32" s="1790">
        <v>0</v>
      </c>
      <c r="O32" s="619"/>
      <c r="P32" s="619">
        <f>'Exhibit I'!Q21</f>
        <v>31.299999999999969</v>
      </c>
      <c r="Q32" s="1791"/>
      <c r="R32" s="619">
        <f>'Exhibit I'!AF21</f>
        <v>194</v>
      </c>
      <c r="S32" s="619"/>
      <c r="T32" s="2836"/>
      <c r="U32" s="2836"/>
      <c r="V32" s="1791">
        <f t="shared" si="2"/>
        <v>39.59999999999998</v>
      </c>
      <c r="W32" s="1418"/>
      <c r="X32" s="1791">
        <f t="shared" si="3"/>
        <v>246.6</v>
      </c>
      <c r="Y32" s="619"/>
      <c r="Z32" s="2838"/>
      <c r="AA32" s="1418"/>
      <c r="AB32" s="1788">
        <v>47.300000000000004</v>
      </c>
      <c r="AC32" s="619"/>
      <c r="AD32" s="1791">
        <f>'Cashflow Governmental'!AE36</f>
        <v>313.89999999999998</v>
      </c>
      <c r="AE32" s="1791"/>
      <c r="AF32" s="3540"/>
      <c r="AG32" s="619"/>
      <c r="AH32" s="1791">
        <f t="shared" si="4"/>
        <v>-67.3</v>
      </c>
      <c r="AI32" s="2259"/>
      <c r="AJ32" s="1509">
        <f t="shared" si="5"/>
        <v>-0.214</v>
      </c>
      <c r="AK32" s="1509"/>
      <c r="AL32" s="2806"/>
    </row>
    <row r="33" spans="1:38" ht="18" customHeight="1">
      <c r="A33" s="2824" t="s">
        <v>906</v>
      </c>
      <c r="B33" s="2824"/>
      <c r="C33" s="2824"/>
      <c r="D33" s="619">
        <f>'Exhibit F'!P32</f>
        <v>23.700000000000006</v>
      </c>
      <c r="E33" s="619"/>
      <c r="F33" s="619">
        <f>'Exhibit F'!AC32</f>
        <v>167</v>
      </c>
      <c r="G33" s="619"/>
      <c r="H33" s="619">
        <f>'Exhibit G'!P25</f>
        <v>0</v>
      </c>
      <c r="I33" s="1791"/>
      <c r="J33" s="619">
        <f>'Exhibit G'!AD25</f>
        <v>0</v>
      </c>
      <c r="K33" s="619"/>
      <c r="L33" s="1789">
        <v>0</v>
      </c>
      <c r="M33" s="1791"/>
      <c r="N33" s="1790">
        <v>0</v>
      </c>
      <c r="O33" s="619"/>
      <c r="P33" s="1789">
        <v>0</v>
      </c>
      <c r="Q33" s="1791"/>
      <c r="R33" s="1790">
        <v>0</v>
      </c>
      <c r="S33" s="619"/>
      <c r="T33" s="2836"/>
      <c r="U33" s="2836"/>
      <c r="V33" s="1791">
        <f t="shared" si="2"/>
        <v>23.700000000000006</v>
      </c>
      <c r="W33" s="1418"/>
      <c r="X33" s="1791">
        <f t="shared" si="3"/>
        <v>167</v>
      </c>
      <c r="Y33" s="2837"/>
      <c r="Z33" s="2838"/>
      <c r="AA33" s="1418"/>
      <c r="AB33" s="1788">
        <v>19.099999999999998</v>
      </c>
      <c r="AC33" s="619"/>
      <c r="AD33" s="1791">
        <f>'Cashflow Governmental'!AE37</f>
        <v>154.6</v>
      </c>
      <c r="AE33" s="1791"/>
      <c r="AF33" s="3540"/>
      <c r="AG33" s="2837"/>
      <c r="AH33" s="1791">
        <f t="shared" si="4"/>
        <v>12.4</v>
      </c>
      <c r="AI33" s="2859"/>
      <c r="AJ33" s="1509">
        <f t="shared" si="5"/>
        <v>0.08</v>
      </c>
      <c r="AK33" s="1509"/>
      <c r="AL33" s="2806"/>
    </row>
    <row r="34" spans="1:38" ht="18" customHeight="1">
      <c r="A34" s="2824" t="s">
        <v>907</v>
      </c>
      <c r="B34" s="2824"/>
      <c r="C34" s="2824"/>
      <c r="D34" s="619">
        <f>'Exhibit F'!P33</f>
        <v>0</v>
      </c>
      <c r="E34" s="1791"/>
      <c r="F34" s="619">
        <f>'Exhibit F'!AC33</f>
        <v>0</v>
      </c>
      <c r="G34" s="619"/>
      <c r="H34" s="619">
        <f>'Exhibit G'!P26</f>
        <v>0</v>
      </c>
      <c r="I34" s="1791"/>
      <c r="J34" s="619">
        <f>'Exhibit G'!AD26</f>
        <v>0.2</v>
      </c>
      <c r="K34" s="619"/>
      <c r="L34" s="1789">
        <v>0</v>
      </c>
      <c r="M34" s="1791"/>
      <c r="N34" s="1790">
        <v>0</v>
      </c>
      <c r="O34" s="619"/>
      <c r="P34" s="619">
        <f>'Exhibit I'!Q22</f>
        <v>10.600000000000014</v>
      </c>
      <c r="Q34" s="1791"/>
      <c r="R34" s="619">
        <f>'Exhibit I'!AF22</f>
        <v>78.7</v>
      </c>
      <c r="S34" s="619"/>
      <c r="T34" s="2836"/>
      <c r="U34" s="2836"/>
      <c r="V34" s="1791">
        <f>SUM(D34)+SUM(H34)+SUM(L34)+SUM(P34)</f>
        <v>10.600000000000014</v>
      </c>
      <c r="W34" s="1418"/>
      <c r="X34" s="1791">
        <f t="shared" si="3"/>
        <v>78.900000000000006</v>
      </c>
      <c r="Y34" s="2837"/>
      <c r="Z34" s="2838"/>
      <c r="AA34" s="1418"/>
      <c r="AB34" s="1788">
        <v>14.3</v>
      </c>
      <c r="AC34" s="619"/>
      <c r="AD34" s="1791">
        <f>'Cashflow Governmental'!AE38</f>
        <v>85.399999999999991</v>
      </c>
      <c r="AE34" s="1804"/>
      <c r="AF34" s="3540"/>
      <c r="AG34" s="2837"/>
      <c r="AH34" s="1790">
        <f t="shared" si="4"/>
        <v>-6.5</v>
      </c>
      <c r="AI34" s="2860"/>
      <c r="AJ34" s="1509">
        <f>ROUND(AH34/AD34,3)</f>
        <v>-7.5999999999999998E-2</v>
      </c>
      <c r="AK34" s="1509"/>
      <c r="AL34" s="2806"/>
    </row>
    <row r="35" spans="1:38" ht="18" customHeight="1">
      <c r="A35" s="2824" t="s">
        <v>1443</v>
      </c>
      <c r="B35" s="2824"/>
      <c r="C35" s="2824"/>
      <c r="D35" s="619">
        <f>'Exhibit F'!P34</f>
        <v>0</v>
      </c>
      <c r="E35" s="1791"/>
      <c r="F35" s="619">
        <f>'Exhibit F'!AC34</f>
        <v>0</v>
      </c>
      <c r="G35" s="619"/>
      <c r="H35" s="619">
        <f>'Exhibit G'!P27</f>
        <v>0</v>
      </c>
      <c r="I35" s="1791"/>
      <c r="J35" s="619">
        <f>'Exhibit G'!AD27</f>
        <v>18.7</v>
      </c>
      <c r="K35" s="619"/>
      <c r="L35" s="1789">
        <v>0</v>
      </c>
      <c r="M35" s="1791"/>
      <c r="N35" s="1790">
        <v>0</v>
      </c>
      <c r="O35" s="619"/>
      <c r="P35" s="619">
        <v>0</v>
      </c>
      <c r="Q35" s="1791"/>
      <c r="R35" s="619">
        <v>0</v>
      </c>
      <c r="S35" s="619"/>
      <c r="T35" s="2836"/>
      <c r="U35" s="2836"/>
      <c r="V35" s="1791">
        <f>SUM(D35)+SUM(H35)+SUM(L35)+SUM(P35)</f>
        <v>0</v>
      </c>
      <c r="W35" s="1418"/>
      <c r="X35" s="1791">
        <f>SUM(F35)+SUM(J35)+SUM(N35)+SUM(R35)</f>
        <v>18.7</v>
      </c>
      <c r="Y35" s="2837"/>
      <c r="Z35" s="2838"/>
      <c r="AA35" s="1418"/>
      <c r="AB35" s="1788">
        <v>0</v>
      </c>
      <c r="AC35" s="619"/>
      <c r="AD35" s="1791">
        <f>'Cashflow Governmental'!AE39</f>
        <v>0</v>
      </c>
      <c r="AE35" s="1804"/>
      <c r="AF35" s="3540"/>
      <c r="AG35" s="2837"/>
      <c r="AH35" s="1790">
        <f>ROUND(SUM(X35)-SUM(AD35),1)</f>
        <v>18.7</v>
      </c>
      <c r="AI35" s="2860"/>
      <c r="AJ35" s="1436">
        <f>ROUND(IF(AD35=0,1,-AH35/(AD35)),3)</f>
        <v>1</v>
      </c>
      <c r="AK35" s="1509"/>
      <c r="AL35" s="2806"/>
    </row>
    <row r="36" spans="1:38" ht="18" customHeight="1">
      <c r="A36" s="2824" t="s">
        <v>1444</v>
      </c>
      <c r="B36" s="2824"/>
      <c r="C36" s="2824"/>
      <c r="D36" s="619">
        <f>'Exhibit F'!P35</f>
        <v>6.1000000000000014</v>
      </c>
      <c r="E36" s="1791"/>
      <c r="F36" s="619">
        <f>'Exhibit F'!AC35</f>
        <v>22.5</v>
      </c>
      <c r="G36" s="619"/>
      <c r="H36" s="619">
        <v>0</v>
      </c>
      <c r="I36" s="1791"/>
      <c r="J36" s="619">
        <v>0</v>
      </c>
      <c r="K36" s="619"/>
      <c r="L36" s="1789">
        <v>0</v>
      </c>
      <c r="M36" s="1791"/>
      <c r="N36" s="1790">
        <v>0</v>
      </c>
      <c r="O36" s="619"/>
      <c r="P36" s="619">
        <v>0</v>
      </c>
      <c r="Q36" s="1791"/>
      <c r="R36" s="619">
        <v>0</v>
      </c>
      <c r="S36" s="619"/>
      <c r="T36" s="2836"/>
      <c r="U36" s="2836"/>
      <c r="V36" s="1791">
        <f>SUM(D36)+SUM(H36)+SUM(L36)+SUM(P36)</f>
        <v>6.1000000000000014</v>
      </c>
      <c r="W36" s="1418"/>
      <c r="X36" s="1791">
        <f t="shared" ref="X36" si="6">SUM(F36)+SUM(J36)+SUM(N36)+SUM(R36)</f>
        <v>22.5</v>
      </c>
      <c r="Y36" s="2837"/>
      <c r="Z36" s="2838"/>
      <c r="AA36" s="1418"/>
      <c r="AB36" s="1788">
        <v>0</v>
      </c>
      <c r="AC36" s="619"/>
      <c r="AD36" s="1791">
        <v>0</v>
      </c>
      <c r="AE36" s="1804"/>
      <c r="AF36" s="3540"/>
      <c r="AG36" s="2837"/>
      <c r="AH36" s="1790">
        <f t="shared" ref="AH36" si="7">ROUND(SUM(X36)-SUM(AD36),1)</f>
        <v>22.5</v>
      </c>
      <c r="AI36" s="2860"/>
      <c r="AJ36" s="1436">
        <f>ROUND(IF(AD36=0,1,-AH36/(AD36)),3)</f>
        <v>1</v>
      </c>
      <c r="AK36" s="1509"/>
      <c r="AL36" s="2806"/>
    </row>
    <row r="37" spans="1:38" ht="18" customHeight="1">
      <c r="A37" s="2823" t="s">
        <v>908</v>
      </c>
      <c r="B37" s="2824"/>
      <c r="C37" s="2824"/>
      <c r="D37" s="1510">
        <f>ROUND(SUM(D28:D36),1)</f>
        <v>566.6</v>
      </c>
      <c r="E37" s="2283"/>
      <c r="F37" s="1801">
        <f>ROUND(SUM(F28:F36),1)</f>
        <v>4044.6</v>
      </c>
      <c r="G37" s="23"/>
      <c r="H37" s="1801">
        <f>ROUND(SUM(H28:H36),1)</f>
        <v>144</v>
      </c>
      <c r="I37" s="1476"/>
      <c r="J37" s="1801">
        <f>ROUND(SUM(J28:J36),1)</f>
        <v>1023.2</v>
      </c>
      <c r="K37" s="23"/>
      <c r="L37" s="1801">
        <f>ROUND(SUM(L28:L36),1)</f>
        <v>549.9</v>
      </c>
      <c r="M37" s="1476"/>
      <c r="N37" s="1801">
        <f>ROUND(SUM(N28:N36),1)</f>
        <v>3660.7</v>
      </c>
      <c r="O37" s="23"/>
      <c r="P37" s="1801">
        <f>ROUND(SUM(P28:P36),1)</f>
        <v>42</v>
      </c>
      <c r="Q37" s="1476"/>
      <c r="R37" s="1801">
        <f>ROUND(SUM(R28:R36),1)</f>
        <v>299.2</v>
      </c>
      <c r="S37" s="23"/>
      <c r="T37" s="2842"/>
      <c r="U37" s="2842"/>
      <c r="V37" s="1801">
        <f>ROUND(SUM(V28:V36),1)</f>
        <v>1302.5</v>
      </c>
      <c r="W37" s="1476"/>
      <c r="X37" s="1801">
        <f>ROUND(SUM(X28:X36),1)</f>
        <v>9027.7000000000007</v>
      </c>
      <c r="Y37" s="3812"/>
      <c r="Z37" s="2313"/>
      <c r="AA37" s="1476"/>
      <c r="AB37" s="1801">
        <f>ROUND(SUM(AB28:AB36),1)</f>
        <v>1405.9</v>
      </c>
      <c r="AC37" s="23"/>
      <c r="AD37" s="1801">
        <f>ROUND(SUM(AD28:AD36),1)</f>
        <v>10571.2</v>
      </c>
      <c r="AE37" s="1476"/>
      <c r="AF37" s="3541"/>
      <c r="AG37" s="1476"/>
      <c r="AH37" s="1833">
        <f t="shared" si="4"/>
        <v>-1543.5</v>
      </c>
      <c r="AI37" s="2253"/>
      <c r="AJ37" s="1511">
        <f t="shared" si="5"/>
        <v>-0.14599999999999999</v>
      </c>
      <c r="AK37" s="2861"/>
      <c r="AL37" s="2862"/>
    </row>
    <row r="38" spans="1:38" ht="18" customHeight="1">
      <c r="A38" s="2824"/>
      <c r="B38" s="2824"/>
      <c r="C38" s="2824"/>
      <c r="D38" s="1512"/>
      <c r="E38" s="615"/>
      <c r="F38" s="1802"/>
      <c r="G38" s="619"/>
      <c r="H38" s="1802"/>
      <c r="I38" s="1418"/>
      <c r="J38" s="1802"/>
      <c r="K38" s="619"/>
      <c r="L38" s="1802"/>
      <c r="M38" s="1418"/>
      <c r="N38" s="1802"/>
      <c r="O38" s="619"/>
      <c r="P38" s="1802"/>
      <c r="Q38" s="1418"/>
      <c r="R38" s="1802"/>
      <c r="S38" s="619"/>
      <c r="T38" s="2836"/>
      <c r="U38" s="2836"/>
      <c r="V38" s="1802"/>
      <c r="W38" s="1418"/>
      <c r="X38" s="1802"/>
      <c r="Y38" s="1418"/>
      <c r="Z38" s="2838"/>
      <c r="AA38" s="1418"/>
      <c r="AB38" s="1802"/>
      <c r="AC38" s="619"/>
      <c r="AD38" s="1802"/>
      <c r="AE38" s="1418"/>
      <c r="AF38" s="3540"/>
      <c r="AG38" s="1418"/>
      <c r="AH38" s="1418"/>
      <c r="AI38" s="612"/>
      <c r="AJ38" s="2853"/>
      <c r="AK38" s="2854"/>
      <c r="AL38" s="2806"/>
    </row>
    <row r="39" spans="1:38" ht="18" customHeight="1">
      <c r="A39" s="2823" t="s">
        <v>1170</v>
      </c>
      <c r="B39" s="2824"/>
      <c r="C39" s="2824"/>
      <c r="D39" s="614"/>
      <c r="E39" s="614"/>
      <c r="F39" s="619"/>
      <c r="G39" s="619"/>
      <c r="H39" s="619"/>
      <c r="I39" s="619"/>
      <c r="J39" s="619"/>
      <c r="K39" s="619"/>
      <c r="L39" s="619"/>
      <c r="M39" s="619"/>
      <c r="N39" s="619"/>
      <c r="O39" s="619"/>
      <c r="P39" s="619"/>
      <c r="Q39" s="619"/>
      <c r="R39" s="619"/>
      <c r="S39" s="619"/>
      <c r="T39" s="2836"/>
      <c r="U39" s="2836"/>
      <c r="V39" s="1418"/>
      <c r="W39" s="1418"/>
      <c r="X39" s="619"/>
      <c r="Y39" s="619"/>
      <c r="Z39" s="2838"/>
      <c r="AA39" s="1418"/>
      <c r="AB39" s="3495"/>
      <c r="AC39" s="619"/>
      <c r="AD39" s="3495"/>
      <c r="AE39" s="619"/>
      <c r="AF39" s="3540"/>
      <c r="AG39" s="619"/>
      <c r="AH39" s="619"/>
      <c r="AI39" s="2259"/>
      <c r="AJ39" s="1509"/>
      <c r="AK39" s="2854"/>
      <c r="AL39" s="2806"/>
    </row>
    <row r="40" spans="1:38" ht="18" customHeight="1">
      <c r="A40" s="2824" t="s">
        <v>909</v>
      </c>
      <c r="B40" s="2824"/>
      <c r="C40" s="2824"/>
      <c r="D40" s="619">
        <f>'Exhibit F'!P38</f>
        <v>74.300000000000182</v>
      </c>
      <c r="E40" s="619"/>
      <c r="F40" s="619">
        <f>'Exhibit F'!AC38</f>
        <v>1889.8</v>
      </c>
      <c r="G40" s="619"/>
      <c r="H40" s="619">
        <f>'Exhibit G'!P30</f>
        <v>40.700000000000045</v>
      </c>
      <c r="I40" s="619"/>
      <c r="J40" s="619">
        <f>'Exhibit G'!AD30</f>
        <v>496</v>
      </c>
      <c r="K40" s="619"/>
      <c r="L40" s="1789">
        <v>0</v>
      </c>
      <c r="M40" s="1791"/>
      <c r="N40" s="1790">
        <v>0</v>
      </c>
      <c r="O40" s="619"/>
      <c r="P40" s="1789">
        <f>'Exhibit I'!Q25</f>
        <v>0</v>
      </c>
      <c r="Q40" s="1791"/>
      <c r="R40" s="1789">
        <f>'Exhibit I'!AF25</f>
        <v>0</v>
      </c>
      <c r="S40" s="619"/>
      <c r="T40" s="2836"/>
      <c r="U40" s="2836"/>
      <c r="V40" s="1791">
        <f>SUM(D40)+SUM(H40)+SUM(L40)+SUM(P40)</f>
        <v>115.00000000000023</v>
      </c>
      <c r="W40" s="1418"/>
      <c r="X40" s="1791">
        <f>SUM(F40)+SUM(J40)+SUM(N40)+SUM(R40)</f>
        <v>2385.8000000000002</v>
      </c>
      <c r="Y40" s="619"/>
      <c r="Z40" s="2838"/>
      <c r="AA40" s="1418"/>
      <c r="AB40" s="1788">
        <v>98.8</v>
      </c>
      <c r="AC40" s="619"/>
      <c r="AD40" s="1804">
        <f>'Cashflow Governmental'!AE43</f>
        <v>2395.3000000000002</v>
      </c>
      <c r="AE40" s="1791"/>
      <c r="AF40" s="3540"/>
      <c r="AG40" s="619"/>
      <c r="AH40" s="1791">
        <f t="shared" ref="AH40:AH45" si="8">ROUND(SUM(X40)-SUM(AD40),1)</f>
        <v>-9.5</v>
      </c>
      <c r="AI40" s="2859"/>
      <c r="AJ40" s="1509">
        <f t="shared" ref="AJ40:AJ45" si="9">ROUND(AH40/AD40,3)</f>
        <v>-4.0000000000000001E-3</v>
      </c>
      <c r="AK40" s="1509"/>
      <c r="AL40" s="2806"/>
    </row>
    <row r="41" spans="1:38" ht="18" customHeight="1">
      <c r="A41" s="2824" t="s">
        <v>910</v>
      </c>
      <c r="B41" s="2824"/>
      <c r="C41" s="2824"/>
      <c r="D41" s="619">
        <f>'Exhibit F'!P39</f>
        <v>5.4000000000000057</v>
      </c>
      <c r="E41" s="619"/>
      <c r="F41" s="619">
        <f>'Exhibit F'!AC39</f>
        <v>185.9</v>
      </c>
      <c r="G41" s="619"/>
      <c r="H41" s="619">
        <f>'Exhibit G'!P31</f>
        <v>4.1000000000000014</v>
      </c>
      <c r="I41" s="619"/>
      <c r="J41" s="1805">
        <f>'Exhibit G'!AD31</f>
        <v>59.9</v>
      </c>
      <c r="K41" s="619"/>
      <c r="L41" s="1789">
        <v>0</v>
      </c>
      <c r="M41" s="1791"/>
      <c r="N41" s="1790">
        <v>0</v>
      </c>
      <c r="O41" s="619"/>
      <c r="P41" s="619">
        <f>'Exhibit I'!Q26</f>
        <v>0.70000000000000018</v>
      </c>
      <c r="Q41" s="1791"/>
      <c r="R41" s="619">
        <f>'Exhibit I'!AF26</f>
        <v>5.8</v>
      </c>
      <c r="S41" s="619"/>
      <c r="T41" s="2836"/>
      <c r="U41" s="2836"/>
      <c r="V41" s="1791">
        <f>SUM(D41)+SUM(H41)+SUM(L41)+SUM(P41)</f>
        <v>10.200000000000006</v>
      </c>
      <c r="W41" s="1418"/>
      <c r="X41" s="1791">
        <f>SUM(F41)+SUM(J41)+SUM(N41)+SUM(R41)</f>
        <v>251.60000000000002</v>
      </c>
      <c r="Y41" s="619"/>
      <c r="Z41" s="2838"/>
      <c r="AA41" s="1418"/>
      <c r="AB41" s="1788">
        <v>2.9</v>
      </c>
      <c r="AC41" s="619"/>
      <c r="AD41" s="1804">
        <f>'Cashflow Governmental'!AE44</f>
        <v>296.3</v>
      </c>
      <c r="AE41" s="1791"/>
      <c r="AF41" s="3540"/>
      <c r="AG41" s="619"/>
      <c r="AH41" s="1791">
        <f t="shared" si="8"/>
        <v>-44.7</v>
      </c>
      <c r="AI41" s="2859"/>
      <c r="AJ41" s="1509">
        <f t="shared" si="9"/>
        <v>-0.151</v>
      </c>
      <c r="AK41" s="1509"/>
      <c r="AL41" s="2806"/>
    </row>
    <row r="42" spans="1:38" ht="18" customHeight="1">
      <c r="A42" s="2824" t="s">
        <v>911</v>
      </c>
      <c r="B42" s="2824"/>
      <c r="C42" s="2824"/>
      <c r="D42" s="619">
        <f>'Exhibit F'!P40</f>
        <v>21.899999999999977</v>
      </c>
      <c r="E42" s="619"/>
      <c r="F42" s="619">
        <f>'Exhibit F'!AC40</f>
        <v>810.1</v>
      </c>
      <c r="G42" s="619"/>
      <c r="H42" s="619">
        <f>'Exhibit G'!P32</f>
        <v>1.2000000000000028</v>
      </c>
      <c r="I42" s="619"/>
      <c r="J42" s="619">
        <f>'Exhibit G'!AD32</f>
        <v>94.7</v>
      </c>
      <c r="K42" s="619"/>
      <c r="L42" s="1789">
        <v>0</v>
      </c>
      <c r="M42" s="1791"/>
      <c r="N42" s="1790">
        <v>0</v>
      </c>
      <c r="O42" s="619"/>
      <c r="P42" s="1789">
        <v>0</v>
      </c>
      <c r="Q42" s="1791"/>
      <c r="R42" s="1789">
        <v>0</v>
      </c>
      <c r="S42" s="619"/>
      <c r="T42" s="2836"/>
      <c r="U42" s="2836"/>
      <c r="V42" s="1791">
        <f>SUM(D42)+SUM(H42)+SUM(L42)+SUM(P42)</f>
        <v>23.09999999999998</v>
      </c>
      <c r="W42" s="1418"/>
      <c r="X42" s="1791">
        <f>SUM(F42)+SUM(J42)+SUM(N42)+SUM(R42)</f>
        <v>904.80000000000007</v>
      </c>
      <c r="Y42" s="619"/>
      <c r="Z42" s="2838"/>
      <c r="AA42" s="1418"/>
      <c r="AB42" s="1788">
        <v>1.4</v>
      </c>
      <c r="AC42" s="619"/>
      <c r="AD42" s="1804">
        <f>'Cashflow Governmental'!AE45</f>
        <v>1043.5</v>
      </c>
      <c r="AE42" s="1791"/>
      <c r="AF42" s="3540"/>
      <c r="AG42" s="619"/>
      <c r="AH42" s="1791">
        <f t="shared" si="8"/>
        <v>-138.69999999999999</v>
      </c>
      <c r="AI42" s="2859"/>
      <c r="AJ42" s="1509">
        <f t="shared" si="9"/>
        <v>-0.13300000000000001</v>
      </c>
      <c r="AK42" s="1509"/>
      <c r="AL42" s="2806"/>
    </row>
    <row r="43" spans="1:38" ht="18" customHeight="1">
      <c r="A43" s="2824" t="s">
        <v>912</v>
      </c>
      <c r="B43" s="2824"/>
      <c r="C43" s="2824"/>
      <c r="D43" s="619">
        <f>'Exhibit F'!P41</f>
        <v>-9.9999999999994316E-2</v>
      </c>
      <c r="E43" s="619"/>
      <c r="F43" s="619">
        <f>'Exhibit F'!AC41</f>
        <v>146.4</v>
      </c>
      <c r="G43" s="619"/>
      <c r="H43" s="619">
        <f>'Exhibit G'!P33</f>
        <v>0.49999999999999822</v>
      </c>
      <c r="I43" s="619"/>
      <c r="J43" s="619">
        <f>'Exhibit G'!AD33</f>
        <v>18.3</v>
      </c>
      <c r="K43" s="619"/>
      <c r="L43" s="1789">
        <v>0</v>
      </c>
      <c r="M43" s="1791"/>
      <c r="N43" s="1790">
        <v>0</v>
      </c>
      <c r="O43" s="619"/>
      <c r="P43" s="1789">
        <v>0</v>
      </c>
      <c r="Q43" s="1791"/>
      <c r="R43" s="1789">
        <v>0</v>
      </c>
      <c r="S43" s="619"/>
      <c r="T43" s="2836"/>
      <c r="U43" s="2836"/>
      <c r="V43" s="1791">
        <f>SUM(D43)+SUM(H43)+SUM(L43)+SUM(P43)</f>
        <v>0.40000000000000391</v>
      </c>
      <c r="W43" s="1418"/>
      <c r="X43" s="1791">
        <f>SUM(F43)+SUM(J43)+SUM(N43)+SUM(R43)</f>
        <v>164.70000000000002</v>
      </c>
      <c r="Y43" s="619"/>
      <c r="Z43" s="2838"/>
      <c r="AA43" s="1418"/>
      <c r="AB43" s="1788">
        <v>-3.1</v>
      </c>
      <c r="AC43" s="619"/>
      <c r="AD43" s="1804">
        <f>'Cashflow Governmental'!AE46</f>
        <v>-1.9000000000000004</v>
      </c>
      <c r="AE43" s="1791"/>
      <c r="AF43" s="3540"/>
      <c r="AG43" s="619"/>
      <c r="AH43" s="1791">
        <f t="shared" si="8"/>
        <v>166.6</v>
      </c>
      <c r="AI43" s="2859"/>
      <c r="AJ43" s="2232">
        <f>-ROUND(AH43/AD43,3)</f>
        <v>87.683999999999997</v>
      </c>
      <c r="AK43" s="1509"/>
      <c r="AL43" s="2806"/>
    </row>
    <row r="44" spans="1:38" ht="18" customHeight="1">
      <c r="A44" s="2824" t="s">
        <v>913</v>
      </c>
      <c r="B44" s="2824"/>
      <c r="C44" s="2824"/>
      <c r="D44" s="619">
        <f>'Exhibit F'!P42</f>
        <v>0</v>
      </c>
      <c r="E44" s="1791"/>
      <c r="F44" s="619">
        <f>'Exhibit F'!AC42</f>
        <v>0</v>
      </c>
      <c r="G44" s="619"/>
      <c r="H44" s="619">
        <f>'Exhibit G'!P34</f>
        <v>39.600000000000009</v>
      </c>
      <c r="I44" s="1791"/>
      <c r="J44" s="619">
        <f>'Exhibit G'!AD34</f>
        <v>245.9</v>
      </c>
      <c r="K44" s="619"/>
      <c r="L44" s="1789">
        <v>0</v>
      </c>
      <c r="M44" s="1791"/>
      <c r="N44" s="1790">
        <v>0</v>
      </c>
      <c r="O44" s="619"/>
      <c r="P44" s="619">
        <f>'Exhibit I'!Q27</f>
        <v>49.899999999999991</v>
      </c>
      <c r="Q44" s="1791"/>
      <c r="R44" s="619">
        <f>'Exhibit I'!AF27</f>
        <v>310.7</v>
      </c>
      <c r="S44" s="619"/>
      <c r="T44" s="2836"/>
      <c r="U44" s="2836"/>
      <c r="V44" s="1791">
        <f>SUM(D44)+SUM(H44)+SUM(L44)+SUM(P44)</f>
        <v>89.5</v>
      </c>
      <c r="W44" s="1418"/>
      <c r="X44" s="1791">
        <f>SUM(F44)+SUM(J44)+SUM(N44)+SUM(R44)</f>
        <v>556.6</v>
      </c>
      <c r="Y44" s="619"/>
      <c r="Z44" s="2838"/>
      <c r="AA44" s="1418"/>
      <c r="AB44" s="1788">
        <v>107.4</v>
      </c>
      <c r="AC44" s="619"/>
      <c r="AD44" s="1804">
        <f>'Cashflow Governmental'!AE47</f>
        <v>712.8</v>
      </c>
      <c r="AE44" s="1791"/>
      <c r="AF44" s="3540"/>
      <c r="AG44" s="619"/>
      <c r="AH44" s="1791">
        <f t="shared" si="8"/>
        <v>-156.19999999999999</v>
      </c>
      <c r="AI44" s="2860"/>
      <c r="AJ44" s="1509">
        <f t="shared" si="9"/>
        <v>-0.219</v>
      </c>
      <c r="AK44" s="1509"/>
      <c r="AL44" s="2806"/>
    </row>
    <row r="45" spans="1:38" ht="18" customHeight="1">
      <c r="A45" s="2823" t="s">
        <v>908</v>
      </c>
      <c r="B45" s="2824"/>
      <c r="C45" s="2824"/>
      <c r="D45" s="1510">
        <f>ROUND(SUM(D40:D44),1)</f>
        <v>101.5</v>
      </c>
      <c r="E45" s="2283"/>
      <c r="F45" s="1801">
        <f>ROUND(SUM(F40:F44),1)</f>
        <v>3032.2</v>
      </c>
      <c r="G45" s="23"/>
      <c r="H45" s="1801">
        <f>ROUND(SUM(H40:H44),1)</f>
        <v>86.1</v>
      </c>
      <c r="I45" s="1476"/>
      <c r="J45" s="1801">
        <f>ROUND(SUM(J40:J44),1)</f>
        <v>914.8</v>
      </c>
      <c r="K45" s="23"/>
      <c r="L45" s="1803">
        <f>ROUND(SUM(L40:L44),1)</f>
        <v>0</v>
      </c>
      <c r="M45" s="2841"/>
      <c r="N45" s="1803">
        <f>ROUND(SUM(N40:N44),1)</f>
        <v>0</v>
      </c>
      <c r="O45" s="23"/>
      <c r="P45" s="1801">
        <f>ROUND(SUM(P40:P44),1)</f>
        <v>50.6</v>
      </c>
      <c r="Q45" s="1476"/>
      <c r="R45" s="1801">
        <f>ROUND(SUM(R40:R44),1)</f>
        <v>316.5</v>
      </c>
      <c r="S45" s="23"/>
      <c r="T45" s="2842"/>
      <c r="U45" s="2842"/>
      <c r="V45" s="1801">
        <f>ROUND(SUM(V40:V44),1)</f>
        <v>238.2</v>
      </c>
      <c r="W45" s="1476"/>
      <c r="X45" s="1801">
        <f>ROUND(SUM(X40:X44),1)</f>
        <v>4263.5</v>
      </c>
      <c r="Y45" s="3812"/>
      <c r="Z45" s="2313"/>
      <c r="AA45" s="1476"/>
      <c r="AB45" s="1801">
        <f>ROUND(SUM(AB40:AB44),1)</f>
        <v>207.4</v>
      </c>
      <c r="AC45" s="23"/>
      <c r="AD45" s="1801">
        <f>ROUND(SUM(AD40:AD44),1)</f>
        <v>4446</v>
      </c>
      <c r="AE45" s="1476"/>
      <c r="AF45" s="3541"/>
      <c r="AG45" s="1476"/>
      <c r="AH45" s="3381">
        <f t="shared" si="8"/>
        <v>-182.5</v>
      </c>
      <c r="AI45" s="2253"/>
      <c r="AJ45" s="1511">
        <f t="shared" si="9"/>
        <v>-4.1000000000000002E-2</v>
      </c>
      <c r="AK45" s="2861"/>
      <c r="AL45" s="2862"/>
    </row>
    <row r="46" spans="1:38" ht="18" customHeight="1">
      <c r="A46" s="2824"/>
      <c r="B46" s="2824"/>
      <c r="C46" s="2824"/>
      <c r="D46" s="1512"/>
      <c r="E46" s="615"/>
      <c r="F46" s="1802"/>
      <c r="G46" s="619"/>
      <c r="H46" s="1802"/>
      <c r="I46" s="1418"/>
      <c r="J46" s="1802"/>
      <c r="K46" s="619"/>
      <c r="L46" s="1802"/>
      <c r="M46" s="1418"/>
      <c r="N46" s="1802"/>
      <c r="O46" s="619"/>
      <c r="P46" s="1802"/>
      <c r="Q46" s="1418"/>
      <c r="R46" s="1802"/>
      <c r="S46" s="619"/>
      <c r="T46" s="2836"/>
      <c r="U46" s="2836"/>
      <c r="V46" s="1802"/>
      <c r="W46" s="1418"/>
      <c r="X46" s="1802"/>
      <c r="Y46" s="1418"/>
      <c r="Z46" s="2838"/>
      <c r="AA46" s="1418"/>
      <c r="AB46" s="1802"/>
      <c r="AC46" s="619"/>
      <c r="AD46" s="1802"/>
      <c r="AE46" s="1418"/>
      <c r="AF46" s="3540"/>
      <c r="AG46" s="1418"/>
      <c r="AH46" s="1418"/>
      <c r="AI46" s="612"/>
      <c r="AJ46" s="2853"/>
      <c r="AK46" s="2854"/>
      <c r="AL46" s="2806"/>
    </row>
    <row r="47" spans="1:38" ht="18" customHeight="1">
      <c r="A47" s="2855" t="s">
        <v>1171</v>
      </c>
      <c r="B47" s="2824"/>
      <c r="C47" s="2824"/>
      <c r="D47" s="614"/>
      <c r="E47" s="614"/>
      <c r="F47" s="619"/>
      <c r="G47" s="619"/>
      <c r="H47" s="619" t="s">
        <v>15</v>
      </c>
      <c r="I47" s="619"/>
      <c r="J47" s="619"/>
      <c r="K47" s="619"/>
      <c r="L47" s="619"/>
      <c r="M47" s="619"/>
      <c r="N47" s="619"/>
      <c r="O47" s="619"/>
      <c r="P47" s="619"/>
      <c r="Q47" s="619"/>
      <c r="R47" s="619"/>
      <c r="S47" s="619"/>
      <c r="T47" s="2836"/>
      <c r="U47" s="2836"/>
      <c r="V47" s="1418"/>
      <c r="W47" s="1418"/>
      <c r="X47" s="619"/>
      <c r="Y47" s="619"/>
      <c r="Z47" s="2838"/>
      <c r="AA47" s="1418"/>
      <c r="AB47" s="1418"/>
      <c r="AC47" s="619"/>
      <c r="AD47" s="619"/>
      <c r="AE47" s="619"/>
      <c r="AF47" s="3540"/>
      <c r="AG47" s="619"/>
      <c r="AH47" s="619"/>
      <c r="AI47" s="2259"/>
      <c r="AJ47" s="1509"/>
      <c r="AK47" s="2854"/>
      <c r="AL47" s="2806"/>
    </row>
    <row r="48" spans="1:38" ht="18" customHeight="1">
      <c r="A48" s="2824" t="s">
        <v>914</v>
      </c>
      <c r="B48" s="2824"/>
      <c r="C48" s="2824"/>
      <c r="D48" s="1789">
        <f>'Exhibit F'!P45</f>
        <v>0</v>
      </c>
      <c r="E48" s="619"/>
      <c r="F48" s="619">
        <f>'Exhibit F'!AC45</f>
        <v>0</v>
      </c>
      <c r="G48" s="619"/>
      <c r="H48" s="1789">
        <v>0</v>
      </c>
      <c r="I48" s="1791"/>
      <c r="J48" s="1790">
        <v>0</v>
      </c>
      <c r="K48" s="619"/>
      <c r="L48" s="1790">
        <v>0</v>
      </c>
      <c r="M48" s="1790"/>
      <c r="N48" s="1790">
        <v>0</v>
      </c>
      <c r="O48" s="619"/>
      <c r="P48" s="1789">
        <v>0</v>
      </c>
      <c r="Q48" s="1791"/>
      <c r="R48" s="1790">
        <v>0</v>
      </c>
      <c r="S48" s="619"/>
      <c r="T48" s="2836"/>
      <c r="U48" s="2836"/>
      <c r="V48" s="1790">
        <f t="shared" ref="V48:V52" si="10">SUM(D48)+SUM(H48)+SUM(L48)+SUM(P48)</f>
        <v>0</v>
      </c>
      <c r="W48" s="1418"/>
      <c r="X48" s="1791">
        <f t="shared" ref="X48:X52" si="11">SUM(F48)+SUM(J48)+SUM(N48)+SUM(R48)</f>
        <v>0</v>
      </c>
      <c r="Y48" s="2837"/>
      <c r="Z48" s="2838"/>
      <c r="AA48" s="1418"/>
      <c r="AB48" s="1788">
        <v>0</v>
      </c>
      <c r="AC48" s="619"/>
      <c r="AD48" s="1804">
        <f>'Cashflow Governmental'!AE50</f>
        <v>0</v>
      </c>
      <c r="AE48" s="1791"/>
      <c r="AF48" s="3540"/>
      <c r="AG48" s="2837"/>
      <c r="AH48" s="1791">
        <f t="shared" ref="AH48:AH54" si="12">ROUND(SUM(X48)-SUM(AD48),1)</f>
        <v>0</v>
      </c>
      <c r="AI48" s="2859"/>
      <c r="AJ48" s="1436">
        <f>ROUND(IF(AD48=0,0,-AH48/(AD48)),3)</f>
        <v>0</v>
      </c>
      <c r="AK48" s="1509"/>
      <c r="AL48" s="2806"/>
    </row>
    <row r="49" spans="1:38" ht="18" customHeight="1">
      <c r="A49" s="2824" t="s">
        <v>915</v>
      </c>
      <c r="B49" s="2824"/>
      <c r="C49" s="2824"/>
      <c r="D49" s="1789">
        <f>'Exhibit F'!P46</f>
        <v>135.09999999999997</v>
      </c>
      <c r="E49" s="619"/>
      <c r="F49" s="619">
        <f>'Exhibit F'!AC46</f>
        <v>701.9</v>
      </c>
      <c r="G49" s="619"/>
      <c r="H49" s="1789">
        <v>0</v>
      </c>
      <c r="I49" s="1791"/>
      <c r="J49" s="1790">
        <v>0</v>
      </c>
      <c r="K49" s="619"/>
      <c r="L49" s="1790">
        <v>0</v>
      </c>
      <c r="M49" s="1790"/>
      <c r="N49" s="1790">
        <v>0</v>
      </c>
      <c r="O49" s="619"/>
      <c r="P49" s="1789">
        <v>0</v>
      </c>
      <c r="Q49" s="1791"/>
      <c r="R49" s="1790">
        <v>0</v>
      </c>
      <c r="S49" s="619"/>
      <c r="T49" s="2836"/>
      <c r="U49" s="2836"/>
      <c r="V49" s="1791">
        <f t="shared" si="10"/>
        <v>135.09999999999997</v>
      </c>
      <c r="W49" s="1418"/>
      <c r="X49" s="1791">
        <f t="shared" si="11"/>
        <v>701.9</v>
      </c>
      <c r="Y49" s="2837"/>
      <c r="Z49" s="2838"/>
      <c r="AA49" s="1418"/>
      <c r="AB49" s="1788">
        <v>163.19999999999999</v>
      </c>
      <c r="AC49" s="619"/>
      <c r="AD49" s="1804">
        <f>'Cashflow Governmental'!AE51</f>
        <v>582.70000000000005</v>
      </c>
      <c r="AE49" s="1804"/>
      <c r="AF49" s="3540"/>
      <c r="AG49" s="2837"/>
      <c r="AH49" s="1791">
        <f t="shared" si="12"/>
        <v>119.2</v>
      </c>
      <c r="AI49" s="2859"/>
      <c r="AJ49" s="1509">
        <f>ROUND(AH49/AD49,3)</f>
        <v>0.20499999999999999</v>
      </c>
      <c r="AK49" s="1509"/>
      <c r="AL49" s="2806"/>
    </row>
    <row r="50" spans="1:38" ht="18" customHeight="1">
      <c r="A50" s="2824" t="s">
        <v>916</v>
      </c>
      <c r="B50" s="2824"/>
      <c r="C50" s="2824"/>
      <c r="D50" s="1789">
        <f>'Exhibit F'!P47</f>
        <v>1.6000000000000005</v>
      </c>
      <c r="E50" s="619"/>
      <c r="F50" s="619">
        <f>'Exhibit F'!AC47</f>
        <v>6.4</v>
      </c>
      <c r="G50" s="619"/>
      <c r="H50" s="1789">
        <v>0</v>
      </c>
      <c r="I50" s="1791"/>
      <c r="J50" s="1790">
        <v>0</v>
      </c>
      <c r="K50" s="619"/>
      <c r="L50" s="1790">
        <v>0</v>
      </c>
      <c r="M50" s="1790"/>
      <c r="N50" s="1790">
        <v>0</v>
      </c>
      <c r="O50" s="619"/>
      <c r="P50" s="1789">
        <v>0</v>
      </c>
      <c r="Q50" s="1791"/>
      <c r="R50" s="1790">
        <v>0</v>
      </c>
      <c r="S50" s="619"/>
      <c r="T50" s="2836"/>
      <c r="U50" s="2836"/>
      <c r="V50" s="1791">
        <f t="shared" si="10"/>
        <v>1.6000000000000005</v>
      </c>
      <c r="W50" s="1418"/>
      <c r="X50" s="1791">
        <f t="shared" si="11"/>
        <v>6.4</v>
      </c>
      <c r="Y50" s="2837"/>
      <c r="Z50" s="2838"/>
      <c r="AA50" s="1418"/>
      <c r="AB50" s="1788">
        <v>1</v>
      </c>
      <c r="AC50" s="619"/>
      <c r="AD50" s="1804">
        <f>'Cashflow Governmental'!AE52</f>
        <v>10.1</v>
      </c>
      <c r="AE50" s="1804"/>
      <c r="AF50" s="3540"/>
      <c r="AG50" s="2837"/>
      <c r="AH50" s="1791">
        <f t="shared" si="12"/>
        <v>-3.7</v>
      </c>
      <c r="AI50" s="2859"/>
      <c r="AJ50" s="1509">
        <f>ROUND(AH50/AD50,3)</f>
        <v>-0.36599999999999999</v>
      </c>
      <c r="AK50" s="1509"/>
      <c r="AL50" s="2806"/>
    </row>
    <row r="51" spans="1:38" ht="18" customHeight="1">
      <c r="A51" s="2824" t="s">
        <v>917</v>
      </c>
      <c r="B51" s="2824"/>
      <c r="C51" s="2824"/>
      <c r="D51" s="1789">
        <f>'Exhibit F'!P48</f>
        <v>0</v>
      </c>
      <c r="E51" s="1791"/>
      <c r="F51" s="619">
        <f>'Exhibit F'!AC48</f>
        <v>0</v>
      </c>
      <c r="G51" s="619"/>
      <c r="H51" s="1789">
        <v>0</v>
      </c>
      <c r="I51" s="1791"/>
      <c r="J51" s="1790">
        <v>0</v>
      </c>
      <c r="K51" s="619"/>
      <c r="L51" s="1791">
        <f>'Exhibit H'!N22</f>
        <v>65.800000000000011</v>
      </c>
      <c r="M51" s="1791"/>
      <c r="N51" s="1791">
        <f>'Exhibit H'!AA22</f>
        <v>389</v>
      </c>
      <c r="O51" s="619"/>
      <c r="P51" s="1788">
        <f>'Exhibit I'!Q30</f>
        <v>11.999999999999998</v>
      </c>
      <c r="Q51" s="1791"/>
      <c r="R51" s="1804">
        <f>'Exhibit I'!AF30</f>
        <v>59.6</v>
      </c>
      <c r="S51" s="619"/>
      <c r="T51" s="2836"/>
      <c r="U51" s="2836"/>
      <c r="V51" s="1791">
        <f t="shared" si="10"/>
        <v>77.800000000000011</v>
      </c>
      <c r="W51" s="1418"/>
      <c r="X51" s="1791">
        <f t="shared" si="11"/>
        <v>448.6</v>
      </c>
      <c r="Y51" s="2837"/>
      <c r="Z51" s="2838"/>
      <c r="AA51" s="1418"/>
      <c r="AB51" s="1788">
        <v>85.199999999999989</v>
      </c>
      <c r="AC51" s="619"/>
      <c r="AD51" s="1804">
        <f>'Cashflow Governmental'!AE53</f>
        <v>671.4</v>
      </c>
      <c r="AE51" s="1791"/>
      <c r="AF51" s="3540"/>
      <c r="AG51" s="2837"/>
      <c r="AH51" s="1791">
        <f t="shared" si="12"/>
        <v>-222.8</v>
      </c>
      <c r="AI51" s="2863"/>
      <c r="AJ51" s="1509">
        <f>ROUND(AH51/AD51,3)</f>
        <v>-0.33200000000000002</v>
      </c>
      <c r="AK51" s="1509"/>
      <c r="AL51" s="2806"/>
    </row>
    <row r="52" spans="1:38" ht="18" customHeight="1">
      <c r="A52" s="2824" t="s">
        <v>918</v>
      </c>
      <c r="B52" s="2824"/>
      <c r="C52" s="2824"/>
      <c r="D52" s="1789">
        <f>'Exhibit F'!P49</f>
        <v>0</v>
      </c>
      <c r="E52" s="1418"/>
      <c r="F52" s="619">
        <f>'Exhibit F'!AC49</f>
        <v>0.1</v>
      </c>
      <c r="G52" s="619"/>
      <c r="H52" s="1789">
        <v>0</v>
      </c>
      <c r="I52" s="1791"/>
      <c r="J52" s="1790">
        <v>0</v>
      </c>
      <c r="K52" s="619"/>
      <c r="L52" s="1790">
        <v>0</v>
      </c>
      <c r="M52" s="1790"/>
      <c r="N52" s="1790">
        <v>0</v>
      </c>
      <c r="O52" s="619"/>
      <c r="P52" s="1789">
        <v>0</v>
      </c>
      <c r="Q52" s="1791"/>
      <c r="R52" s="1790">
        <v>0</v>
      </c>
      <c r="S52" s="619"/>
      <c r="T52" s="2836"/>
      <c r="U52" s="2836"/>
      <c r="V52" s="1791">
        <f t="shared" si="10"/>
        <v>0</v>
      </c>
      <c r="W52" s="1418"/>
      <c r="X52" s="1791">
        <f t="shared" si="11"/>
        <v>0.1</v>
      </c>
      <c r="Y52" s="2837"/>
      <c r="Z52" s="2838"/>
      <c r="AA52" s="1418"/>
      <c r="AB52" s="1788">
        <v>0.4</v>
      </c>
      <c r="AC52" s="619"/>
      <c r="AD52" s="1804">
        <f>'Cashflow Governmental'!AE54</f>
        <v>1.3</v>
      </c>
      <c r="AE52" s="1791"/>
      <c r="AF52" s="3540"/>
      <c r="AG52" s="2837"/>
      <c r="AH52" s="1791">
        <f t="shared" si="12"/>
        <v>-1.2</v>
      </c>
      <c r="AI52" s="2863"/>
      <c r="AJ52" s="1436">
        <f>ROUND(IF(AD52=0,0,AH52/(AD52)),3)</f>
        <v>-0.92300000000000004</v>
      </c>
      <c r="AK52" s="1509"/>
      <c r="AL52" s="2806"/>
    </row>
    <row r="53" spans="1:38" ht="18" customHeight="1">
      <c r="A53" s="2767" t="s">
        <v>1373</v>
      </c>
      <c r="B53" s="2825"/>
      <c r="C53" s="2825"/>
      <c r="D53" s="1789">
        <f>'Exhibit F'!P50</f>
        <v>0.1</v>
      </c>
      <c r="E53" s="1418"/>
      <c r="F53" s="619">
        <f>'Exhibit F'!AC50</f>
        <v>0.5</v>
      </c>
      <c r="G53" s="619"/>
      <c r="H53" s="619">
        <v>0</v>
      </c>
      <c r="I53" s="1791"/>
      <c r="J53" s="1791">
        <v>0</v>
      </c>
      <c r="K53" s="619"/>
      <c r="L53" s="1789">
        <f>'Exhibit H'!N23</f>
        <v>0.19999999999999998</v>
      </c>
      <c r="M53" s="1791"/>
      <c r="N53" s="1790">
        <f>'Exhibit H'!AA23</f>
        <v>0.6</v>
      </c>
      <c r="O53" s="619"/>
      <c r="P53" s="1789">
        <v>0</v>
      </c>
      <c r="Q53" s="1791"/>
      <c r="R53" s="1790">
        <v>0</v>
      </c>
      <c r="S53" s="619"/>
      <c r="T53" s="2836"/>
      <c r="U53" s="2836"/>
      <c r="V53" s="1791">
        <f t="shared" ref="V53" si="13">SUM(D53)+SUM(H53)+SUM(L53)+SUM(P53)</f>
        <v>0.3</v>
      </c>
      <c r="W53" s="1418"/>
      <c r="X53" s="1791">
        <f t="shared" ref="X53" si="14">SUM(F53)+SUM(J53)+SUM(N53)+SUM(R53)</f>
        <v>1.1000000000000001</v>
      </c>
      <c r="Y53" s="2837"/>
      <c r="Z53" s="2838"/>
      <c r="AA53" s="1418"/>
      <c r="AB53" s="1788">
        <v>0.2</v>
      </c>
      <c r="AC53" s="619"/>
      <c r="AD53" s="1804">
        <f>'Cashflow Governmental'!AE55</f>
        <v>0.9</v>
      </c>
      <c r="AE53" s="1791"/>
      <c r="AF53" s="3540"/>
      <c r="AG53" s="2837"/>
      <c r="AH53" s="1790">
        <f t="shared" ref="AH53" si="15">ROUND(SUM(X53)-SUM(AD53),1)</f>
        <v>0.2</v>
      </c>
      <c r="AI53" s="2863"/>
      <c r="AJ53" s="1436">
        <f>ROUND(IF(AD53=0,1,AH53/(AD53)),3)</f>
        <v>0.222</v>
      </c>
      <c r="AK53" s="1509"/>
      <c r="AL53" s="2806"/>
    </row>
    <row r="54" spans="1:38" ht="18" customHeight="1">
      <c r="A54" s="2823" t="s">
        <v>908</v>
      </c>
      <c r="B54" s="2824"/>
      <c r="C54" s="2824"/>
      <c r="D54" s="1510">
        <f>ROUND(SUM(D48:D53),1)</f>
        <v>136.80000000000001</v>
      </c>
      <c r="E54" s="2283"/>
      <c r="F54" s="1801">
        <f>ROUND(SUM(F48:F53),1)</f>
        <v>708.9</v>
      </c>
      <c r="G54" s="23"/>
      <c r="H54" s="2843">
        <f>ROUND(SUM(H48:H53),1)</f>
        <v>0</v>
      </c>
      <c r="I54" s="2841"/>
      <c r="J54" s="2843">
        <f>ROUND(SUM(J48:J53),1)</f>
        <v>0</v>
      </c>
      <c r="K54" s="23"/>
      <c r="L54" s="1801">
        <f>ROUND(SUM(L48:L53),1)</f>
        <v>66</v>
      </c>
      <c r="M54" s="1476"/>
      <c r="N54" s="1801">
        <f>ROUND(SUM(N48:N53),1)</f>
        <v>389.6</v>
      </c>
      <c r="O54" s="23" t="s">
        <v>15</v>
      </c>
      <c r="P54" s="1801">
        <f>ROUND(SUM(P48:P53),1)</f>
        <v>12</v>
      </c>
      <c r="Q54" s="1476"/>
      <c r="R54" s="1801">
        <f>ROUND(SUM(R48:R53),1)</f>
        <v>59.6</v>
      </c>
      <c r="S54" s="23"/>
      <c r="T54" s="2842"/>
      <c r="U54" s="2842"/>
      <c r="V54" s="2843">
        <f>ROUND(SUM(V48:V53),1)</f>
        <v>214.8</v>
      </c>
      <c r="W54" s="1476"/>
      <c r="X54" s="2843">
        <f>ROUND(SUM(X48:X53),1)</f>
        <v>1158.0999999999999</v>
      </c>
      <c r="Y54" s="2852"/>
      <c r="Z54" s="2313"/>
      <c r="AA54" s="1476"/>
      <c r="AB54" s="2843">
        <f>ROUND(SUM(AB48:AB53),1)</f>
        <v>250</v>
      </c>
      <c r="AC54" s="23"/>
      <c r="AD54" s="2843">
        <f>ROUND(SUM(AD48:AD53),1)</f>
        <v>1266.4000000000001</v>
      </c>
      <c r="AE54" s="2841"/>
      <c r="AF54" s="3541"/>
      <c r="AG54" s="2844"/>
      <c r="AH54" s="1833">
        <f t="shared" si="12"/>
        <v>-108.3</v>
      </c>
      <c r="AI54" s="2253"/>
      <c r="AJ54" s="1511">
        <f>ROUND(AH54/AD54,3)</f>
        <v>-8.5999999999999993E-2</v>
      </c>
      <c r="AK54" s="2861"/>
      <c r="AL54" s="2862"/>
    </row>
    <row r="55" spans="1:38" ht="18" customHeight="1">
      <c r="A55" s="2824"/>
      <c r="B55" s="2824"/>
      <c r="C55" s="2824"/>
      <c r="D55" s="1513"/>
      <c r="E55" s="2253"/>
      <c r="F55" s="3496"/>
      <c r="G55" s="3075"/>
      <c r="H55" s="3496"/>
      <c r="I55" s="2314"/>
      <c r="J55" s="3496"/>
      <c r="K55" s="3075"/>
      <c r="L55" s="3496"/>
      <c r="M55" s="2314"/>
      <c r="N55" s="3496"/>
      <c r="O55" s="3075"/>
      <c r="P55" s="3496"/>
      <c r="Q55" s="2314"/>
      <c r="R55" s="3496"/>
      <c r="S55" s="3075"/>
      <c r="T55" s="3813"/>
      <c r="U55" s="3813"/>
      <c r="V55" s="3496"/>
      <c r="W55" s="3373"/>
      <c r="X55" s="3496"/>
      <c r="Y55" s="2314"/>
      <c r="Z55" s="3814"/>
      <c r="AA55" s="3373"/>
      <c r="AB55" s="3496"/>
      <c r="AC55" s="3075"/>
      <c r="AD55" s="3496"/>
      <c r="AE55" s="2314"/>
      <c r="AF55" s="3542"/>
      <c r="AG55" s="2314"/>
      <c r="AH55" s="3382"/>
      <c r="AI55" s="2253"/>
      <c r="AJ55" s="1514"/>
      <c r="AK55" s="2862"/>
      <c r="AL55" s="2862"/>
    </row>
    <row r="56" spans="1:38" ht="18" customHeight="1" thickBot="1">
      <c r="A56" s="2823" t="s">
        <v>919</v>
      </c>
      <c r="B56" s="2824"/>
      <c r="C56" s="2824"/>
      <c r="D56" s="1515">
        <f>ROUND(SUM(D25)+SUM(D37)+SUM(D45)+SUM(D54),1)</f>
        <v>2070.6</v>
      </c>
      <c r="E56" s="2864"/>
      <c r="F56" s="3815">
        <f>ROUND(SUM(F25)+SUM(F37)+SUM(F45)+SUM(F54),1)</f>
        <v>22480.799999999999</v>
      </c>
      <c r="G56" s="3816"/>
      <c r="H56" s="3815">
        <f>ROUND(SUM(H25)+SUM(H37)+SUM(H45)+SUM(H54),1)</f>
        <v>230.2</v>
      </c>
      <c r="I56" s="2321"/>
      <c r="J56" s="3815">
        <f>ROUND(SUM(J25)+SUM(J37)+SUM(J45)+SUM(J54),1)</f>
        <v>1938.2</v>
      </c>
      <c r="K56" s="2321"/>
      <c r="L56" s="3815">
        <f>ROUND(SUM(L25)+SUM(L37)+SUM(L45)+SUM(L54),1)</f>
        <v>1881.7</v>
      </c>
      <c r="M56" s="2321"/>
      <c r="N56" s="3815">
        <f>ROUND(SUM(N25)+SUM(N37)+SUM(N45)+SUM(N54),1)</f>
        <v>18745.599999999999</v>
      </c>
      <c r="O56" s="2321"/>
      <c r="P56" s="3815">
        <f>ROUND(SUM(P25)+SUM(P37)+SUM(P45)+SUM(P54),1)</f>
        <v>104.6</v>
      </c>
      <c r="Q56" s="2321"/>
      <c r="R56" s="3815">
        <f>ROUND(SUM(R25)+SUM(R37)+SUM(R45)+SUM(R54),1)</f>
        <v>675.3</v>
      </c>
      <c r="S56" s="2319"/>
      <c r="T56" s="3817"/>
      <c r="U56" s="2321"/>
      <c r="V56" s="3497">
        <f>ROUND(SUM(V25)+SUM(V37)+SUM(V45)+SUM(V54),1)</f>
        <v>4287.1000000000004</v>
      </c>
      <c r="W56" s="2321"/>
      <c r="X56" s="3497">
        <f>ROUND(SUM(X25)+SUM(X37)+SUM(X45)+SUM(X54),1)</f>
        <v>43839.9</v>
      </c>
      <c r="Y56" s="3818"/>
      <c r="Z56" s="2322"/>
      <c r="AA56" s="2321"/>
      <c r="AB56" s="3497">
        <f>ROUND(SUM(AB25)+SUM(AB37)+SUM(AB45)+SUM(AB54),1)</f>
        <v>4441.7</v>
      </c>
      <c r="AC56" s="2321"/>
      <c r="AD56" s="3497">
        <f>ROUND(SUM(AD25)+SUM(AD37)+SUM(AD45)+SUM(AD54),1)</f>
        <v>46843.4</v>
      </c>
      <c r="AE56" s="2321"/>
      <c r="AF56" s="3543"/>
      <c r="AG56" s="2321"/>
      <c r="AH56" s="25">
        <f>ROUND(SUM(X56)-SUM(AD56),1)</f>
        <v>-3003.5</v>
      </c>
      <c r="AI56" s="2253"/>
      <c r="AJ56" s="1516">
        <f>ROUND(AH56/AD56,3)</f>
        <v>-6.4000000000000001E-2</v>
      </c>
      <c r="AK56" s="2861"/>
      <c r="AL56" s="2862"/>
    </row>
    <row r="57" spans="1:38" ht="15" customHeight="1" thickTop="1">
      <c r="F57" s="2833" t="s">
        <v>15</v>
      </c>
      <c r="G57" s="2833"/>
      <c r="H57" s="2833"/>
      <c r="I57" s="2833"/>
      <c r="J57" s="2833"/>
      <c r="K57" s="2833"/>
      <c r="L57" s="2833"/>
      <c r="M57" s="2833"/>
      <c r="N57" s="2833" t="s">
        <v>15</v>
      </c>
      <c r="O57" s="2833"/>
      <c r="P57" s="2833"/>
      <c r="Q57" s="2833"/>
      <c r="R57" s="2833" t="s">
        <v>15</v>
      </c>
      <c r="S57" s="2833"/>
      <c r="T57" s="2833"/>
      <c r="U57" s="2833"/>
      <c r="V57" s="2833"/>
      <c r="W57" s="2833"/>
      <c r="X57" s="2833"/>
      <c r="Y57" s="2833"/>
      <c r="Z57" s="2833"/>
      <c r="AA57" s="2833"/>
    </row>
    <row r="58" spans="1:38" ht="15" customHeight="1">
      <c r="F58" s="2833"/>
      <c r="G58" s="2833"/>
      <c r="H58" s="2833"/>
      <c r="I58" s="2833"/>
      <c r="J58" s="2833"/>
      <c r="K58" s="2833"/>
      <c r="L58" s="2833"/>
      <c r="M58" s="2833"/>
      <c r="N58" s="2833"/>
      <c r="O58" s="2833"/>
      <c r="P58" s="2833"/>
      <c r="Q58" s="2833"/>
      <c r="R58" s="2833"/>
      <c r="S58" s="2833"/>
      <c r="T58" s="2833"/>
      <c r="U58" s="2833"/>
      <c r="V58" s="2833"/>
      <c r="W58" s="2833"/>
      <c r="X58" s="2833"/>
      <c r="Y58" s="2833"/>
      <c r="Z58" s="2833"/>
      <c r="AA58" s="2833"/>
    </row>
    <row r="59" spans="1:38">
      <c r="F59" s="2833"/>
      <c r="G59" s="2833"/>
      <c r="H59" s="2833" t="s">
        <v>15</v>
      </c>
      <c r="I59" s="2833"/>
      <c r="J59" s="2833"/>
      <c r="K59" s="2833"/>
      <c r="L59" s="2833"/>
      <c r="M59" s="2833"/>
      <c r="N59" s="2833"/>
      <c r="O59" s="2833"/>
      <c r="P59" s="2833"/>
      <c r="Q59" s="2833"/>
      <c r="R59" s="2833"/>
      <c r="S59" s="2833"/>
      <c r="T59" s="2833"/>
      <c r="U59" s="2833"/>
      <c r="V59" s="2833" t="s">
        <v>15</v>
      </c>
      <c r="W59" s="2833"/>
      <c r="X59" s="2833"/>
      <c r="Y59" s="2833"/>
      <c r="Z59" s="2833"/>
      <c r="AA59" s="2833"/>
    </row>
    <row r="60" spans="1:38">
      <c r="F60" s="2833"/>
      <c r="G60" s="2833"/>
      <c r="H60" s="2833" t="s">
        <v>15</v>
      </c>
      <c r="I60" s="2833"/>
      <c r="J60" s="2833"/>
      <c r="K60" s="2833"/>
      <c r="L60" s="2833"/>
      <c r="M60" s="2833"/>
      <c r="N60" s="2833"/>
      <c r="O60" s="2833"/>
      <c r="P60" s="2833"/>
      <c r="Q60" s="2833"/>
      <c r="R60" s="2833"/>
      <c r="S60" s="2833"/>
      <c r="T60" s="2833"/>
      <c r="U60" s="2833"/>
      <c r="V60" s="2833"/>
      <c r="W60" s="2833"/>
      <c r="X60" s="2833"/>
      <c r="Y60" s="2833"/>
      <c r="Z60" s="2833"/>
      <c r="AA60" s="2833"/>
    </row>
    <row r="61" spans="1:38">
      <c r="F61" s="2833"/>
      <c r="G61" s="2833"/>
      <c r="H61" s="2833" t="s">
        <v>15</v>
      </c>
      <c r="I61" s="2833"/>
      <c r="J61" s="2833"/>
      <c r="K61" s="2833"/>
      <c r="L61" s="2833"/>
      <c r="M61" s="2833"/>
      <c r="N61" s="2833"/>
      <c r="O61" s="2833"/>
      <c r="P61" s="2833"/>
      <c r="Q61" s="2833"/>
      <c r="R61" s="2833"/>
      <c r="S61" s="2833"/>
      <c r="T61" s="2833"/>
      <c r="U61" s="2833"/>
      <c r="V61" s="2833"/>
      <c r="W61" s="2833"/>
      <c r="X61" s="2833"/>
      <c r="Y61" s="2833"/>
      <c r="Z61" s="2833"/>
      <c r="AA61" s="2833"/>
    </row>
    <row r="63" spans="1:38" ht="15" customHeight="1"/>
  </sheetData>
  <pageMargins left="0.4" right="0.25" top="0.5" bottom="0.40277777777777801" header="0" footer="0.25"/>
  <pageSetup scale="41"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AJ4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80" workbookViewId="0"/>
  </sheetViews>
  <sheetFormatPr defaultColWidth="8.69140625" defaultRowHeight="16.5" customHeight="1"/>
  <cols>
    <col min="1" max="1" width="43.69140625" style="211" customWidth="1"/>
    <col min="2" max="2" width="1.69140625" style="211" customWidth="1"/>
    <col min="3" max="3" width="13.4609375" style="211" customWidth="1"/>
    <col min="4" max="4" width="1.69140625" style="211" customWidth="1"/>
    <col min="5" max="5" width="13.07421875" style="211" customWidth="1"/>
    <col min="6" max="6" width="1.69140625" style="211" customWidth="1"/>
    <col min="7" max="7" width="12.69140625" style="211" customWidth="1"/>
    <col min="8" max="8" width="1.69140625" style="211" customWidth="1"/>
    <col min="9" max="9" width="14.4609375" style="211" customWidth="1"/>
    <col min="10" max="10" width="1.69140625" style="211" customWidth="1"/>
    <col min="11" max="11" width="13.07421875" style="211" customWidth="1"/>
    <col min="12" max="12" width="1.69140625" style="211" customWidth="1"/>
    <col min="13" max="13" width="13.07421875" style="211" customWidth="1"/>
    <col min="14" max="14" width="1.69140625" style="211" customWidth="1"/>
    <col min="15" max="15" width="13.07421875" style="294" customWidth="1"/>
    <col min="16" max="16" width="1.69140625" style="211" customWidth="1"/>
    <col min="17" max="17" width="13.4609375" style="294" customWidth="1"/>
    <col min="18" max="18" width="1.69140625" style="211" customWidth="1"/>
    <col min="19" max="19" width="13.07421875" style="211" customWidth="1"/>
    <col min="20" max="20" width="1.69140625" style="211" customWidth="1"/>
    <col min="21" max="21" width="13" style="211" customWidth="1"/>
    <col min="22" max="22" width="1.69140625" style="211" customWidth="1"/>
    <col min="23" max="23" width="13.69140625" style="211" customWidth="1"/>
    <col min="24" max="24" width="1.69140625" style="211" customWidth="1"/>
    <col min="25" max="25" width="12.69140625" style="211" customWidth="1"/>
    <col min="26" max="27" width="1.69140625" style="211" customWidth="1"/>
    <col min="28" max="28" width="15.07421875" style="294" customWidth="1"/>
    <col min="29" max="30" width="1.69140625" style="294" customWidth="1"/>
    <col min="31" max="31" width="17.4609375" style="294" customWidth="1"/>
    <col min="32" max="32" width="0.69140625" style="294" customWidth="1"/>
    <col min="33" max="33" width="1.69140625" style="294" customWidth="1"/>
    <col min="34" max="34" width="12.69140625" style="294" bestFit="1" customWidth="1"/>
    <col min="35" max="35" width="1.07421875" style="294" customWidth="1"/>
    <col min="36" max="36" width="11.07421875" style="294" bestFit="1" customWidth="1"/>
    <col min="37" max="37" width="8.69140625" style="294"/>
    <col min="38" max="16384" width="8.69140625" style="211"/>
  </cols>
  <sheetData>
    <row r="1" spans="1:37" ht="16.5" customHeight="1">
      <c r="A1" s="642" t="s">
        <v>963</v>
      </c>
    </row>
    <row r="2" spans="1:37" ht="16.5" customHeight="1">
      <c r="A2" s="822"/>
    </row>
    <row r="3" spans="1:37" ht="23.15" customHeight="1">
      <c r="A3" s="219" t="s">
        <v>0</v>
      </c>
      <c r="B3" s="222"/>
      <c r="C3" s="222"/>
      <c r="D3" s="222"/>
      <c r="E3" s="222"/>
      <c r="F3" s="222"/>
      <c r="G3" s="222"/>
      <c r="H3" s="222"/>
      <c r="I3" s="222"/>
      <c r="J3" s="222"/>
      <c r="K3" s="222"/>
      <c r="L3" s="222"/>
      <c r="M3" s="222"/>
      <c r="N3" s="222"/>
      <c r="O3" s="3123"/>
      <c r="P3" s="222"/>
      <c r="Q3" s="3123"/>
      <c r="R3" s="222"/>
      <c r="S3" s="222"/>
      <c r="T3" s="222"/>
      <c r="U3" s="222"/>
      <c r="V3" s="222"/>
      <c r="W3" s="222"/>
      <c r="X3" s="222"/>
      <c r="Y3" s="222"/>
      <c r="Z3" s="222"/>
      <c r="AA3" s="222"/>
      <c r="AB3" s="3123"/>
      <c r="AC3" s="3123"/>
      <c r="AD3" s="3123"/>
      <c r="AE3" s="3123"/>
      <c r="AF3" s="3123"/>
      <c r="AG3" s="3123"/>
      <c r="AI3" s="3123"/>
    </row>
    <row r="4" spans="1:37" ht="23.25" customHeight="1">
      <c r="A4" s="219" t="s">
        <v>122</v>
      </c>
      <c r="B4" s="222"/>
      <c r="C4" s="222"/>
      <c r="D4" s="222"/>
      <c r="E4" s="222"/>
      <c r="F4" s="222"/>
      <c r="G4" s="222"/>
      <c r="H4" s="222"/>
      <c r="I4" s="222" t="s">
        <v>15</v>
      </c>
      <c r="J4" s="222"/>
      <c r="K4" s="222"/>
      <c r="L4" s="222"/>
      <c r="M4" s="222"/>
      <c r="N4" s="222"/>
      <c r="O4" s="3123"/>
      <c r="P4" s="222"/>
      <c r="Q4" s="3123"/>
      <c r="R4" s="222"/>
      <c r="S4" s="222"/>
      <c r="T4" s="222"/>
      <c r="U4" s="222"/>
      <c r="V4" s="222"/>
      <c r="W4" s="222"/>
      <c r="X4" s="222"/>
      <c r="Y4" s="222" t="s">
        <v>15</v>
      </c>
      <c r="Z4" s="222"/>
      <c r="AA4" s="222"/>
      <c r="AB4" s="3123"/>
      <c r="AC4" s="3123"/>
      <c r="AD4" s="3123"/>
      <c r="AE4" s="3123"/>
      <c r="AF4" s="3123"/>
      <c r="AG4" s="3123"/>
      <c r="AI4" s="3123"/>
    </row>
    <row r="5" spans="1:37" ht="23.25" customHeight="1">
      <c r="A5" s="221" t="s">
        <v>123</v>
      </c>
      <c r="B5" s="222"/>
      <c r="C5" s="222"/>
      <c r="D5" s="222"/>
      <c r="E5" s="222"/>
      <c r="F5" s="222"/>
      <c r="G5" s="222"/>
      <c r="H5" s="222"/>
      <c r="I5" s="222"/>
      <c r="J5" s="222"/>
      <c r="K5" s="222"/>
      <c r="L5" s="222"/>
      <c r="M5" s="222"/>
      <c r="N5" s="222"/>
      <c r="O5" s="3123"/>
      <c r="P5" s="222"/>
      <c r="Q5" s="3123"/>
      <c r="R5" s="222"/>
      <c r="S5" s="222"/>
      <c r="T5" s="222"/>
      <c r="U5" s="222"/>
      <c r="V5" s="222"/>
      <c r="W5" s="222"/>
      <c r="X5" s="222"/>
      <c r="Y5" s="222"/>
      <c r="Z5" s="222"/>
      <c r="AA5" s="222"/>
      <c r="AC5" s="3926"/>
      <c r="AD5" s="3927"/>
      <c r="AE5" s="3927"/>
      <c r="AF5" s="3927"/>
      <c r="AG5" s="3927"/>
      <c r="AH5" s="3927"/>
      <c r="AI5" s="3927"/>
      <c r="AJ5" s="3927"/>
    </row>
    <row r="6" spans="1:37" ht="23.25" customHeight="1">
      <c r="A6" s="221" t="s">
        <v>1470</v>
      </c>
      <c r="B6" s="222"/>
      <c r="C6" s="222"/>
      <c r="D6" s="222"/>
      <c r="E6" s="222"/>
      <c r="F6" s="222"/>
      <c r="G6" s="222"/>
      <c r="H6" s="222"/>
      <c r="I6" s="222"/>
      <c r="J6" s="222"/>
      <c r="K6" s="222"/>
      <c r="L6" s="222"/>
      <c r="M6" s="222"/>
      <c r="N6" s="222"/>
      <c r="O6" s="3123"/>
      <c r="P6" s="222"/>
      <c r="Q6" s="3123"/>
      <c r="R6" s="222"/>
      <c r="S6" s="222"/>
      <c r="T6" s="222"/>
      <c r="U6" s="222"/>
      <c r="V6" s="222"/>
      <c r="W6" s="222"/>
      <c r="X6" s="222"/>
      <c r="Y6" s="222"/>
      <c r="Z6" s="222"/>
      <c r="AA6" s="222"/>
      <c r="AB6" s="3123"/>
      <c r="AC6" s="3123"/>
      <c r="AD6" s="3123"/>
      <c r="AE6" s="3123"/>
      <c r="AF6" s="3123"/>
      <c r="AG6" s="3123"/>
      <c r="AI6" s="3123"/>
    </row>
    <row r="7" spans="1:37" ht="23.25" customHeight="1">
      <c r="A7" s="219" t="s">
        <v>1365</v>
      </c>
      <c r="B7" s="222"/>
      <c r="C7" s="222"/>
      <c r="D7" s="222"/>
      <c r="E7" s="222"/>
      <c r="F7" s="222"/>
      <c r="G7" s="222"/>
      <c r="H7" s="222"/>
      <c r="I7" s="222"/>
      <c r="J7" s="222"/>
      <c r="K7" s="222"/>
      <c r="L7" s="222"/>
      <c r="M7" s="222"/>
      <c r="N7" s="222"/>
      <c r="O7" s="3123"/>
      <c r="P7" s="222"/>
      <c r="Q7" s="3123"/>
      <c r="R7" s="222"/>
      <c r="S7" s="222"/>
      <c r="T7" s="222"/>
      <c r="U7" s="222"/>
      <c r="V7" s="222"/>
      <c r="W7" s="222"/>
      <c r="X7" s="222"/>
      <c r="Y7" s="222"/>
      <c r="Z7" s="222"/>
      <c r="AA7" s="222"/>
      <c r="AB7" s="3123"/>
      <c r="AC7" s="3123"/>
      <c r="AD7" s="3123"/>
      <c r="AE7" s="3123"/>
      <c r="AF7" s="3123"/>
      <c r="AG7" s="3123"/>
      <c r="AI7" s="3123"/>
    </row>
    <row r="8" spans="1:37" ht="16.5" customHeight="1">
      <c r="A8" s="222"/>
      <c r="B8" s="222"/>
      <c r="C8" s="222"/>
      <c r="D8" s="222"/>
      <c r="E8" s="222"/>
      <c r="F8" s="222"/>
      <c r="G8" s="222"/>
      <c r="H8" s="222"/>
      <c r="I8" s="222"/>
      <c r="J8" s="222"/>
      <c r="K8" s="222"/>
      <c r="L8" s="222"/>
      <c r="M8" s="222"/>
      <c r="N8" s="222"/>
      <c r="O8" s="3123"/>
      <c r="P8" s="222"/>
      <c r="Q8" s="3123"/>
      <c r="R8" s="222"/>
      <c r="S8" s="222"/>
      <c r="T8" s="222"/>
      <c r="U8" s="222"/>
      <c r="V8" s="222"/>
      <c r="W8" s="222"/>
      <c r="X8" s="222"/>
      <c r="Y8" s="222"/>
      <c r="Z8" s="222"/>
      <c r="AA8" s="222"/>
      <c r="AB8" s="3123"/>
      <c r="AC8" s="3123"/>
      <c r="AD8" s="3123"/>
      <c r="AE8" s="3123"/>
      <c r="AF8" s="3123"/>
      <c r="AG8" s="3123"/>
      <c r="AI8" s="3123"/>
    </row>
    <row r="9" spans="1:37" ht="16.5" customHeight="1">
      <c r="A9" s="222"/>
      <c r="B9" s="222"/>
      <c r="C9" s="222"/>
      <c r="D9" s="222"/>
      <c r="E9" s="222"/>
      <c r="F9" s="222"/>
      <c r="G9" s="222"/>
      <c r="H9" s="222"/>
      <c r="I9" s="222"/>
      <c r="J9" s="222"/>
      <c r="K9" s="222"/>
      <c r="L9" s="222"/>
      <c r="M9" s="222"/>
      <c r="N9" s="222"/>
      <c r="O9" s="3123"/>
      <c r="P9" s="222"/>
      <c r="Q9" s="3123"/>
      <c r="R9" s="222"/>
      <c r="S9" s="222"/>
      <c r="T9" s="222"/>
      <c r="U9" s="222"/>
      <c r="V9" s="222"/>
      <c r="W9" s="222"/>
      <c r="X9" s="222"/>
      <c r="Y9" s="222"/>
      <c r="Z9" s="222"/>
      <c r="AA9" s="222"/>
      <c r="AB9" s="3123"/>
      <c r="AC9" s="3123"/>
      <c r="AD9" s="3123"/>
      <c r="AE9" s="3123"/>
      <c r="AF9" s="3123"/>
      <c r="AG9" s="3123"/>
      <c r="AI9" s="3123"/>
    </row>
    <row r="10" spans="1:37" ht="16.5" customHeight="1">
      <c r="A10" s="222"/>
      <c r="B10" s="222"/>
      <c r="C10" s="222"/>
      <c r="D10" s="222"/>
      <c r="E10" s="222"/>
      <c r="F10" s="222"/>
      <c r="G10" s="222"/>
      <c r="H10" s="222"/>
      <c r="I10" s="222"/>
      <c r="J10" s="222"/>
      <c r="K10" s="222"/>
      <c r="L10" s="222"/>
      <c r="M10" s="222"/>
      <c r="N10" s="222"/>
      <c r="O10" s="3123"/>
      <c r="P10" s="222"/>
      <c r="Q10" s="3123"/>
      <c r="R10" s="222"/>
      <c r="S10" s="222"/>
      <c r="T10" s="222"/>
      <c r="U10" s="222"/>
      <c r="V10" s="222"/>
      <c r="W10" s="222"/>
      <c r="X10" s="222"/>
      <c r="Y10" s="222"/>
      <c r="Z10" s="222"/>
      <c r="AA10" s="222"/>
      <c r="AB10" s="3123"/>
      <c r="AC10" s="3123"/>
      <c r="AD10" s="3123"/>
      <c r="AE10" s="3123"/>
      <c r="AF10" s="3123"/>
      <c r="AG10" s="3123"/>
      <c r="AI10" s="3123"/>
    </row>
    <row r="11" spans="1:37" ht="16.5" customHeight="1">
      <c r="A11" s="222"/>
      <c r="B11" s="222"/>
      <c r="C11" s="222"/>
      <c r="D11" s="222"/>
      <c r="E11" s="222"/>
      <c r="F11" s="222"/>
      <c r="G11" s="222"/>
      <c r="H11" s="222"/>
      <c r="I11" s="222"/>
      <c r="J11" s="222"/>
      <c r="K11" s="222"/>
      <c r="L11" s="222"/>
      <c r="M11" s="222"/>
      <c r="N11" s="222"/>
      <c r="O11" s="3123"/>
      <c r="P11" s="222"/>
      <c r="Q11" s="3123"/>
      <c r="R11" s="222"/>
      <c r="S11" s="222"/>
      <c r="T11" s="222"/>
      <c r="U11" s="222"/>
      <c r="V11" s="222"/>
      <c r="W11" s="222"/>
      <c r="X11" s="222"/>
      <c r="Y11" s="222"/>
      <c r="Z11" s="222"/>
      <c r="AA11" s="222"/>
      <c r="AC11" s="3123"/>
      <c r="AD11" s="3123"/>
      <c r="AE11" s="3123"/>
      <c r="AF11" s="3123"/>
      <c r="AG11" s="3123"/>
      <c r="AI11" s="3123"/>
    </row>
    <row r="12" spans="1:37" ht="16.5" customHeight="1">
      <c r="A12" s="222"/>
      <c r="B12" s="222"/>
      <c r="C12" s="222"/>
      <c r="D12" s="222"/>
      <c r="E12" s="222"/>
      <c r="F12" s="222"/>
      <c r="G12" s="222"/>
      <c r="H12" s="222"/>
      <c r="I12" s="222"/>
      <c r="J12" s="222"/>
      <c r="K12" s="222"/>
      <c r="L12" s="222"/>
      <c r="M12" s="222"/>
      <c r="N12" s="222"/>
      <c r="O12" s="3123"/>
      <c r="P12" s="222"/>
      <c r="Q12" s="3123"/>
      <c r="R12" s="222"/>
      <c r="S12" s="222"/>
      <c r="T12" s="222"/>
      <c r="U12" s="222"/>
      <c r="V12" s="222"/>
      <c r="W12" s="222"/>
      <c r="X12" s="222"/>
      <c r="Z12" s="222"/>
      <c r="AA12" s="513"/>
      <c r="AB12" s="3928" t="s">
        <v>1546</v>
      </c>
      <c r="AC12" s="3929"/>
      <c r="AD12" s="3929"/>
      <c r="AE12" s="3929"/>
      <c r="AF12" s="3929"/>
      <c r="AG12" s="3929"/>
      <c r="AH12" s="3929"/>
      <c r="AI12" s="3929"/>
      <c r="AJ12" s="3929"/>
    </row>
    <row r="13" spans="1:37" ht="16.5" customHeight="1">
      <c r="A13" s="222"/>
      <c r="B13" s="222"/>
      <c r="C13" s="1545" t="s">
        <v>1357</v>
      </c>
      <c r="D13" s="511"/>
      <c r="E13" s="511"/>
      <c r="F13" s="511"/>
      <c r="G13" s="511"/>
      <c r="H13" s="511"/>
      <c r="I13" s="511"/>
      <c r="J13" s="511"/>
      <c r="K13" s="511"/>
      <c r="L13" s="511"/>
      <c r="M13" s="511"/>
      <c r="N13" s="511"/>
      <c r="O13" s="3124"/>
      <c r="P13" s="511"/>
      <c r="Q13" s="3124"/>
      <c r="R13" s="511"/>
      <c r="S13" s="511"/>
      <c r="T13" s="511"/>
      <c r="U13" s="1545" t="s">
        <v>1472</v>
      </c>
      <c r="V13" s="511"/>
      <c r="W13" s="511"/>
      <c r="X13" s="511"/>
      <c r="Y13" s="511"/>
      <c r="Z13" s="511"/>
      <c r="AA13" s="511"/>
      <c r="AB13" s="3124"/>
      <c r="AC13" s="3125"/>
      <c r="AD13" s="3125"/>
      <c r="AE13" s="3125"/>
      <c r="AF13" s="3124"/>
      <c r="AG13" s="3124"/>
      <c r="AH13" s="3318" t="s">
        <v>8</v>
      </c>
      <c r="AI13" s="3319"/>
      <c r="AJ13" s="3318" t="s">
        <v>9</v>
      </c>
    </row>
    <row r="14" spans="1:37" ht="16.5" customHeight="1">
      <c r="A14" s="222"/>
      <c r="B14" s="222"/>
      <c r="C14" s="743" t="s">
        <v>124</v>
      </c>
      <c r="D14" s="511"/>
      <c r="E14" s="743" t="s">
        <v>125</v>
      </c>
      <c r="F14" s="511"/>
      <c r="G14" s="743" t="s">
        <v>126</v>
      </c>
      <c r="H14" s="511"/>
      <c r="I14" s="743" t="s">
        <v>127</v>
      </c>
      <c r="J14" s="511"/>
      <c r="K14" s="743" t="s">
        <v>128</v>
      </c>
      <c r="L14" s="511"/>
      <c r="M14" s="743" t="s">
        <v>129</v>
      </c>
      <c r="N14" s="511"/>
      <c r="O14" s="3318" t="s">
        <v>130</v>
      </c>
      <c r="P14" s="511"/>
      <c r="Q14" s="3318" t="s">
        <v>131</v>
      </c>
      <c r="R14" s="511"/>
      <c r="S14" s="743" t="s">
        <v>132</v>
      </c>
      <c r="T14" s="511"/>
      <c r="U14" s="743" t="s">
        <v>133</v>
      </c>
      <c r="V14" s="511"/>
      <c r="W14" s="743" t="s">
        <v>134</v>
      </c>
      <c r="X14" s="511"/>
      <c r="Y14" s="743" t="s">
        <v>135</v>
      </c>
      <c r="Z14" s="511"/>
      <c r="AA14" s="511"/>
      <c r="AB14" s="3126">
        <v>2020</v>
      </c>
      <c r="AC14" s="3124"/>
      <c r="AD14" s="3124"/>
      <c r="AE14" s="3126">
        <v>2019</v>
      </c>
      <c r="AF14" s="3124"/>
      <c r="AG14" s="3124"/>
      <c r="AH14" s="3320" t="s">
        <v>12</v>
      </c>
      <c r="AI14" s="3319"/>
      <c r="AJ14" s="3320" t="s">
        <v>13</v>
      </c>
    </row>
    <row r="15" spans="1:37" ht="6" customHeight="1">
      <c r="A15" s="222"/>
      <c r="B15" s="222"/>
      <c r="C15" s="514"/>
      <c r="D15" s="222"/>
      <c r="E15" s="514"/>
      <c r="F15" s="222"/>
      <c r="G15" s="514"/>
      <c r="H15" s="222"/>
      <c r="I15" s="514"/>
      <c r="J15" s="222"/>
      <c r="K15" s="514"/>
      <c r="L15" s="222"/>
      <c r="M15" s="514"/>
      <c r="N15" s="222"/>
      <c r="O15" s="3127" t="s">
        <v>15</v>
      </c>
      <c r="P15" s="222"/>
      <c r="Q15" s="3127"/>
      <c r="R15" s="222"/>
      <c r="S15" s="514"/>
      <c r="T15" s="222"/>
      <c r="U15" s="514" t="s">
        <v>15</v>
      </c>
      <c r="V15" s="222"/>
      <c r="W15" s="514"/>
      <c r="X15" s="222"/>
      <c r="Y15" s="514"/>
      <c r="Z15" s="222"/>
      <c r="AA15" s="222"/>
      <c r="AB15" s="3127"/>
      <c r="AC15" s="3123"/>
      <c r="AD15" s="3123"/>
      <c r="AE15" s="3127"/>
      <c r="AF15" s="3123"/>
      <c r="AG15" s="3123"/>
      <c r="AI15" s="3123"/>
    </row>
    <row r="16" spans="1:37" ht="16.5" customHeight="1">
      <c r="A16" s="512" t="s">
        <v>136</v>
      </c>
      <c r="B16" s="222"/>
      <c r="C16" s="1731">
        <f>'Exhibit F'!D12+'Exhibit G'!D13+'Exhibit H'!B12+'Exhibit I'!E15</f>
        <v>14284.8</v>
      </c>
      <c r="D16" s="515"/>
      <c r="E16" s="515">
        <f>C146</f>
        <v>20544.400000000001</v>
      </c>
      <c r="F16" s="515"/>
      <c r="G16" s="515">
        <f>E146</f>
        <v>17650.3</v>
      </c>
      <c r="H16" s="515"/>
      <c r="I16" s="515">
        <f>G146</f>
        <v>20623.599999999999</v>
      </c>
      <c r="J16" s="515"/>
      <c r="K16" s="515">
        <f>I146</f>
        <v>28288</v>
      </c>
      <c r="L16" s="515"/>
      <c r="M16" s="515">
        <f>K146</f>
        <v>27457.200000000001</v>
      </c>
      <c r="N16" s="515"/>
      <c r="O16" s="1731">
        <f>M146</f>
        <v>25800.5</v>
      </c>
      <c r="P16" s="515"/>
      <c r="Q16" s="1731"/>
      <c r="R16" s="515"/>
      <c r="S16" s="515"/>
      <c r="T16" s="515"/>
      <c r="U16" s="515"/>
      <c r="V16" s="515"/>
      <c r="W16" s="515"/>
      <c r="X16" s="515"/>
      <c r="Y16" s="515"/>
      <c r="Z16" s="515"/>
      <c r="AA16" s="516"/>
      <c r="AB16" s="1731">
        <f>C16</f>
        <v>14284.8</v>
      </c>
      <c r="AC16" s="1731"/>
      <c r="AD16" s="3321"/>
      <c r="AE16" s="1731">
        <f>'Exhibit F'!AF12+'Exhibit G'!AG13+'Exhibit H'!AD12+'Exhibit I'!AI15</f>
        <v>9975</v>
      </c>
      <c r="AF16" s="1731"/>
      <c r="AG16" s="1731"/>
      <c r="AH16" s="1731">
        <f>ROUND(SUM(AB16-AE16),1)</f>
        <v>4309.8</v>
      </c>
      <c r="AI16" s="3124"/>
      <c r="AJ16" s="3322">
        <f>ROUND(SUM(AH16/AE16),3)</f>
        <v>0.432</v>
      </c>
      <c r="AK16" s="3323"/>
    </row>
    <row r="17" spans="1:36" ht="16.5" customHeight="1">
      <c r="A17" s="222"/>
      <c r="B17" s="222"/>
      <c r="C17" s="222" t="s">
        <v>15</v>
      </c>
      <c r="D17" s="222"/>
      <c r="E17" s="517"/>
      <c r="F17" s="222"/>
      <c r="G17" s="517"/>
      <c r="H17" s="222"/>
      <c r="I17" s="517"/>
      <c r="J17" s="222"/>
      <c r="K17" s="517"/>
      <c r="L17" s="222"/>
      <c r="M17" s="517"/>
      <c r="N17" s="222"/>
      <c r="O17" s="3327"/>
      <c r="P17" s="222"/>
      <c r="Q17" s="3327"/>
      <c r="R17" s="222"/>
      <c r="S17" s="517"/>
      <c r="T17" s="222"/>
      <c r="U17" s="517"/>
      <c r="V17" s="222"/>
      <c r="W17" s="517"/>
      <c r="X17" s="222"/>
      <c r="Y17" s="517"/>
      <c r="Z17" s="222"/>
      <c r="AA17" s="518"/>
      <c r="AB17" s="3123" t="s">
        <v>15</v>
      </c>
      <c r="AC17" s="3123"/>
      <c r="AD17" s="3324"/>
      <c r="AE17" s="3123" t="s">
        <v>15</v>
      </c>
      <c r="AF17" s="3123"/>
      <c r="AG17" s="3123"/>
      <c r="AH17" s="889"/>
      <c r="AI17" s="3123"/>
      <c r="AJ17" s="889"/>
    </row>
    <row r="18" spans="1:36" ht="16.5" customHeight="1">
      <c r="A18" s="204" t="s">
        <v>14</v>
      </c>
      <c r="B18" s="222"/>
      <c r="C18" s="222"/>
      <c r="D18" s="222"/>
      <c r="E18" s="517"/>
      <c r="F18" s="222"/>
      <c r="G18" s="517"/>
      <c r="H18" s="222"/>
      <c r="I18" s="517"/>
      <c r="J18" s="222"/>
      <c r="K18" s="517"/>
      <c r="L18" s="222"/>
      <c r="M18" s="517"/>
      <c r="N18" s="222"/>
      <c r="O18" s="3327"/>
      <c r="P18" s="222"/>
      <c r="Q18" s="3327"/>
      <c r="R18" s="222"/>
      <c r="S18" s="517"/>
      <c r="T18" s="222"/>
      <c r="U18" s="517"/>
      <c r="V18" s="222"/>
      <c r="W18" s="517"/>
      <c r="X18" s="222"/>
      <c r="Y18" s="517"/>
      <c r="Z18" s="222"/>
      <c r="AA18" s="518"/>
      <c r="AB18" s="3123"/>
      <c r="AC18" s="3123"/>
      <c r="AD18" s="3324"/>
      <c r="AE18" s="3123"/>
      <c r="AF18" s="3123"/>
      <c r="AG18" s="3123"/>
      <c r="AH18" s="889"/>
      <c r="AI18" s="3123"/>
      <c r="AJ18" s="889"/>
    </row>
    <row r="19" spans="1:36" ht="16.5" customHeight="1">
      <c r="A19" s="258" t="s">
        <v>1078</v>
      </c>
      <c r="B19" s="222"/>
      <c r="C19" s="222"/>
      <c r="D19" s="222"/>
      <c r="E19" s="517"/>
      <c r="F19" s="222"/>
      <c r="G19" s="517"/>
      <c r="H19" s="222"/>
      <c r="I19" s="517"/>
      <c r="J19" s="222"/>
      <c r="K19" s="517"/>
      <c r="L19" s="222"/>
      <c r="M19" s="517"/>
      <c r="N19" s="222"/>
      <c r="O19" s="3327"/>
      <c r="P19" s="222"/>
      <c r="Q19" s="3327"/>
      <c r="R19" s="222"/>
      <c r="S19" s="517"/>
      <c r="T19" s="222"/>
      <c r="U19" s="517"/>
      <c r="V19" s="222"/>
      <c r="W19" s="517"/>
      <c r="X19" s="222"/>
      <c r="Y19" s="517"/>
      <c r="Z19" s="222"/>
      <c r="AA19" s="518"/>
      <c r="AB19" s="3123"/>
      <c r="AC19" s="3123"/>
      <c r="AD19" s="3324"/>
      <c r="AE19" s="3123"/>
      <c r="AF19" s="3123"/>
      <c r="AG19" s="3123"/>
      <c r="AH19" s="889"/>
      <c r="AI19" s="3123"/>
      <c r="AJ19" s="889"/>
    </row>
    <row r="20" spans="1:36" ht="16.5" customHeight="1">
      <c r="A20" s="1049" t="s">
        <v>1356</v>
      </c>
      <c r="B20" s="669"/>
      <c r="C20" s="611"/>
      <c r="D20" s="611"/>
      <c r="E20" s="611"/>
      <c r="F20" s="611"/>
      <c r="G20" s="611"/>
      <c r="H20" s="222"/>
      <c r="I20" s="517"/>
      <c r="J20" s="222"/>
      <c r="K20" s="517"/>
      <c r="L20" s="222"/>
      <c r="M20" s="517"/>
      <c r="N20" s="222"/>
      <c r="O20" s="3327"/>
      <c r="P20" s="222"/>
      <c r="Q20" s="3327"/>
      <c r="R20" s="222"/>
      <c r="S20" s="517"/>
      <c r="T20" s="222"/>
      <c r="U20" s="517"/>
      <c r="V20" s="222"/>
      <c r="W20" s="517"/>
      <c r="X20" s="222"/>
      <c r="Y20" s="517"/>
      <c r="Z20" s="222"/>
      <c r="AA20" s="958"/>
      <c r="AB20" s="3123"/>
      <c r="AC20" s="3123"/>
      <c r="AD20" s="3324"/>
      <c r="AE20" s="3123"/>
      <c r="AF20" s="3123"/>
      <c r="AG20" s="3123"/>
      <c r="AH20" s="889"/>
      <c r="AI20" s="3123"/>
      <c r="AJ20" s="889"/>
    </row>
    <row r="21" spans="1:36" ht="16.5" customHeight="1">
      <c r="A21" s="669" t="s">
        <v>1084</v>
      </c>
      <c r="B21" s="669"/>
      <c r="C21" s="358">
        <f>+'Exhibit F'!D17</f>
        <v>3187.3</v>
      </c>
      <c r="D21" s="613"/>
      <c r="E21" s="358">
        <f>+'Exhibit F'!F17</f>
        <v>2928.2999999999993</v>
      </c>
      <c r="F21" s="613"/>
      <c r="G21" s="358">
        <f>+'Exhibit F'!H17</f>
        <v>3096.3</v>
      </c>
      <c r="H21" s="519"/>
      <c r="I21" s="358">
        <f>+'Exhibit F'!J17</f>
        <v>3400.300000000002</v>
      </c>
      <c r="J21" s="519"/>
      <c r="K21" s="358">
        <f>+'Exhibit F'!L17</f>
        <v>2876.5999999999985</v>
      </c>
      <c r="L21" s="222"/>
      <c r="M21" s="358">
        <f>+'Exhibit F'!N17</f>
        <v>3147.2</v>
      </c>
      <c r="N21" s="222"/>
      <c r="O21" s="3325">
        <f>+'Exhibit F'!P17</f>
        <v>2919.5000000000009</v>
      </c>
      <c r="P21" s="222"/>
      <c r="Q21" s="358"/>
      <c r="R21" s="222"/>
      <c r="S21" s="358"/>
      <c r="T21" s="222"/>
      <c r="U21" s="358"/>
      <c r="V21" s="222"/>
      <c r="W21" s="358"/>
      <c r="X21" s="222"/>
      <c r="Y21" s="358"/>
      <c r="Z21" s="222"/>
      <c r="AA21" s="958"/>
      <c r="AB21" s="1635">
        <f>ROUND(SUM(C21:Y21),1)</f>
        <v>21555.5</v>
      </c>
      <c r="AC21" s="3123"/>
      <c r="AD21" s="3324"/>
      <c r="AE21" s="3325">
        <f>+'Exhibit F'!AF17</f>
        <v>21800.7</v>
      </c>
      <c r="AF21" s="3123"/>
      <c r="AG21" s="3123"/>
      <c r="AH21" s="893">
        <f>ROUND(SUM(+AB21-AE21),1)</f>
        <v>-245.2</v>
      </c>
      <c r="AI21" s="3326"/>
      <c r="AJ21" s="1724">
        <f>ROUND(IF(AE21=0,0,AH21/ABS(AE21)),3)</f>
        <v>-1.0999999999999999E-2</v>
      </c>
    </row>
    <row r="22" spans="1:36" ht="16.5" customHeight="1">
      <c r="A22" s="669" t="s">
        <v>1354</v>
      </c>
      <c r="B22" s="673"/>
      <c r="C22" s="358">
        <f>+'Exhibit F'!D18</f>
        <v>211.6</v>
      </c>
      <c r="D22" s="613"/>
      <c r="E22" s="358">
        <f>+'Exhibit F'!F18</f>
        <v>70.900000000000006</v>
      </c>
      <c r="F22" s="613"/>
      <c r="G22" s="358">
        <f>+'Exhibit F'!H18</f>
        <v>1493</v>
      </c>
      <c r="H22" s="519"/>
      <c r="I22" s="358">
        <f>+'Exhibit F'!J18</f>
        <v>6329</v>
      </c>
      <c r="J22" s="519"/>
      <c r="K22" s="358">
        <f>+'Exhibit F'!L18</f>
        <v>121.3</v>
      </c>
      <c r="L22" s="222"/>
      <c r="M22" s="358">
        <f>+'Exhibit F'!N18</f>
        <v>2510</v>
      </c>
      <c r="N22" s="222"/>
      <c r="O22" s="3325">
        <f>+'Exhibit F'!P18</f>
        <v>176.80000000000018</v>
      </c>
      <c r="P22" s="222"/>
      <c r="Q22" s="358"/>
      <c r="R22" s="222"/>
      <c r="S22" s="358"/>
      <c r="T22" s="222"/>
      <c r="U22" s="358"/>
      <c r="V22" s="222"/>
      <c r="W22" s="358"/>
      <c r="X22" s="222"/>
      <c r="Y22" s="358"/>
      <c r="Z22" s="222"/>
      <c r="AA22" s="958"/>
      <c r="AB22" s="1635">
        <f>ROUND(SUM(C22:Y22),1)</f>
        <v>10912.6</v>
      </c>
      <c r="AC22" s="3123"/>
      <c r="AD22" s="3324"/>
      <c r="AE22" s="3325">
        <f>+'Exhibit F'!AF18</f>
        <v>12482.5</v>
      </c>
      <c r="AF22" s="3123"/>
      <c r="AG22" s="3123"/>
      <c r="AH22" s="893">
        <f>ROUND(SUM(+AB22-AE22),1)</f>
        <v>-1569.9</v>
      </c>
      <c r="AI22" s="3326"/>
      <c r="AJ22" s="1724">
        <f>ROUND(IF(AE22=0,0,AH22/ABS(AE22)),3)</f>
        <v>-0.126</v>
      </c>
    </row>
    <row r="23" spans="1:36" ht="16.5" customHeight="1">
      <c r="A23" s="669" t="s">
        <v>1085</v>
      </c>
      <c r="B23" s="669"/>
      <c r="C23" s="358">
        <f>+'Exhibit F'!D19</f>
        <v>339.1</v>
      </c>
      <c r="D23" s="613"/>
      <c r="E23" s="358">
        <f>+'Exhibit F'!F19</f>
        <v>124.69999999999999</v>
      </c>
      <c r="F23" s="613"/>
      <c r="G23" s="358">
        <f>+'Exhibit F'!H19</f>
        <v>260.90000000000003</v>
      </c>
      <c r="H23" s="519"/>
      <c r="I23" s="358">
        <f>+'Exhibit F'!J19</f>
        <v>1765.1000000000001</v>
      </c>
      <c r="J23" s="519"/>
      <c r="K23" s="358">
        <f>+'Exhibit F'!L19</f>
        <v>69.299999999999955</v>
      </c>
      <c r="L23" s="222"/>
      <c r="M23" s="358">
        <f>+'Exhibit F'!N19</f>
        <v>83.4</v>
      </c>
      <c r="N23" s="222"/>
      <c r="O23" s="3325">
        <f>+'Exhibit F'!P19</f>
        <v>528.00000000000011</v>
      </c>
      <c r="P23" s="222"/>
      <c r="Q23" s="358"/>
      <c r="R23" s="222"/>
      <c r="S23" s="358"/>
      <c r="T23" s="222"/>
      <c r="U23" s="358"/>
      <c r="V23" s="222"/>
      <c r="W23" s="358"/>
      <c r="X23" s="222"/>
      <c r="Y23" s="358"/>
      <c r="Z23" s="222"/>
      <c r="AA23" s="958"/>
      <c r="AB23" s="1635">
        <f>ROUND(SUM(C23:Y23),1)</f>
        <v>3170.5</v>
      </c>
      <c r="AC23" s="3123"/>
      <c r="AD23" s="3324"/>
      <c r="AE23" s="3325">
        <f>+'Exhibit F'!AF19</f>
        <v>3131.7</v>
      </c>
      <c r="AF23" s="3123"/>
      <c r="AG23" s="3123"/>
      <c r="AH23" s="893">
        <f>ROUND(SUM(+AB23-AE23),1)</f>
        <v>38.799999999999997</v>
      </c>
      <c r="AI23" s="3326"/>
      <c r="AJ23" s="1724">
        <f>ROUND(IF(AE23=0,0,AH23/ABS(AE23)),3)</f>
        <v>1.2E-2</v>
      </c>
    </row>
    <row r="24" spans="1:36" ht="16.5" customHeight="1">
      <c r="A24" s="1074" t="s">
        <v>1086</v>
      </c>
      <c r="B24" s="669"/>
      <c r="C24" s="358">
        <f>+'Exhibit F'!D20</f>
        <v>-69.8</v>
      </c>
      <c r="D24" s="613"/>
      <c r="E24" s="358">
        <f>+'Exhibit F'!F20</f>
        <v>-39.799999999999997</v>
      </c>
      <c r="F24" s="613"/>
      <c r="G24" s="358">
        <f>+'Exhibit F'!H20</f>
        <v>-58.400000000000006</v>
      </c>
      <c r="H24" s="519"/>
      <c r="I24" s="358">
        <f>+'Exhibit F'!J20</f>
        <v>-186.99999999999997</v>
      </c>
      <c r="J24" s="519"/>
      <c r="K24" s="358">
        <f>+'Exhibit F'!L20</f>
        <v>-28.100000000000023</v>
      </c>
      <c r="L24" s="222"/>
      <c r="M24" s="358">
        <f>+'Exhibit F'!N20</f>
        <v>-71.7</v>
      </c>
      <c r="N24" s="222"/>
      <c r="O24" s="3325">
        <f>+'Exhibit F'!P20</f>
        <v>-444.90000000000015</v>
      </c>
      <c r="P24" s="222"/>
      <c r="Q24" s="358"/>
      <c r="R24" s="222"/>
      <c r="S24" s="358"/>
      <c r="T24" s="222"/>
      <c r="U24" s="358"/>
      <c r="V24" s="222"/>
      <c r="W24" s="358"/>
      <c r="X24" s="222"/>
      <c r="Y24" s="358"/>
      <c r="Z24" s="222"/>
      <c r="AA24" s="958"/>
      <c r="AB24" s="1635">
        <f t="shared" ref="AB24:AB30" si="0">ROUND(SUM(C24:Y24),1)</f>
        <v>-899.7</v>
      </c>
      <c r="AC24" s="3123"/>
      <c r="AD24" s="3324"/>
      <c r="AE24" s="3325">
        <f>+'Exhibit F'!AF20</f>
        <v>-918.4</v>
      </c>
      <c r="AF24" s="3123"/>
      <c r="AG24" s="3123"/>
      <c r="AH24" s="893">
        <f>-ROUND(SUM(+AB24-AE24),1)</f>
        <v>-18.7</v>
      </c>
      <c r="AI24" s="3326"/>
      <c r="AJ24" s="1723">
        <f>ROUND(IF(AE24=0,0,AH24/ABS(AE24)),3)</f>
        <v>-0.02</v>
      </c>
    </row>
    <row r="25" spans="1:36" ht="16.5" customHeight="1">
      <c r="A25" s="1074" t="s">
        <v>1353</v>
      </c>
      <c r="B25" s="669"/>
      <c r="C25" s="358">
        <f>+'Exhibit F'!D21</f>
        <v>107.4</v>
      </c>
      <c r="D25" s="613"/>
      <c r="E25" s="358">
        <f>+'Exhibit F'!F21</f>
        <v>60.099999999999994</v>
      </c>
      <c r="F25" s="613"/>
      <c r="G25" s="358">
        <f>+'Exhibit F'!H21</f>
        <v>63</v>
      </c>
      <c r="H25" s="519"/>
      <c r="I25" s="358">
        <f>+'Exhibit F'!J21</f>
        <v>103.10000000000002</v>
      </c>
      <c r="J25" s="519"/>
      <c r="K25" s="358">
        <f>+'Exhibit F'!L21</f>
        <v>75.000000000000028</v>
      </c>
      <c r="L25" s="222"/>
      <c r="M25" s="358">
        <f>+'Exhibit F'!N21</f>
        <v>97.9</v>
      </c>
      <c r="N25" s="222"/>
      <c r="O25" s="3325">
        <f>+'Exhibit F'!P21</f>
        <v>133.2999999999999</v>
      </c>
      <c r="P25" s="222"/>
      <c r="Q25" s="358"/>
      <c r="R25" s="222"/>
      <c r="S25" s="358"/>
      <c r="T25" s="222"/>
      <c r="U25" s="358"/>
      <c r="V25" s="222"/>
      <c r="W25" s="358"/>
      <c r="X25" s="222"/>
      <c r="Y25" s="358"/>
      <c r="Z25" s="222"/>
      <c r="AA25" s="958"/>
      <c r="AB25" s="1635">
        <f t="shared" si="0"/>
        <v>639.79999999999995</v>
      </c>
      <c r="AC25" s="3123"/>
      <c r="AD25" s="3324"/>
      <c r="AE25" s="3325">
        <f>+'Exhibit F'!AF21</f>
        <v>752.7</v>
      </c>
      <c r="AF25" s="3123"/>
      <c r="AG25" s="3123"/>
      <c r="AH25" s="893">
        <f>ROUND(SUM(+AB25-AE25),1)</f>
        <v>-112.9</v>
      </c>
      <c r="AI25" s="3326"/>
      <c r="AJ25" s="1723">
        <f t="shared" ref="AJ25:AJ30" si="1">ROUND(IF(AE25=0,0,AH25/ABS(AE25)),3)</f>
        <v>-0.15</v>
      </c>
    </row>
    <row r="26" spans="1:36" ht="16.5" customHeight="1">
      <c r="A26" s="670" t="s">
        <v>1087</v>
      </c>
      <c r="B26" s="670"/>
      <c r="C26" s="672">
        <f>ROUND(SUM(C21:C25),1)</f>
        <v>3775.6</v>
      </c>
      <c r="D26" s="26"/>
      <c r="E26" s="672">
        <f>ROUND(SUM(E21:E25),1)</f>
        <v>3144.2</v>
      </c>
      <c r="F26" s="26"/>
      <c r="G26" s="672">
        <f>ROUND(SUM(G21:G25),1)</f>
        <v>4854.8</v>
      </c>
      <c r="H26" s="222"/>
      <c r="I26" s="884">
        <f>ROUND(SUM(I21:I25),1)</f>
        <v>11410.5</v>
      </c>
      <c r="J26" s="222"/>
      <c r="K26" s="884">
        <f>ROUND(SUM(K21:K25),1)</f>
        <v>3114.1</v>
      </c>
      <c r="L26" s="222"/>
      <c r="M26" s="884">
        <f>ROUND(SUM(M21:M25),1)</f>
        <v>5766.8</v>
      </c>
      <c r="N26" s="222"/>
      <c r="O26" s="3129">
        <f>ROUND(SUM(O21:O25),1)</f>
        <v>3312.7</v>
      </c>
      <c r="P26" s="222"/>
      <c r="Q26" s="3129">
        <f>ROUND(SUM(Q21:Q25),1)</f>
        <v>0</v>
      </c>
      <c r="R26" s="222"/>
      <c r="S26" s="884">
        <f>ROUND(SUM(S21:S25),1)</f>
        <v>0</v>
      </c>
      <c r="T26" s="222"/>
      <c r="U26" s="884">
        <f>ROUND(SUM(U21:U25),1)</f>
        <v>0</v>
      </c>
      <c r="V26" s="222"/>
      <c r="W26" s="884">
        <f>ROUND(SUM(W21:W25),1)</f>
        <v>0</v>
      </c>
      <c r="X26" s="222"/>
      <c r="Y26" s="884">
        <f>ROUND(SUM(Y21:Y25),1)</f>
        <v>0</v>
      </c>
      <c r="Z26" s="222"/>
      <c r="AA26" s="958"/>
      <c r="AB26" s="3128">
        <f>ROUND(SUM(C26:Y26),1)</f>
        <v>35378.699999999997</v>
      </c>
      <c r="AC26" s="3123"/>
      <c r="AD26" s="3324"/>
      <c r="AE26" s="3129">
        <f>ROUND(SUM(AE21:AE25),1)</f>
        <v>37249.199999999997</v>
      </c>
      <c r="AF26" s="3123"/>
      <c r="AG26" s="3123"/>
      <c r="AH26" s="1537">
        <f>ROUND(SUM(AB26-AE26),1)</f>
        <v>-1870.5</v>
      </c>
      <c r="AI26" s="3326"/>
      <c r="AJ26" s="2196">
        <f t="shared" si="1"/>
        <v>-0.05</v>
      </c>
    </row>
    <row r="27" spans="1:36" ht="16.5" customHeight="1">
      <c r="A27" s="1074" t="s">
        <v>1089</v>
      </c>
      <c r="B27" s="669"/>
      <c r="C27" s="1364">
        <v>0</v>
      </c>
      <c r="D27" s="614"/>
      <c r="E27" s="1364">
        <v>0</v>
      </c>
      <c r="F27" s="614"/>
      <c r="G27" s="1364">
        <v>0</v>
      </c>
      <c r="H27" s="1437"/>
      <c r="I27" s="1364">
        <v>0</v>
      </c>
      <c r="J27" s="1437"/>
      <c r="K27" s="1364">
        <v>0</v>
      </c>
      <c r="L27" s="1438"/>
      <c r="M27" s="1364">
        <v>0</v>
      </c>
      <c r="N27" s="1438"/>
      <c r="O27" s="3883">
        <v>0</v>
      </c>
      <c r="P27" s="222"/>
      <c r="Q27" s="1364"/>
      <c r="R27" s="222"/>
      <c r="S27" s="1364"/>
      <c r="T27" s="222"/>
      <c r="U27" s="1364"/>
      <c r="V27" s="222"/>
      <c r="W27" s="1364"/>
      <c r="X27" s="222"/>
      <c r="Y27" s="1364"/>
      <c r="Z27" s="222"/>
      <c r="AA27" s="958"/>
      <c r="AB27" s="1635">
        <f t="shared" si="0"/>
        <v>0</v>
      </c>
      <c r="AC27" s="3123"/>
      <c r="AD27" s="3324"/>
      <c r="AE27" s="3883">
        <f>+'Exhibit F'!AF23+'Exhibit G'!AG17</f>
        <v>0</v>
      </c>
      <c r="AF27" s="3123"/>
      <c r="AG27" s="3123"/>
      <c r="AH27" s="893">
        <f>ROUND(SUM(+AB27-AE27),1)</f>
        <v>0</v>
      </c>
      <c r="AI27" s="3326"/>
      <c r="AJ27" s="1723">
        <f t="shared" si="1"/>
        <v>0</v>
      </c>
    </row>
    <row r="28" spans="1:36" ht="16.5" customHeight="1">
      <c r="A28" s="1074" t="s">
        <v>1090</v>
      </c>
      <c r="B28" s="669"/>
      <c r="C28" s="616">
        <f>'Exhibit F'!D24+'Exhibit H'!B16</f>
        <v>0</v>
      </c>
      <c r="D28" s="614"/>
      <c r="E28" s="616">
        <f>'Exhibit F'!F24+'Exhibit H'!D16</f>
        <v>0</v>
      </c>
      <c r="F28" s="614"/>
      <c r="G28" s="616">
        <f>'Exhibit F'!H24+'Exhibit H'!F16</f>
        <v>0</v>
      </c>
      <c r="H28" s="1437"/>
      <c r="I28" s="616">
        <f>'Exhibit F'!J24+'Exhibit H'!H16</f>
        <v>0</v>
      </c>
      <c r="J28" s="1437"/>
      <c r="K28" s="616">
        <f>'Exhibit F'!L24+'Exhibit H'!J16</f>
        <v>0</v>
      </c>
      <c r="L28" s="1438"/>
      <c r="M28" s="616">
        <f>'Exhibit F'!N24+'Exhibit H'!L16</f>
        <v>0</v>
      </c>
      <c r="N28" s="1438"/>
      <c r="O28" s="1789">
        <f>'Exhibit F'!P24+'Exhibit H'!N16</f>
        <v>0</v>
      </c>
      <c r="P28" s="222"/>
      <c r="Q28" s="616"/>
      <c r="R28" s="222"/>
      <c r="S28" s="616"/>
      <c r="T28" s="222"/>
      <c r="U28" s="616"/>
      <c r="V28" s="222"/>
      <c r="W28" s="616"/>
      <c r="X28" s="222"/>
      <c r="Y28" s="616"/>
      <c r="Z28" s="222"/>
      <c r="AA28" s="958"/>
      <c r="AB28" s="1635">
        <f t="shared" si="0"/>
        <v>0</v>
      </c>
      <c r="AC28" s="3123"/>
      <c r="AD28" s="3324"/>
      <c r="AE28" s="1789">
        <f>+'Exhibit F'!AF24+'Exhibit H'!AD16</f>
        <v>0</v>
      </c>
      <c r="AF28" s="3123"/>
      <c r="AG28" s="3123"/>
      <c r="AH28" s="893">
        <f>ROUND(SUM(+AB28-AE28),1)</f>
        <v>0</v>
      </c>
      <c r="AI28" s="3326"/>
      <c r="AJ28" s="1723">
        <f>ROUND(IF(AE28=0,0,AH28/ABS(AE28)),3)</f>
        <v>0</v>
      </c>
    </row>
    <row r="29" spans="1:36" ht="16.5" customHeight="1">
      <c r="A29" s="669" t="s">
        <v>1355</v>
      </c>
      <c r="B29" s="669"/>
      <c r="C29" s="358">
        <f>+'Exhibit F'!D25</f>
        <v>-1709.4</v>
      </c>
      <c r="D29" s="613"/>
      <c r="E29" s="358">
        <f>+'Exhibit F'!F25</f>
        <v>-945</v>
      </c>
      <c r="F29" s="613"/>
      <c r="G29" s="358">
        <f>+'Exhibit F'!H25</f>
        <v>-486.29999999999973</v>
      </c>
      <c r="H29" s="519"/>
      <c r="I29" s="358">
        <f>+'Exhibit F'!J25</f>
        <v>-1179.8000000000002</v>
      </c>
      <c r="J29" s="519"/>
      <c r="K29" s="358">
        <f>+'Exhibit F'!L25</f>
        <v>-391.1</v>
      </c>
      <c r="L29" s="222"/>
      <c r="M29" s="358">
        <f>+'Exhibit F'!N25</f>
        <v>-495.4</v>
      </c>
      <c r="N29" s="222"/>
      <c r="O29" s="3325">
        <f>+'Exhibit F'!P25</f>
        <v>-781.10000000000093</v>
      </c>
      <c r="P29" s="222"/>
      <c r="Q29" s="358"/>
      <c r="R29" s="222"/>
      <c r="S29" s="358"/>
      <c r="T29" s="222"/>
      <c r="U29" s="358"/>
      <c r="V29" s="222"/>
      <c r="W29" s="358"/>
      <c r="X29" s="222"/>
      <c r="Y29" s="358"/>
      <c r="Z29" s="222"/>
      <c r="AA29" s="958"/>
      <c r="AB29" s="1635">
        <f t="shared" si="0"/>
        <v>-5988.1</v>
      </c>
      <c r="AC29" s="3123"/>
      <c r="AD29" s="3324"/>
      <c r="AE29" s="3325">
        <f>+'Exhibit F'!AF25</f>
        <v>-6689.4</v>
      </c>
      <c r="AF29" s="3123"/>
      <c r="AG29" s="3123"/>
      <c r="AH29" s="893">
        <f>-ROUND(SUM(+AB29-AE29),1)</f>
        <v>-701.3</v>
      </c>
      <c r="AI29" s="3326"/>
      <c r="AJ29" s="1723">
        <f t="shared" si="1"/>
        <v>-0.105</v>
      </c>
    </row>
    <row r="30" spans="1:36" ht="16.5" customHeight="1">
      <c r="A30" s="307" t="s">
        <v>1088</v>
      </c>
      <c r="B30" s="669"/>
      <c r="C30" s="884">
        <f>ROUND(SUM(C26)+SUM(C27)+SUM(C28)+SUM(C29),1)</f>
        <v>2066.1999999999998</v>
      </c>
      <c r="D30" s="26"/>
      <c r="E30" s="884">
        <f>ROUND(SUM(E26)+SUM(E27)+SUM(E28)+SUM(E29),1)</f>
        <v>2199.1999999999998</v>
      </c>
      <c r="F30" s="26"/>
      <c r="G30" s="884">
        <f>ROUND(SUM(G26)+SUM(G27)+SUM(G28)+SUM(G29),1)</f>
        <v>4368.5</v>
      </c>
      <c r="H30" s="222"/>
      <c r="I30" s="884">
        <f>ROUND(SUM(I26)+SUM(I27)+SUM(I28)+SUM(I29),1)</f>
        <v>10230.700000000001</v>
      </c>
      <c r="J30" s="222"/>
      <c r="K30" s="884">
        <f>ROUND(SUM(K26)+SUM(K27)+SUM(K28)+SUM(K29),1)</f>
        <v>2723</v>
      </c>
      <c r="L30" s="222"/>
      <c r="M30" s="884">
        <f>ROUND(SUM(M26)+SUM(M27)+SUM(M28)+SUM(M29),1)</f>
        <v>5271.4</v>
      </c>
      <c r="N30" s="222"/>
      <c r="O30" s="3129">
        <f>ROUND(SUM(O26)+SUM(O27)+SUM(O28)+SUM(O29),1)</f>
        <v>2531.6</v>
      </c>
      <c r="P30" s="222"/>
      <c r="Q30" s="3129">
        <f>ROUND(SUM(Q26)+SUM(Q27)+SUM(Q28)+SUM(Q29),1)</f>
        <v>0</v>
      </c>
      <c r="R30" s="222"/>
      <c r="S30" s="884">
        <f>ROUND(SUM(S26)+SUM(S27)+SUM(S28)+SUM(S29),1)</f>
        <v>0</v>
      </c>
      <c r="T30" s="222"/>
      <c r="U30" s="884">
        <f>ROUND(SUM(U26)+SUM(U27)+SUM(U28)+SUM(U29),1)</f>
        <v>0</v>
      </c>
      <c r="V30" s="222"/>
      <c r="W30" s="884">
        <f>ROUND(SUM(W26)+SUM(W27)+SUM(W28)+SUM(W29),1)</f>
        <v>0</v>
      </c>
      <c r="X30" s="222"/>
      <c r="Y30" s="884">
        <f>ROUND(SUM(Y26)+SUM(Y27)+SUM(Y28)+SUM(Y29),1)</f>
        <v>0</v>
      </c>
      <c r="Z30" s="222"/>
      <c r="AA30" s="958"/>
      <c r="AB30" s="3128">
        <f t="shared" si="0"/>
        <v>29390.6</v>
      </c>
      <c r="AC30" s="3123"/>
      <c r="AD30" s="3324"/>
      <c r="AE30" s="3129">
        <f>ROUND(SUM(AE26)+SUM(AE27)+SUM(AE28)+SUM(AE29),1)</f>
        <v>30559.8</v>
      </c>
      <c r="AF30" s="3123"/>
      <c r="AG30" s="3123"/>
      <c r="AH30" s="1537">
        <f>ROUND(SUM(AH26+AH27+AH28-AH29),1)</f>
        <v>-1169.2</v>
      </c>
      <c r="AI30" s="1022"/>
      <c r="AJ30" s="2196">
        <f t="shared" si="1"/>
        <v>-3.7999999999999999E-2</v>
      </c>
    </row>
    <row r="31" spans="1:36" ht="16.5" customHeight="1">
      <c r="A31" s="1049" t="s">
        <v>1140</v>
      </c>
      <c r="B31" s="673"/>
      <c r="C31" s="609"/>
      <c r="D31" s="609"/>
      <c r="E31" s="609"/>
      <c r="F31" s="609"/>
      <c r="G31" s="609"/>
      <c r="H31" s="222"/>
      <c r="I31" s="609"/>
      <c r="J31" s="222"/>
      <c r="K31" s="609"/>
      <c r="L31" s="222"/>
      <c r="M31" s="609"/>
      <c r="N31" s="222"/>
      <c r="O31" s="3409"/>
      <c r="P31" s="222"/>
      <c r="Q31" s="3409"/>
      <c r="R31" s="222"/>
      <c r="S31" s="609"/>
      <c r="T31" s="222"/>
      <c r="U31" s="609"/>
      <c r="V31" s="222"/>
      <c r="W31" s="609"/>
      <c r="X31" s="222"/>
      <c r="Y31" s="609"/>
      <c r="Z31" s="222"/>
      <c r="AA31" s="958"/>
      <c r="AB31" s="3123"/>
      <c r="AC31" s="3123"/>
      <c r="AD31" s="3324"/>
      <c r="AE31" s="3327"/>
      <c r="AF31" s="3123"/>
      <c r="AG31" s="3123"/>
      <c r="AH31" s="112"/>
      <c r="AI31" s="1022"/>
      <c r="AJ31" s="3328"/>
    </row>
    <row r="32" spans="1:36" ht="16.5" customHeight="1">
      <c r="A32" s="669" t="s">
        <v>1093</v>
      </c>
      <c r="B32" s="673"/>
      <c r="C32" s="358">
        <f>+'Exhibit F'!D28+'Exhibit G'!D20+'Exhibit H'!B19</f>
        <v>869.4</v>
      </c>
      <c r="D32" s="613"/>
      <c r="E32" s="358">
        <f>+'Exhibit F'!F28+'Exhibit G'!F20+'Exhibit H'!D19</f>
        <v>790.8</v>
      </c>
      <c r="F32" s="613"/>
      <c r="G32" s="358">
        <f>+'Exhibit F'!H28+'Exhibit G'!H20+'Exhibit H'!F19</f>
        <v>1210</v>
      </c>
      <c r="H32" s="519"/>
      <c r="I32" s="358">
        <f>+'Exhibit F'!J28+'Exhibit G'!J20+'Exhibit H'!H19</f>
        <v>1132.3999999999999</v>
      </c>
      <c r="J32" s="519"/>
      <c r="K32" s="358">
        <f>+'Exhibit F'!L28+'Exhibit G'!L20+'Exhibit H'!J19</f>
        <v>1146.3999999999996</v>
      </c>
      <c r="L32" s="222"/>
      <c r="M32" s="358">
        <f>+'Exhibit F'!N28+'Exhibit G'!N20+'Exhibit H'!L19</f>
        <v>1540.2000000000005</v>
      </c>
      <c r="N32" s="222"/>
      <c r="O32" s="3325">
        <f>+'Exhibit F'!P28+'Exhibit G'!P20+'Exhibit H'!N19</f>
        <v>1140.5999999999995</v>
      </c>
      <c r="P32" s="222"/>
      <c r="Q32" s="358"/>
      <c r="R32" s="222"/>
      <c r="S32" s="358"/>
      <c r="T32" s="222"/>
      <c r="U32" s="358"/>
      <c r="V32" s="222"/>
      <c r="W32" s="358"/>
      <c r="X32" s="222"/>
      <c r="Y32" s="358"/>
      <c r="Z32" s="222"/>
      <c r="AA32" s="958"/>
      <c r="AB32" s="1635">
        <f t="shared" ref="AB32:AB40" si="2">ROUND(SUM(C32:Y32),1)</f>
        <v>7829.8</v>
      </c>
      <c r="AC32" s="3123"/>
      <c r="AD32" s="3324"/>
      <c r="AE32" s="3325">
        <f>+'Exhibit F'!AF28+'Exhibit G'!AG20+'Exhibit H'!AD19</f>
        <v>9318.2000000000007</v>
      </c>
      <c r="AF32" s="3123"/>
      <c r="AG32" s="3123"/>
      <c r="AH32" s="893">
        <f t="shared" ref="AH32:AH38" si="3">ROUND(SUM(+AB32-AE32),1)</f>
        <v>-1488.4</v>
      </c>
      <c r="AI32" s="1022"/>
      <c r="AJ32" s="1724">
        <f t="shared" ref="AJ32:AJ41" si="4">ROUND(IF(AE32=0,0,AH32/ABS(AE32)),3)</f>
        <v>-0.16</v>
      </c>
    </row>
    <row r="33" spans="1:36" ht="16.5" customHeight="1">
      <c r="A33" s="669" t="s">
        <v>1094</v>
      </c>
      <c r="B33" s="673"/>
      <c r="C33" s="358">
        <f>+'Exhibit F'!D29+'Exhibit G'!D21+'Exhibit I'!E20</f>
        <v>0.5</v>
      </c>
      <c r="D33" s="613"/>
      <c r="E33" s="358">
        <f>+'Exhibit F'!F29+'Exhibit G'!F21+'Exhibit I'!G20</f>
        <v>-1.4</v>
      </c>
      <c r="F33" s="613"/>
      <c r="G33" s="358">
        <f>+'Exhibit F'!H29+'Exhibit G'!H21+'Exhibit I'!I20</f>
        <v>13.500000000000002</v>
      </c>
      <c r="H33" s="519"/>
      <c r="I33" s="358">
        <f>+'Exhibit F'!J29+'Exhibit G'!J21+'Exhibit I'!K20</f>
        <v>2.1</v>
      </c>
      <c r="J33" s="519"/>
      <c r="K33" s="358">
        <f>+'Exhibit F'!L29+'Exhibit G'!L21+'Exhibit I'!M20</f>
        <v>2.0999999999999992</v>
      </c>
      <c r="L33" s="222"/>
      <c r="M33" s="358">
        <f>+'Exhibit F'!N29+'Exhibit G'!N21+'Exhibit I'!O20</f>
        <v>14.499999999999995</v>
      </c>
      <c r="N33" s="222"/>
      <c r="O33" s="3325">
        <f>+'Exhibit F'!P29+'Exhibit G'!P21+'Exhibit I'!Q20</f>
        <v>0.10000000000000142</v>
      </c>
      <c r="P33" s="222"/>
      <c r="Q33" s="358"/>
      <c r="R33" s="222"/>
      <c r="S33" s="358"/>
      <c r="T33" s="222"/>
      <c r="U33" s="358"/>
      <c r="V33" s="222"/>
      <c r="W33" s="358"/>
      <c r="X33" s="222"/>
      <c r="Y33" s="358"/>
      <c r="Z33" s="222"/>
      <c r="AA33" s="958"/>
      <c r="AB33" s="1635">
        <f t="shared" si="2"/>
        <v>31.4</v>
      </c>
      <c r="AC33" s="3123"/>
      <c r="AD33" s="3324"/>
      <c r="AE33" s="3325">
        <f>+'Exhibit F'!AF29+'Exhibit G'!AG21+'Exhibit I'!AI20</f>
        <v>57.199999999999996</v>
      </c>
      <c r="AF33" s="3123"/>
      <c r="AG33" s="3123"/>
      <c r="AH33" s="893">
        <f t="shared" si="3"/>
        <v>-25.8</v>
      </c>
      <c r="AI33" s="1022"/>
      <c r="AJ33" s="1724">
        <f t="shared" si="4"/>
        <v>-0.45100000000000001</v>
      </c>
    </row>
    <row r="34" spans="1:36" ht="16.5" customHeight="1">
      <c r="A34" s="669" t="s">
        <v>1095</v>
      </c>
      <c r="B34" s="669"/>
      <c r="C34" s="358">
        <f>+'Exhibit F'!D30+'Exhibit G'!D22</f>
        <v>98.8</v>
      </c>
      <c r="D34" s="613"/>
      <c r="E34" s="358">
        <f>+'Exhibit F'!F30+'Exhibit G'!F22</f>
        <v>74</v>
      </c>
      <c r="F34" s="613"/>
      <c r="G34" s="358">
        <f>+'Exhibit F'!H30+'Exhibit G'!H22</f>
        <v>86.100000000000009</v>
      </c>
      <c r="H34" s="519"/>
      <c r="I34" s="358">
        <f>+'Exhibit F'!J30+'Exhibit G'!J22</f>
        <v>97.799999999999983</v>
      </c>
      <c r="J34" s="519"/>
      <c r="K34" s="358">
        <f>+'Exhibit F'!L30+'Exhibit G'!L22</f>
        <v>86.999999999999972</v>
      </c>
      <c r="L34" s="222"/>
      <c r="M34" s="358">
        <f>+'Exhibit F'!N30+'Exhibit G'!N22</f>
        <v>103.4</v>
      </c>
      <c r="N34" s="222"/>
      <c r="O34" s="3325">
        <f>+'Exhibit F'!P30+'Exhibit G'!P22</f>
        <v>80.999999999999986</v>
      </c>
      <c r="P34" s="222"/>
      <c r="Q34" s="358"/>
      <c r="R34" s="222"/>
      <c r="S34" s="358"/>
      <c r="T34" s="222"/>
      <c r="U34" s="358"/>
      <c r="V34" s="222"/>
      <c r="W34" s="358"/>
      <c r="X34" s="222"/>
      <c r="Y34" s="358"/>
      <c r="Z34" s="222"/>
      <c r="AA34" s="958"/>
      <c r="AB34" s="1635">
        <f t="shared" si="2"/>
        <v>628.1</v>
      </c>
      <c r="AC34" s="3123"/>
      <c r="AD34" s="3324"/>
      <c r="AE34" s="3325">
        <f>+'Exhibit F'!AF30+'Exhibit G'!AG22</f>
        <v>638.70000000000005</v>
      </c>
      <c r="AF34" s="3123"/>
      <c r="AG34" s="3123"/>
      <c r="AH34" s="893">
        <f t="shared" si="3"/>
        <v>-10.6</v>
      </c>
      <c r="AI34" s="1022"/>
      <c r="AJ34" s="1724">
        <f t="shared" si="4"/>
        <v>-1.7000000000000001E-2</v>
      </c>
    </row>
    <row r="35" spans="1:36" ht="16.5" customHeight="1">
      <c r="A35" s="669" t="s">
        <v>1238</v>
      </c>
      <c r="B35" s="669"/>
      <c r="C35" s="358">
        <f>+'Exhibit G'!D23</f>
        <v>0.5</v>
      </c>
      <c r="D35" s="613"/>
      <c r="E35" s="358">
        <f>+'Exhibit G'!F23</f>
        <v>0.60000000000000009</v>
      </c>
      <c r="F35" s="613"/>
      <c r="G35" s="358">
        <f>+'Exhibit G'!H23</f>
        <v>0.7</v>
      </c>
      <c r="H35" s="519"/>
      <c r="I35" s="358">
        <f>+'Exhibit G'!J23</f>
        <v>0.59999999999999987</v>
      </c>
      <c r="J35" s="519"/>
      <c r="K35" s="358">
        <f>+'Exhibit G'!L23</f>
        <v>0.80000000000000027</v>
      </c>
      <c r="L35" s="1531"/>
      <c r="M35" s="358">
        <f>+'Exhibit G'!N23</f>
        <v>0.69999999999999951</v>
      </c>
      <c r="N35" s="1531"/>
      <c r="O35" s="3325">
        <f>+'Exhibit G'!P23</f>
        <v>0.80000000000000093</v>
      </c>
      <c r="P35" s="1531"/>
      <c r="Q35" s="358"/>
      <c r="R35" s="1531"/>
      <c r="S35" s="358"/>
      <c r="T35" s="1531"/>
      <c r="U35" s="358"/>
      <c r="V35" s="1531"/>
      <c r="W35" s="358"/>
      <c r="X35" s="1531"/>
      <c r="Y35" s="358"/>
      <c r="Z35" s="1531"/>
      <c r="AA35" s="958"/>
      <c r="AB35" s="1635">
        <f>ROUND(SUM(C35:Y35),1)</f>
        <v>4.7</v>
      </c>
      <c r="AC35" s="3123"/>
      <c r="AD35" s="3324"/>
      <c r="AE35" s="3325">
        <f>'Exhibit G'!AG23</f>
        <v>3.2</v>
      </c>
      <c r="AF35" s="3123"/>
      <c r="AG35" s="3123"/>
      <c r="AH35" s="893">
        <f>ROUND(SUM(+AB35-AE35),1)</f>
        <v>1.5</v>
      </c>
      <c r="AI35" s="1022"/>
      <c r="AJ35" s="1724">
        <f>ROUND(IF(AE35=0,0,AH35/ABS(AE35)),3)</f>
        <v>0.46899999999999997</v>
      </c>
    </row>
    <row r="36" spans="1:36" ht="16.5" customHeight="1">
      <c r="A36" s="669" t="s">
        <v>1096</v>
      </c>
      <c r="B36" s="669"/>
      <c r="C36" s="358">
        <f>+'Exhibit F'!D31+'Exhibit G'!D24+'Exhibit I'!E21</f>
        <v>30.299999999999997</v>
      </c>
      <c r="D36" s="613"/>
      <c r="E36" s="358">
        <f>+'Exhibit F'!F31+'Exhibit G'!F24+'Exhibit I'!G21</f>
        <v>21.400000000000002</v>
      </c>
      <c r="F36" s="613"/>
      <c r="G36" s="358">
        <f>+'Exhibit F'!H31+'Exhibit G'!H24+'Exhibit I'!I21</f>
        <v>31.500000000000004</v>
      </c>
      <c r="H36" s="519"/>
      <c r="I36" s="358">
        <f>+'Exhibit F'!J31+'Exhibit G'!J24+'Exhibit I'!K21</f>
        <v>39.699999999999989</v>
      </c>
      <c r="J36" s="519"/>
      <c r="K36" s="358">
        <f>+'Exhibit F'!L31+'Exhibit G'!L24+'Exhibit I'!M21</f>
        <v>42.5</v>
      </c>
      <c r="L36" s="222"/>
      <c r="M36" s="358">
        <f>+'Exhibit F'!N31+'Exhibit G'!N24+'Exhibit I'!O21</f>
        <v>41.600000000000023</v>
      </c>
      <c r="N36" s="222"/>
      <c r="O36" s="3325">
        <f>+'Exhibit F'!P31+'Exhibit G'!P24+'Exhibit I'!Q21</f>
        <v>39.59999999999998</v>
      </c>
      <c r="P36" s="222"/>
      <c r="Q36" s="358"/>
      <c r="R36" s="222"/>
      <c r="S36" s="358"/>
      <c r="T36" s="222"/>
      <c r="U36" s="358"/>
      <c r="V36" s="222"/>
      <c r="W36" s="358"/>
      <c r="X36" s="222"/>
      <c r="Y36" s="358"/>
      <c r="Z36" s="222"/>
      <c r="AA36" s="958"/>
      <c r="AB36" s="1635">
        <f t="shared" si="2"/>
        <v>246.6</v>
      </c>
      <c r="AC36" s="3123"/>
      <c r="AD36" s="3324"/>
      <c r="AE36" s="3325">
        <f>+'Exhibit F'!AF31+'Exhibit G'!AG24+'Exhibit I'!AI21</f>
        <v>313.89999999999998</v>
      </c>
      <c r="AF36" s="3123"/>
      <c r="AG36" s="3123"/>
      <c r="AH36" s="893">
        <f t="shared" si="3"/>
        <v>-67.3</v>
      </c>
      <c r="AI36" s="1022"/>
      <c r="AJ36" s="1724">
        <f t="shared" si="4"/>
        <v>-0.214</v>
      </c>
    </row>
    <row r="37" spans="1:36" ht="16.5" customHeight="1">
      <c r="A37" s="669" t="s">
        <v>1097</v>
      </c>
      <c r="B37" s="669"/>
      <c r="C37" s="358">
        <f>+'Exhibit F'!D32+'Exhibit G'!D25</f>
        <v>26.7</v>
      </c>
      <c r="D37" s="613"/>
      <c r="E37" s="358">
        <f>+'Exhibit F'!F32+'Exhibit G'!F25</f>
        <v>21.400000000000002</v>
      </c>
      <c r="F37" s="613"/>
      <c r="G37" s="358">
        <f>+'Exhibit F'!H32+'Exhibit G'!H25</f>
        <v>22.8</v>
      </c>
      <c r="H37" s="519"/>
      <c r="I37" s="358">
        <f>+'Exhibit F'!J32+'Exhibit G'!J25</f>
        <v>25.999999999999982</v>
      </c>
      <c r="J37" s="519"/>
      <c r="K37" s="358">
        <f>+'Exhibit F'!L32+'Exhibit G'!L25</f>
        <v>23.100000000000012</v>
      </c>
      <c r="L37" s="222"/>
      <c r="M37" s="358">
        <f>+'Exhibit F'!N32+'Exhibit G'!N25</f>
        <v>23.300000000000008</v>
      </c>
      <c r="N37" s="222"/>
      <c r="O37" s="3325">
        <f>+'Exhibit F'!P32+'Exhibit G'!P25</f>
        <v>23.700000000000006</v>
      </c>
      <c r="P37" s="222"/>
      <c r="Q37" s="358"/>
      <c r="R37" s="222"/>
      <c r="S37" s="358"/>
      <c r="T37" s="222"/>
      <c r="U37" s="358"/>
      <c r="V37" s="222"/>
      <c r="W37" s="358"/>
      <c r="X37" s="222"/>
      <c r="Y37" s="358"/>
      <c r="Z37" s="222"/>
      <c r="AA37" s="958"/>
      <c r="AB37" s="1635">
        <f t="shared" si="2"/>
        <v>167</v>
      </c>
      <c r="AC37" s="3123"/>
      <c r="AD37" s="3324"/>
      <c r="AE37" s="3325">
        <f>+'Exhibit F'!AF32+'Exhibit G'!AG25</f>
        <v>154.6</v>
      </c>
      <c r="AF37" s="3123"/>
      <c r="AG37" s="3123"/>
      <c r="AH37" s="893">
        <f t="shared" si="3"/>
        <v>12.4</v>
      </c>
      <c r="AI37" s="1022"/>
      <c r="AJ37" s="1724">
        <f t="shared" si="4"/>
        <v>0.08</v>
      </c>
    </row>
    <row r="38" spans="1:36" ht="16.5" customHeight="1">
      <c r="A38" s="669" t="s">
        <v>1098</v>
      </c>
      <c r="B38" s="669"/>
      <c r="C38" s="358">
        <f>+'Exhibit F'!D33+'Exhibit G'!D26+'Exhibit I'!E22</f>
        <v>11.6</v>
      </c>
      <c r="D38" s="613"/>
      <c r="E38" s="358">
        <f>+'Exhibit F'!F33+'Exhibit G'!F26+'Exhibit I'!G22</f>
        <v>8.8999999999999986</v>
      </c>
      <c r="F38" s="613"/>
      <c r="G38" s="358">
        <f>+'Exhibit F'!H33+'Exhibit G'!H26+'Exhibit I'!I22</f>
        <v>12.399999999999997</v>
      </c>
      <c r="H38" s="519"/>
      <c r="I38" s="358">
        <f>+'Exhibit F'!J33+'Exhibit G'!J26+'Exhibit I'!K22</f>
        <v>12.400000000000007</v>
      </c>
      <c r="J38" s="519"/>
      <c r="K38" s="358">
        <f>+'Exhibit F'!L33+'Exhibit G'!L26+'Exhibit I'!M22</f>
        <v>10.299999999999994</v>
      </c>
      <c r="L38" s="222"/>
      <c r="M38" s="358">
        <f>+'Exhibit F'!N33+'Exhibit G'!N26+'Exhibit I'!O22</f>
        <v>12.699999999999998</v>
      </c>
      <c r="N38" s="222"/>
      <c r="O38" s="3325">
        <f>+'Exhibit F'!P33+'Exhibit G'!P26+'Exhibit I'!Q22</f>
        <v>10.600000000000014</v>
      </c>
      <c r="P38" s="222"/>
      <c r="Q38" s="358"/>
      <c r="R38" s="222"/>
      <c r="S38" s="358"/>
      <c r="T38" s="222"/>
      <c r="U38" s="358"/>
      <c r="V38" s="222"/>
      <c r="W38" s="358"/>
      <c r="X38" s="222"/>
      <c r="Y38" s="358"/>
      <c r="Z38" s="222"/>
      <c r="AA38" s="958"/>
      <c r="AB38" s="1635">
        <f t="shared" si="2"/>
        <v>78.900000000000006</v>
      </c>
      <c r="AC38" s="3123"/>
      <c r="AD38" s="3324"/>
      <c r="AE38" s="3325">
        <f>+'Exhibit F'!AF33+'Exhibit G'!AG26+'Exhibit I'!AI22</f>
        <v>85.399999999999991</v>
      </c>
      <c r="AF38" s="3123"/>
      <c r="AG38" s="3123"/>
      <c r="AH38" s="893">
        <f t="shared" si="3"/>
        <v>-6.5</v>
      </c>
      <c r="AI38" s="1022"/>
      <c r="AJ38" s="3329">
        <f t="shared" si="4"/>
        <v>-7.5999999999999998E-2</v>
      </c>
    </row>
    <row r="39" spans="1:36" ht="16.5" customHeight="1">
      <c r="A39" s="669" t="s">
        <v>1440</v>
      </c>
      <c r="B39" s="669"/>
      <c r="C39" s="358">
        <f>'Exhibit F'!D34+'Exhibit G'!D27</f>
        <v>0</v>
      </c>
      <c r="D39" s="613"/>
      <c r="E39" s="358">
        <f>'Exhibit F'!F34+'Exhibit G'!F27</f>
        <v>0.1</v>
      </c>
      <c r="F39" s="613"/>
      <c r="G39" s="358">
        <f>'Exhibit F'!H34+'Exhibit G'!H27</f>
        <v>11.700000000000001</v>
      </c>
      <c r="H39" s="519"/>
      <c r="I39" s="358">
        <f>'Exhibit F'!J34+'Exhibit G'!J27</f>
        <v>-0.40000000000000036</v>
      </c>
      <c r="J39" s="519"/>
      <c r="K39" s="358">
        <f>'Exhibit F'!L34+'Exhibit G'!L27</f>
        <v>-9.9999999999999645E-2</v>
      </c>
      <c r="L39" s="1531"/>
      <c r="M39" s="358">
        <f>'Exhibit F'!N34+'Exhibit G'!N27</f>
        <v>7.3999999999999968</v>
      </c>
      <c r="N39" s="1531"/>
      <c r="O39" s="3325">
        <f>'Exhibit F'!P34+'Exhibit G'!P27</f>
        <v>0</v>
      </c>
      <c r="P39" s="1531"/>
      <c r="Q39" s="358"/>
      <c r="R39" s="1531"/>
      <c r="S39" s="358"/>
      <c r="T39" s="1531"/>
      <c r="U39" s="358"/>
      <c r="V39" s="1531"/>
      <c r="W39" s="358"/>
      <c r="X39" s="1531"/>
      <c r="Y39" s="358"/>
      <c r="Z39" s="1531"/>
      <c r="AA39" s="958"/>
      <c r="AB39" s="1635">
        <f>ROUND(SUM(C39:Y39),1)</f>
        <v>18.7</v>
      </c>
      <c r="AC39" s="3123"/>
      <c r="AD39" s="3324"/>
      <c r="AE39" s="3325">
        <f>+'Exhibit F'!AF34</f>
        <v>0</v>
      </c>
      <c r="AF39" s="3123"/>
      <c r="AG39" s="3123"/>
      <c r="AH39" s="893">
        <f>ROUND(SUM(+AB39-AE39),1)</f>
        <v>18.7</v>
      </c>
      <c r="AI39" s="1022"/>
      <c r="AJ39" s="1728">
        <f>ROUND(IF(AE39=0,1,AH39/ABS(AE39)),3)</f>
        <v>1</v>
      </c>
    </row>
    <row r="40" spans="1:36" ht="16.5" customHeight="1">
      <c r="A40" s="669" t="s">
        <v>1442</v>
      </c>
      <c r="B40" s="669"/>
      <c r="C40" s="358">
        <f>'Exhibit F'!D35</f>
        <v>7.2</v>
      </c>
      <c r="D40" s="613"/>
      <c r="E40" s="358">
        <f>'Exhibit F'!F35</f>
        <v>0</v>
      </c>
      <c r="F40" s="613"/>
      <c r="G40" s="358">
        <f>'Exhibit F'!H35</f>
        <v>0</v>
      </c>
      <c r="H40" s="519"/>
      <c r="I40" s="358">
        <f>'Exhibit F'!J35</f>
        <v>8.9000000000000021</v>
      </c>
      <c r="J40" s="519"/>
      <c r="K40" s="358">
        <f>'Exhibit F'!L35</f>
        <v>0</v>
      </c>
      <c r="L40" s="1531"/>
      <c r="M40" s="358">
        <f>'Exhibit F'!N35</f>
        <v>0.29999999999999716</v>
      </c>
      <c r="N40" s="1531"/>
      <c r="O40" s="3325">
        <f>'Exhibit F'!P35</f>
        <v>6.1000000000000014</v>
      </c>
      <c r="P40" s="1531"/>
      <c r="Q40" s="358"/>
      <c r="R40" s="1531"/>
      <c r="S40" s="358"/>
      <c r="T40" s="1531"/>
      <c r="U40" s="358"/>
      <c r="V40" s="1531"/>
      <c r="W40" s="358"/>
      <c r="X40" s="1531"/>
      <c r="Y40" s="358"/>
      <c r="Z40" s="1531"/>
      <c r="AA40" s="518"/>
      <c r="AB40" s="1635">
        <f t="shared" si="2"/>
        <v>22.5</v>
      </c>
      <c r="AC40" s="3123"/>
      <c r="AD40" s="3324"/>
      <c r="AE40" s="3325">
        <f>+'Exhibit F'!AF35</f>
        <v>0</v>
      </c>
      <c r="AF40" s="3123"/>
      <c r="AG40" s="3123"/>
      <c r="AH40" s="893">
        <f t="shared" ref="AH40" si="5">ROUND(SUM(+AB40-AE40),1)</f>
        <v>22.5</v>
      </c>
      <c r="AI40" s="1022"/>
      <c r="AJ40" s="1728">
        <f>ROUND(IF(AE40=0,1,AH40/ABS(AE40)),3)</f>
        <v>1</v>
      </c>
    </row>
    <row r="41" spans="1:36" ht="16.5" customHeight="1">
      <c r="A41" s="307" t="s">
        <v>1092</v>
      </c>
      <c r="B41" s="669"/>
      <c r="C41" s="884">
        <f>ROUND(SUM(C32:C40),1)</f>
        <v>1045</v>
      </c>
      <c r="D41" s="26"/>
      <c r="E41" s="884">
        <f>ROUND(SUM(E32:E40),1)</f>
        <v>915.8</v>
      </c>
      <c r="F41" s="26"/>
      <c r="G41" s="884">
        <f>ROUND(SUM(G32:G40),1)</f>
        <v>1388.7</v>
      </c>
      <c r="H41" s="222"/>
      <c r="I41" s="884">
        <f>ROUND(SUM(I32:I40),1)</f>
        <v>1319.5</v>
      </c>
      <c r="J41" s="222"/>
      <c r="K41" s="884">
        <f>ROUND(SUM(K32:K40),1)</f>
        <v>1312.1</v>
      </c>
      <c r="L41" s="222"/>
      <c r="M41" s="884">
        <f>ROUND(SUM(M32:M40),1)</f>
        <v>1744.1</v>
      </c>
      <c r="N41" s="222"/>
      <c r="O41" s="3129">
        <f>ROUND(SUM(O32:O40),1)</f>
        <v>1302.5</v>
      </c>
      <c r="P41" s="222"/>
      <c r="Q41" s="3129">
        <f>ROUND(SUM(Q32:Q40),1)</f>
        <v>0</v>
      </c>
      <c r="R41" s="222"/>
      <c r="S41" s="884">
        <f>ROUND(SUM(S32:S40),1)</f>
        <v>0</v>
      </c>
      <c r="T41" s="222"/>
      <c r="U41" s="884">
        <f>ROUND(SUM(U32:U40),1)</f>
        <v>0</v>
      </c>
      <c r="V41" s="222"/>
      <c r="W41" s="884">
        <f>ROUND(SUM(W32:W40),1)</f>
        <v>0</v>
      </c>
      <c r="X41" s="222"/>
      <c r="Y41" s="884">
        <f>ROUND(SUM(Y32:Y40),1)</f>
        <v>0</v>
      </c>
      <c r="Z41" s="222"/>
      <c r="AA41" s="958"/>
      <c r="AB41" s="3129">
        <f>ROUND(SUM(AB32:AB40),1)</f>
        <v>9027.7000000000007</v>
      </c>
      <c r="AC41" s="3123"/>
      <c r="AD41" s="3324"/>
      <c r="AE41" s="3129">
        <f>ROUND(SUM(AE32:AE40),1)</f>
        <v>10571.2</v>
      </c>
      <c r="AF41" s="3123"/>
      <c r="AG41" s="3123"/>
      <c r="AH41" s="1537">
        <f>ROUND(SUM(AH32:AH40),1)</f>
        <v>-1543.5</v>
      </c>
      <c r="AI41" s="112"/>
      <c r="AJ41" s="3330">
        <f t="shared" si="4"/>
        <v>-0.14599999999999999</v>
      </c>
    </row>
    <row r="42" spans="1:36" ht="16.5" customHeight="1">
      <c r="A42" s="1049" t="s">
        <v>1141</v>
      </c>
      <c r="B42" s="669"/>
      <c r="C42" s="609"/>
      <c r="D42" s="609"/>
      <c r="E42" s="609"/>
      <c r="F42" s="609"/>
      <c r="G42" s="609"/>
      <c r="H42" s="222"/>
      <c r="I42" s="609"/>
      <c r="J42" s="222"/>
      <c r="K42" s="609"/>
      <c r="L42" s="222"/>
      <c r="M42" s="609"/>
      <c r="N42" s="222"/>
      <c r="O42" s="3409"/>
      <c r="P42" s="222"/>
      <c r="Q42" s="3409"/>
      <c r="R42" s="222"/>
      <c r="S42" s="609"/>
      <c r="T42" s="222"/>
      <c r="U42" s="609"/>
      <c r="V42" s="222"/>
      <c r="W42" s="609"/>
      <c r="X42" s="222"/>
      <c r="Y42" s="609"/>
      <c r="Z42" s="222"/>
      <c r="AA42" s="958"/>
      <c r="AB42" s="3123"/>
      <c r="AC42" s="3123"/>
      <c r="AD42" s="3324"/>
      <c r="AE42" s="3327"/>
      <c r="AF42" s="3123"/>
      <c r="AG42" s="3123"/>
      <c r="AH42" s="112"/>
      <c r="AI42" s="112"/>
      <c r="AJ42" s="3328"/>
    </row>
    <row r="43" spans="1:36" ht="16.5" customHeight="1">
      <c r="A43" s="669" t="s">
        <v>1100</v>
      </c>
      <c r="B43" s="669"/>
      <c r="C43" s="358">
        <f>+'Exhibit F'!D38+'Exhibit G'!D30+'Exhibit I'!E25</f>
        <v>254.4</v>
      </c>
      <c r="D43" s="613"/>
      <c r="E43" s="358">
        <f>+'Exhibit F'!F38+'Exhibit G'!F30+'Exhibit I'!G25</f>
        <v>-134.69999999999999</v>
      </c>
      <c r="F43" s="613"/>
      <c r="G43" s="358">
        <f>+'Exhibit F'!H38+'Exhibit G'!H30+'Exhibit I'!I25</f>
        <v>557.5</v>
      </c>
      <c r="H43" s="519"/>
      <c r="I43" s="358">
        <f>+'Exhibit F'!J38+'Exhibit G'!J30+'Exhibit I'!K25</f>
        <v>563.20000000000005</v>
      </c>
      <c r="J43" s="519"/>
      <c r="K43" s="358">
        <f>+'Exhibit F'!L38+'Exhibit G'!L30+'Exhibit I'!M25</f>
        <v>29.700000000000045</v>
      </c>
      <c r="L43" s="222"/>
      <c r="M43" s="358">
        <f>+'Exhibit F'!N38+'Exhibit G'!N30+'Exhibit I'!O25</f>
        <v>1000.6999999999997</v>
      </c>
      <c r="N43" s="222"/>
      <c r="O43" s="3325">
        <f>+'Exhibit F'!P38+'Exhibit G'!P30+'Exhibit I'!Q25</f>
        <v>115.00000000000023</v>
      </c>
      <c r="P43" s="222"/>
      <c r="Q43" s="358"/>
      <c r="R43" s="222"/>
      <c r="S43" s="358"/>
      <c r="T43" s="222"/>
      <c r="U43" s="358"/>
      <c r="V43" s="222"/>
      <c r="W43" s="358"/>
      <c r="X43" s="222"/>
      <c r="Y43" s="358"/>
      <c r="Z43" s="222"/>
      <c r="AA43" s="958"/>
      <c r="AB43" s="1635">
        <f>ROUND(SUM(C43:Y43),1)</f>
        <v>2385.8000000000002</v>
      </c>
      <c r="AC43" s="3123"/>
      <c r="AD43" s="3324"/>
      <c r="AE43" s="3325">
        <f>+'Exhibit F'!AF38+'Exhibit G'!AG30+'Exhibit I'!AI25</f>
        <v>2395.3000000000002</v>
      </c>
      <c r="AF43" s="3123"/>
      <c r="AG43" s="3123"/>
      <c r="AH43" s="893">
        <f>ROUND(SUM(+AB43-AE43),1)</f>
        <v>-9.5</v>
      </c>
      <c r="AI43" s="112"/>
      <c r="AJ43" s="1724">
        <f t="shared" ref="AJ43:AJ48" si="6">ROUND(IF(AE43=0,0,AH43/ABS(AE43)),3)</f>
        <v>-4.0000000000000001E-3</v>
      </c>
    </row>
    <row r="44" spans="1:36" ht="16.5" customHeight="1">
      <c r="A44" s="669" t="s">
        <v>1101</v>
      </c>
      <c r="B44" s="669"/>
      <c r="C44" s="358">
        <f>+'Exhibit F'!D39+'Exhibit G'!D31+'Exhibit I'!E26</f>
        <v>15.6</v>
      </c>
      <c r="D44" s="613"/>
      <c r="E44" s="358">
        <f>+'Exhibit F'!F39+'Exhibit G'!F31+'Exhibit I'!G26</f>
        <v>-11.000000000000002</v>
      </c>
      <c r="F44" s="613"/>
      <c r="G44" s="358">
        <f>+'Exhibit F'!H39+'Exhibit G'!H31+'Exhibit I'!I26</f>
        <v>94.9</v>
      </c>
      <c r="H44" s="519"/>
      <c r="I44" s="358">
        <f>+'Exhibit F'!J39+'Exhibit G'!J31+'Exhibit I'!K26</f>
        <v>33.29999999999999</v>
      </c>
      <c r="J44" s="519"/>
      <c r="K44" s="358">
        <f>+'Exhibit F'!L39+'Exhibit G'!L31+'Exhibit I'!M26</f>
        <v>2.300000000000002</v>
      </c>
      <c r="L44" s="222"/>
      <c r="M44" s="358">
        <f>+'Exhibit F'!N39+'Exhibit G'!N31+'Exhibit I'!O26</f>
        <v>106.29999999999998</v>
      </c>
      <c r="N44" s="222"/>
      <c r="O44" s="3325">
        <f>+'Exhibit F'!P39+'Exhibit G'!P31+'Exhibit I'!Q26</f>
        <v>10.200000000000006</v>
      </c>
      <c r="P44" s="222"/>
      <c r="Q44" s="358"/>
      <c r="R44" s="222"/>
      <c r="S44" s="358"/>
      <c r="T44" s="222"/>
      <c r="U44" s="358"/>
      <c r="V44" s="222"/>
      <c r="W44" s="358"/>
      <c r="X44" s="222"/>
      <c r="Y44" s="358"/>
      <c r="Z44" s="222"/>
      <c r="AA44" s="958"/>
      <c r="AB44" s="1635">
        <f>ROUND(SUM(C44:Y44),1)</f>
        <v>251.6</v>
      </c>
      <c r="AC44" s="3123"/>
      <c r="AD44" s="3324"/>
      <c r="AE44" s="3325">
        <f>+'Exhibit F'!AF39+'Exhibit G'!AG31+'Exhibit I'!AI26</f>
        <v>296.3</v>
      </c>
      <c r="AF44" s="3123"/>
      <c r="AG44" s="3123"/>
      <c r="AH44" s="893">
        <f>ROUND(SUM(+AB44-AE44),1)</f>
        <v>-44.7</v>
      </c>
      <c r="AI44" s="112"/>
      <c r="AJ44" s="1724">
        <f t="shared" si="6"/>
        <v>-0.151</v>
      </c>
    </row>
    <row r="45" spans="1:36" ht="16.5" customHeight="1">
      <c r="A45" s="669" t="s">
        <v>1102</v>
      </c>
      <c r="B45" s="669"/>
      <c r="C45" s="358">
        <f>+'Exhibit F'!D40+'Exhibit G'!D32</f>
        <v>70.2</v>
      </c>
      <c r="D45" s="613"/>
      <c r="E45" s="358">
        <f>+'Exhibit F'!F40+'Exhibit G'!F32</f>
        <v>6.5000000000000009</v>
      </c>
      <c r="F45" s="613"/>
      <c r="G45" s="358">
        <f>+'Exhibit F'!H40+'Exhibit G'!H32</f>
        <v>364</v>
      </c>
      <c r="H45" s="519"/>
      <c r="I45" s="358">
        <f>+'Exhibit F'!J40+'Exhibit G'!J32</f>
        <v>33.299999999999983</v>
      </c>
      <c r="J45" s="519"/>
      <c r="K45" s="358">
        <f>+'Exhibit F'!L40+'Exhibit G'!L32</f>
        <v>16.000000000000021</v>
      </c>
      <c r="L45" s="222"/>
      <c r="M45" s="358">
        <f>+'Exhibit F'!N40+'Exhibit G'!N32</f>
        <v>391.7000000000001</v>
      </c>
      <c r="N45" s="222"/>
      <c r="O45" s="3325">
        <f>+'Exhibit F'!P40+'Exhibit G'!P32</f>
        <v>23.09999999999998</v>
      </c>
      <c r="P45" s="222"/>
      <c r="Q45" s="358"/>
      <c r="R45" s="222"/>
      <c r="S45" s="358"/>
      <c r="T45" s="222"/>
      <c r="U45" s="358"/>
      <c r="V45" s="222"/>
      <c r="W45" s="358"/>
      <c r="X45" s="222"/>
      <c r="Y45" s="358"/>
      <c r="Z45" s="222"/>
      <c r="AA45" s="958"/>
      <c r="AB45" s="1635">
        <f>ROUND(SUM(C45:Y45),1)</f>
        <v>904.8</v>
      </c>
      <c r="AC45" s="3123"/>
      <c r="AD45" s="3324"/>
      <c r="AE45" s="3325">
        <f>+'Exhibit F'!AF40+'Exhibit G'!AG32</f>
        <v>1043.5</v>
      </c>
      <c r="AF45" s="3123"/>
      <c r="AG45" s="3123"/>
      <c r="AH45" s="893">
        <f>ROUND(SUM(+AB45-AE45),1)</f>
        <v>-138.69999999999999</v>
      </c>
      <c r="AI45" s="112"/>
      <c r="AJ45" s="1724">
        <f t="shared" si="6"/>
        <v>-0.13300000000000001</v>
      </c>
    </row>
    <row r="46" spans="1:36" ht="16.5" customHeight="1">
      <c r="A46" s="669" t="s">
        <v>1103</v>
      </c>
      <c r="B46" s="669"/>
      <c r="C46" s="358">
        <f>+'Exhibit F'!D41+'Exhibit G'!D33</f>
        <v>7.3999999999999995</v>
      </c>
      <c r="D46" s="613"/>
      <c r="E46" s="358">
        <f>+'Exhibit F'!F41+'Exhibit G'!F33</f>
        <v>2.5999999999999996</v>
      </c>
      <c r="F46" s="613"/>
      <c r="G46" s="358">
        <f>+'Exhibit F'!H41+'Exhibit G'!H33</f>
        <v>91.800000000000011</v>
      </c>
      <c r="H46" s="519"/>
      <c r="I46" s="358">
        <f>+'Exhibit F'!J41+'Exhibit G'!J33</f>
        <v>0.70000000000000284</v>
      </c>
      <c r="J46" s="519"/>
      <c r="K46" s="358">
        <f>+'Exhibit F'!L41+'Exhibit G'!L33</f>
        <v>46.499999999999986</v>
      </c>
      <c r="L46" s="222"/>
      <c r="M46" s="358">
        <f>+'Exhibit F'!N41+'Exhibit G'!N33</f>
        <v>15.30000000000001</v>
      </c>
      <c r="N46" s="222"/>
      <c r="O46" s="3325">
        <f>+'Exhibit F'!P41+'Exhibit G'!P33</f>
        <v>0.40000000000000391</v>
      </c>
      <c r="P46" s="222"/>
      <c r="Q46" s="358"/>
      <c r="R46" s="222"/>
      <c r="S46" s="358"/>
      <c r="T46" s="222"/>
      <c r="U46" s="358"/>
      <c r="V46" s="222"/>
      <c r="W46" s="358"/>
      <c r="X46" s="222"/>
      <c r="Y46" s="358"/>
      <c r="Z46" s="222"/>
      <c r="AA46" s="958"/>
      <c r="AB46" s="1635">
        <f>ROUND(SUM(C46:Y46),1)</f>
        <v>164.7</v>
      </c>
      <c r="AC46" s="3123"/>
      <c r="AD46" s="3324"/>
      <c r="AE46" s="3325">
        <f>+'Exhibit F'!AF41+'Exhibit G'!AG33</f>
        <v>-1.9000000000000004</v>
      </c>
      <c r="AF46" s="3123"/>
      <c r="AG46" s="3123"/>
      <c r="AH46" s="893">
        <f>ROUND(SUM(+AB46-AE46),1)</f>
        <v>166.6</v>
      </c>
      <c r="AI46" s="112"/>
      <c r="AJ46" s="3329">
        <f t="shared" si="6"/>
        <v>87.683999999999997</v>
      </c>
    </row>
    <row r="47" spans="1:36" ht="16.5" customHeight="1">
      <c r="A47" s="669" t="s">
        <v>1104</v>
      </c>
      <c r="B47" s="669"/>
      <c r="C47" s="358">
        <f>+'Exhibit F'!D42+'Exhibit G'!D34+'Exhibit I'!E27</f>
        <v>68.3</v>
      </c>
      <c r="D47" s="613"/>
      <c r="E47" s="358">
        <f>+'Exhibit F'!F42+'Exhibit G'!F34+'Exhibit I'!G27</f>
        <v>39.799999999999997</v>
      </c>
      <c r="F47" s="613"/>
      <c r="G47" s="358">
        <f>+'Exhibit F'!H42+'Exhibit G'!H34+'Exhibit I'!I27</f>
        <v>85.7</v>
      </c>
      <c r="H47" s="519"/>
      <c r="I47" s="358">
        <f>+'Exhibit F'!J42+'Exhibit G'!J34+'Exhibit I'!K27</f>
        <v>87.899999999999991</v>
      </c>
      <c r="J47" s="519"/>
      <c r="K47" s="358">
        <f>+'Exhibit F'!L42+'Exhibit G'!L34+'Exhibit I'!M27</f>
        <v>86.999999999999972</v>
      </c>
      <c r="L47" s="222"/>
      <c r="M47" s="358">
        <f>+'Exhibit F'!N42+'Exhibit G'!N34+'Exhibit I'!O27</f>
        <v>98.400000000000063</v>
      </c>
      <c r="N47" s="222"/>
      <c r="O47" s="3325">
        <f>+'Exhibit F'!P42+'Exhibit G'!P34+'Exhibit I'!Q27</f>
        <v>89.5</v>
      </c>
      <c r="P47" s="222"/>
      <c r="Q47" s="358"/>
      <c r="R47" s="222"/>
      <c r="S47" s="358"/>
      <c r="T47" s="222"/>
      <c r="U47" s="358"/>
      <c r="V47" s="222"/>
      <c r="W47" s="358"/>
      <c r="X47" s="222"/>
      <c r="Y47" s="358"/>
      <c r="Z47" s="222"/>
      <c r="AA47" s="958"/>
      <c r="AB47" s="1635">
        <f>ROUND(SUM(C47:Y47),1)</f>
        <v>556.6</v>
      </c>
      <c r="AC47" s="3123"/>
      <c r="AD47" s="3324"/>
      <c r="AE47" s="3325">
        <f>+'Exhibit F'!AF42+'Exhibit G'!AG34+'Exhibit I'!AI27</f>
        <v>712.8</v>
      </c>
      <c r="AF47" s="3123"/>
      <c r="AG47" s="3123"/>
      <c r="AH47" s="893">
        <f>ROUND(SUM(+AB47-AE47),1)</f>
        <v>-156.19999999999999</v>
      </c>
      <c r="AI47" s="112"/>
      <c r="AJ47" s="1724">
        <f t="shared" si="6"/>
        <v>-0.219</v>
      </c>
    </row>
    <row r="48" spans="1:36" ht="16.5" customHeight="1">
      <c r="A48" s="307" t="s">
        <v>1099</v>
      </c>
      <c r="B48" s="669"/>
      <c r="C48" s="884">
        <f>ROUND(SUM(C43:C47),1)</f>
        <v>415.9</v>
      </c>
      <c r="D48" s="26"/>
      <c r="E48" s="884">
        <f>ROUND(SUM(E43:E47),1)</f>
        <v>-96.8</v>
      </c>
      <c r="F48" s="26"/>
      <c r="G48" s="884">
        <f>ROUND(SUM(G43:G47),1)</f>
        <v>1193.9000000000001</v>
      </c>
      <c r="H48" s="222"/>
      <c r="I48" s="884">
        <f>ROUND(SUM(I43:I47),1)</f>
        <v>718.4</v>
      </c>
      <c r="J48" s="222"/>
      <c r="K48" s="884">
        <f>ROUND(SUM(K43:K47),1)</f>
        <v>181.5</v>
      </c>
      <c r="L48" s="222"/>
      <c r="M48" s="884">
        <f>ROUND(SUM(M43:M47),1)</f>
        <v>1612.4</v>
      </c>
      <c r="N48" s="222"/>
      <c r="O48" s="3129">
        <f>ROUND(SUM(O43:O47),1)</f>
        <v>238.2</v>
      </c>
      <c r="P48" s="222"/>
      <c r="Q48" s="3129">
        <f>ROUND(SUM(Q43:Q47),1)</f>
        <v>0</v>
      </c>
      <c r="R48" s="222"/>
      <c r="S48" s="884">
        <f>ROUND(SUM(S43:S47),1)</f>
        <v>0</v>
      </c>
      <c r="T48" s="222"/>
      <c r="U48" s="884">
        <f>ROUND(SUM(U43:U47),1)</f>
        <v>0</v>
      </c>
      <c r="V48" s="222"/>
      <c r="W48" s="884">
        <f>ROUND(SUM(W43:W47),1)</f>
        <v>0</v>
      </c>
      <c r="X48" s="222"/>
      <c r="Y48" s="884">
        <f>ROUND(SUM(Y43:Y47),1)</f>
        <v>0</v>
      </c>
      <c r="Z48" s="222"/>
      <c r="AA48" s="958"/>
      <c r="AB48" s="3129">
        <f>ROUND(SUM(AB43:AB47),1)</f>
        <v>4263.5</v>
      </c>
      <c r="AC48" s="3123"/>
      <c r="AD48" s="3324"/>
      <c r="AE48" s="3129">
        <f>ROUND(SUM(AE43:AE47),1)</f>
        <v>4446</v>
      </c>
      <c r="AF48" s="3123"/>
      <c r="AG48" s="3123"/>
      <c r="AH48" s="3129">
        <f>ROUND(SUM(AH43:AH47),1)</f>
        <v>-182.5</v>
      </c>
      <c r="AI48" s="112"/>
      <c r="AJ48" s="3330">
        <f t="shared" si="6"/>
        <v>-4.1000000000000002E-2</v>
      </c>
    </row>
    <row r="49" spans="1:36" ht="16.5" customHeight="1">
      <c r="A49" s="1049" t="s">
        <v>1142</v>
      </c>
      <c r="B49" s="669"/>
      <c r="C49" s="609"/>
      <c r="D49" s="609"/>
      <c r="E49" s="609"/>
      <c r="F49" s="609"/>
      <c r="G49" s="609"/>
      <c r="H49" s="222"/>
      <c r="I49" s="609"/>
      <c r="J49" s="222"/>
      <c r="K49" s="609"/>
      <c r="L49" s="222"/>
      <c r="M49" s="609"/>
      <c r="N49" s="222"/>
      <c r="O49" s="3409"/>
      <c r="P49" s="222"/>
      <c r="Q49" s="3409"/>
      <c r="R49" s="222"/>
      <c r="S49" s="609"/>
      <c r="T49" s="222"/>
      <c r="U49" s="609"/>
      <c r="V49" s="222"/>
      <c r="W49" s="609"/>
      <c r="X49" s="222"/>
      <c r="Y49" s="609"/>
      <c r="Z49" s="222"/>
      <c r="AA49" s="958"/>
      <c r="AB49" s="3123"/>
      <c r="AC49" s="3123"/>
      <c r="AD49" s="3324"/>
      <c r="AE49" s="3327"/>
      <c r="AF49" s="3123"/>
      <c r="AG49" s="3123"/>
      <c r="AH49" s="112"/>
      <c r="AI49" s="112"/>
      <c r="AJ49" s="3328"/>
    </row>
    <row r="50" spans="1:36" ht="16.5" customHeight="1">
      <c r="A50" s="669" t="s">
        <v>1107</v>
      </c>
      <c r="B50" s="669"/>
      <c r="C50" s="1363">
        <f>+'Exhibit F'!D45</f>
        <v>0</v>
      </c>
      <c r="D50" s="613"/>
      <c r="E50" s="1363">
        <f>+'Exhibit F'!F45</f>
        <v>0</v>
      </c>
      <c r="F50" s="613"/>
      <c r="G50" s="1363">
        <f>+'Exhibit F'!H45</f>
        <v>0</v>
      </c>
      <c r="H50" s="519"/>
      <c r="I50" s="1363">
        <f>+'Exhibit F'!J45</f>
        <v>0</v>
      </c>
      <c r="J50" s="519"/>
      <c r="K50" s="1363">
        <f>+'Exhibit F'!L45</f>
        <v>0</v>
      </c>
      <c r="L50" s="222"/>
      <c r="M50" s="1363">
        <f>+'Exhibit F'!N45</f>
        <v>0</v>
      </c>
      <c r="N50" s="222"/>
      <c r="O50" s="1788">
        <f>+'Exhibit F'!P45</f>
        <v>0</v>
      </c>
      <c r="P50" s="222"/>
      <c r="Q50" s="1363"/>
      <c r="R50" s="222"/>
      <c r="S50" s="1363"/>
      <c r="T50" s="222"/>
      <c r="U50" s="1363"/>
      <c r="V50" s="222"/>
      <c r="W50" s="1363"/>
      <c r="X50" s="222"/>
      <c r="Y50" s="1363"/>
      <c r="Z50" s="222"/>
      <c r="AA50" s="958"/>
      <c r="AB50" s="1635">
        <f t="shared" ref="AB50:AB54" si="7">ROUND(SUM(C50:Y50),1)</f>
        <v>0</v>
      </c>
      <c r="AC50" s="3123"/>
      <c r="AD50" s="3324"/>
      <c r="AE50" s="1788">
        <f>+'Exhibit F'!AF45</f>
        <v>0</v>
      </c>
      <c r="AF50" s="3101"/>
      <c r="AG50" s="3101"/>
      <c r="AH50" s="1999">
        <f t="shared" ref="AH50:AH54" si="8">ROUND(SUM(+AB50-AE50),1)</f>
        <v>0</v>
      </c>
      <c r="AI50" s="1460"/>
      <c r="AJ50" s="1723">
        <f>-ROUND(IF(AE50=0,0,AH50/ABS(AE50)),3)</f>
        <v>0</v>
      </c>
    </row>
    <row r="51" spans="1:36" ht="16.5" customHeight="1">
      <c r="A51" s="669" t="s">
        <v>1108</v>
      </c>
      <c r="B51" s="669"/>
      <c r="C51" s="358">
        <f>+'Exhibit F'!D46</f>
        <v>72.7</v>
      </c>
      <c r="D51" s="613"/>
      <c r="E51" s="358">
        <f>+'Exhibit F'!F46</f>
        <v>52</v>
      </c>
      <c r="F51" s="613"/>
      <c r="G51" s="358">
        <f>+'Exhibit F'!H46</f>
        <v>147.30000000000001</v>
      </c>
      <c r="H51" s="519"/>
      <c r="I51" s="358">
        <f>+'Exhibit F'!J46</f>
        <v>147.69999999999999</v>
      </c>
      <c r="J51" s="519"/>
      <c r="K51" s="358">
        <f>+'Exhibit F'!L46</f>
        <v>55.800000000000011</v>
      </c>
      <c r="L51" s="519"/>
      <c r="M51" s="358">
        <f>+'Exhibit F'!N46</f>
        <v>91.299999999999955</v>
      </c>
      <c r="N51" s="222"/>
      <c r="O51" s="3325">
        <f>+'Exhibit F'!P46</f>
        <v>135.09999999999997</v>
      </c>
      <c r="P51" s="222"/>
      <c r="Q51" s="358"/>
      <c r="R51" s="222"/>
      <c r="S51" s="358"/>
      <c r="T51" s="222"/>
      <c r="U51" s="358"/>
      <c r="V51" s="222"/>
      <c r="W51" s="358"/>
      <c r="X51" s="222"/>
      <c r="Y51" s="358"/>
      <c r="Z51" s="222"/>
      <c r="AA51" s="958"/>
      <c r="AB51" s="1635">
        <f t="shared" si="7"/>
        <v>701.9</v>
      </c>
      <c r="AC51" s="3123"/>
      <c r="AD51" s="3324"/>
      <c r="AE51" s="3325">
        <f>+'Exhibit F'!AF46</f>
        <v>582.70000000000005</v>
      </c>
      <c r="AF51" s="3123"/>
      <c r="AG51" s="3123"/>
      <c r="AH51" s="893">
        <f t="shared" si="8"/>
        <v>119.2</v>
      </c>
      <c r="AI51" s="112"/>
      <c r="AJ51" s="1724">
        <f t="shared" ref="AJ51:AJ56" si="9">ROUND(IF(AE51=0,0,AH51/ABS(AE51)),3)</f>
        <v>0.20499999999999999</v>
      </c>
    </row>
    <row r="52" spans="1:36" ht="16.5" customHeight="1">
      <c r="A52" s="669" t="s">
        <v>1109</v>
      </c>
      <c r="B52" s="669"/>
      <c r="C52" s="358">
        <f>+'Exhibit F'!D47</f>
        <v>0.7</v>
      </c>
      <c r="D52" s="613"/>
      <c r="E52" s="358">
        <f>+'Exhibit F'!F47</f>
        <v>0.20000000000000007</v>
      </c>
      <c r="F52" s="613"/>
      <c r="G52" s="358">
        <f>+'Exhibit F'!H47</f>
        <v>0.79999999999999993</v>
      </c>
      <c r="H52" s="519"/>
      <c r="I52" s="358">
        <f>+'Exhibit F'!J47</f>
        <v>0.99999999999999989</v>
      </c>
      <c r="J52" s="519"/>
      <c r="K52" s="358">
        <f>+'Exhibit F'!L47</f>
        <v>1.3999999999999995</v>
      </c>
      <c r="L52" s="519"/>
      <c r="M52" s="358">
        <f>+'Exhibit F'!N47</f>
        <v>0.70000000000000018</v>
      </c>
      <c r="N52" s="222"/>
      <c r="O52" s="3325">
        <f>+'Exhibit F'!P47</f>
        <v>1.6000000000000005</v>
      </c>
      <c r="P52" s="222"/>
      <c r="Q52" s="358"/>
      <c r="R52" s="222"/>
      <c r="S52" s="358"/>
      <c r="T52" s="222"/>
      <c r="U52" s="358"/>
      <c r="V52" s="222"/>
      <c r="W52" s="358"/>
      <c r="X52" s="222"/>
      <c r="Y52" s="358"/>
      <c r="Z52" s="222"/>
      <c r="AA52" s="958"/>
      <c r="AB52" s="1635">
        <f t="shared" si="7"/>
        <v>6.4</v>
      </c>
      <c r="AC52" s="3123"/>
      <c r="AD52" s="3324"/>
      <c r="AE52" s="3325">
        <f>+'Exhibit F'!AF47</f>
        <v>10.1</v>
      </c>
      <c r="AF52" s="3123"/>
      <c r="AG52" s="3123"/>
      <c r="AH52" s="893">
        <f t="shared" si="8"/>
        <v>-3.7</v>
      </c>
      <c r="AI52" s="112"/>
      <c r="AJ52" s="1724">
        <f t="shared" si="9"/>
        <v>-0.36599999999999999</v>
      </c>
    </row>
    <row r="53" spans="1:36" ht="16.5" customHeight="1">
      <c r="A53" s="669" t="s">
        <v>1110</v>
      </c>
      <c r="B53" s="669"/>
      <c r="C53" s="358">
        <f>+'Exhibit F'!D48+'Exhibit H'!B22+'Exhibit I'!E30</f>
        <v>57.2</v>
      </c>
      <c r="D53" s="613"/>
      <c r="E53" s="358">
        <f>+'Exhibit F'!F48+'Exhibit H'!D22+'Exhibit I'!G30</f>
        <v>48.399999999999991</v>
      </c>
      <c r="F53" s="613"/>
      <c r="G53" s="358">
        <f>+'Exhibit F'!H48+'Exhibit H'!F22+'Exhibit I'!I30</f>
        <v>49.800000000000004</v>
      </c>
      <c r="H53" s="519"/>
      <c r="I53" s="3325">
        <f>+'Exhibit F'!J48+'Exhibit H'!H22+'Exhibit I'!K30</f>
        <v>64.90000000000002</v>
      </c>
      <c r="J53" s="519"/>
      <c r="K53" s="358">
        <f>+'Exhibit F'!L48+'Exhibit H'!J22+'Exhibit I'!M30</f>
        <v>68.3</v>
      </c>
      <c r="L53" s="519"/>
      <c r="M53" s="358">
        <f>+'Exhibit F'!N48+'Exhibit H'!L22+'Exhibit I'!O30</f>
        <v>82.200000000000017</v>
      </c>
      <c r="N53" s="222"/>
      <c r="O53" s="3325">
        <f>+'Exhibit F'!P48+'Exhibit H'!N22+'Exhibit I'!Q30</f>
        <v>77.800000000000011</v>
      </c>
      <c r="P53" s="222"/>
      <c r="Q53" s="358"/>
      <c r="R53" s="222"/>
      <c r="S53" s="358"/>
      <c r="T53" s="222"/>
      <c r="U53" s="358"/>
      <c r="V53" s="222"/>
      <c r="W53" s="358"/>
      <c r="X53" s="222"/>
      <c r="Y53" s="358"/>
      <c r="Z53" s="222"/>
      <c r="AA53" s="958"/>
      <c r="AB53" s="1635">
        <f t="shared" si="7"/>
        <v>448.6</v>
      </c>
      <c r="AC53" s="3123"/>
      <c r="AD53" s="3324"/>
      <c r="AE53" s="3325">
        <f>+'Exhibit F'!AF48+'Exhibit H'!AD22+'Exhibit I'!AI30</f>
        <v>671.4</v>
      </c>
      <c r="AF53" s="3123"/>
      <c r="AG53" s="3123"/>
      <c r="AH53" s="893">
        <f t="shared" si="8"/>
        <v>-222.8</v>
      </c>
      <c r="AI53" s="112"/>
      <c r="AJ53" s="1724">
        <f t="shared" si="9"/>
        <v>-0.33200000000000002</v>
      </c>
    </row>
    <row r="54" spans="1:36" ht="16.5" customHeight="1">
      <c r="A54" s="669" t="s">
        <v>1111</v>
      </c>
      <c r="B54" s="669"/>
      <c r="C54" s="358">
        <f>+'Exhibit F'!D49</f>
        <v>0.1</v>
      </c>
      <c r="D54" s="613"/>
      <c r="E54" s="358">
        <f>+'Exhibit F'!F49</f>
        <v>0</v>
      </c>
      <c r="F54" s="613"/>
      <c r="G54" s="358">
        <f>+'Exhibit F'!H49</f>
        <v>0</v>
      </c>
      <c r="H54" s="519"/>
      <c r="I54" s="358">
        <f>+'Exhibit F'!J49</f>
        <v>0</v>
      </c>
      <c r="J54" s="519"/>
      <c r="K54" s="358">
        <f>+'Exhibit F'!L49</f>
        <v>0</v>
      </c>
      <c r="L54" s="519"/>
      <c r="M54" s="358">
        <f>+'Exhibit F'!N49</f>
        <v>0</v>
      </c>
      <c r="N54" s="222"/>
      <c r="O54" s="3325">
        <f>+'Exhibit F'!P49</f>
        <v>0</v>
      </c>
      <c r="P54" s="222"/>
      <c r="Q54" s="358"/>
      <c r="R54" s="222"/>
      <c r="S54" s="358"/>
      <c r="T54" s="222"/>
      <c r="U54" s="358"/>
      <c r="V54" s="222"/>
      <c r="W54" s="358"/>
      <c r="X54" s="222"/>
      <c r="Y54" s="358"/>
      <c r="Z54" s="222"/>
      <c r="AA54" s="958"/>
      <c r="AB54" s="1635">
        <f t="shared" si="7"/>
        <v>0.1</v>
      </c>
      <c r="AC54" s="3123"/>
      <c r="AD54" s="3324"/>
      <c r="AE54" s="3325">
        <f>+'Exhibit F'!AF49</f>
        <v>1.3</v>
      </c>
      <c r="AF54" s="3123"/>
      <c r="AG54" s="3123"/>
      <c r="AH54" s="893">
        <f t="shared" si="8"/>
        <v>-1.2</v>
      </c>
      <c r="AI54" s="112"/>
      <c r="AJ54" s="1724">
        <f>ROUND(IF(AE54=0,0,AH54/ABS(AE54)),3)</f>
        <v>-0.92300000000000004</v>
      </c>
    </row>
    <row r="55" spans="1:36" ht="16.5" customHeight="1">
      <c r="A55" s="2767" t="s">
        <v>1372</v>
      </c>
      <c r="B55" s="669"/>
      <c r="C55" s="358">
        <f>+'Exhibit F'!D50+'Exhibit H'!B23</f>
        <v>0.2</v>
      </c>
      <c r="D55" s="613"/>
      <c r="E55" s="358">
        <f>+'Exhibit F'!F50+'Exhibit H'!D23</f>
        <v>-0.2</v>
      </c>
      <c r="F55" s="613"/>
      <c r="G55" s="358">
        <f>+'Exhibit F'!H50+'Exhibit H'!F23</f>
        <v>0.2</v>
      </c>
      <c r="H55" s="519"/>
      <c r="I55" s="358">
        <f>+'Exhibit F'!J50+'Exhibit H'!H23</f>
        <v>0.2</v>
      </c>
      <c r="J55" s="519"/>
      <c r="K55" s="358">
        <f>+'Exhibit F'!L50+'Exhibit H'!J23</f>
        <v>0.19999999999999996</v>
      </c>
      <c r="L55" s="1531"/>
      <c r="M55" s="358">
        <f>+'Exhibit F'!N50+'Exhibit H'!L23</f>
        <v>0.20000000000000012</v>
      </c>
      <c r="N55" s="1531"/>
      <c r="O55" s="3325">
        <f>+'Exhibit F'!P50+'Exhibit H'!N23</f>
        <v>0.3</v>
      </c>
      <c r="P55" s="1531"/>
      <c r="Q55" s="358"/>
      <c r="R55" s="1531"/>
      <c r="S55" s="358"/>
      <c r="T55" s="1531"/>
      <c r="U55" s="358"/>
      <c r="V55" s="1531"/>
      <c r="W55" s="358"/>
      <c r="X55" s="1531"/>
      <c r="Y55" s="358"/>
      <c r="Z55" s="1531"/>
      <c r="AA55" s="958"/>
      <c r="AB55" s="1635">
        <f t="shared" ref="AB55" si="10">ROUND(SUM(C55:Y55),1)</f>
        <v>1.1000000000000001</v>
      </c>
      <c r="AC55" s="3123"/>
      <c r="AD55" s="3324"/>
      <c r="AE55" s="3325">
        <f>+'Exhibit F'!AF50+0.5</f>
        <v>0.9</v>
      </c>
      <c r="AF55" s="3123"/>
      <c r="AG55" s="3123"/>
      <c r="AH55" s="893">
        <f>ROUND(SUM(+AB55-AE55),1)</f>
        <v>0.2</v>
      </c>
      <c r="AI55" s="3326"/>
      <c r="AJ55" s="1811">
        <f>ROUND(IF(AE55=0,1,AH55/ABS(AE55)),3)</f>
        <v>0.222</v>
      </c>
    </row>
    <row r="56" spans="1:36" ht="16.5" customHeight="1">
      <c r="A56" s="307" t="s">
        <v>1105</v>
      </c>
      <c r="B56" s="669"/>
      <c r="C56" s="884">
        <f>ROUND(SUM(C50:C55),1)</f>
        <v>130.9</v>
      </c>
      <c r="D56" s="26"/>
      <c r="E56" s="884">
        <f>ROUND(SUM(E50:E55),1)</f>
        <v>100.4</v>
      </c>
      <c r="F56" s="26"/>
      <c r="G56" s="884">
        <f>ROUND(SUM(G50:G55),1)</f>
        <v>198.1</v>
      </c>
      <c r="H56" s="222"/>
      <c r="I56" s="884">
        <f>ROUND(SUM(I50:I55),1)</f>
        <v>213.8</v>
      </c>
      <c r="J56" s="222"/>
      <c r="K56" s="884">
        <f>ROUND(SUM(K50:K55),1)</f>
        <v>125.7</v>
      </c>
      <c r="L56" s="222"/>
      <c r="M56" s="884">
        <f>ROUND(SUM(M50:M55),1)</f>
        <v>174.4</v>
      </c>
      <c r="N56" s="222"/>
      <c r="O56" s="3129">
        <f>ROUND(SUM(O50:O55),1)</f>
        <v>214.8</v>
      </c>
      <c r="P56" s="222"/>
      <c r="Q56" s="3129">
        <f>ROUND(SUM(Q50:Q55),1)</f>
        <v>0</v>
      </c>
      <c r="R56" s="222"/>
      <c r="S56" s="884">
        <f>ROUND(SUM(S50:S55),1)</f>
        <v>0</v>
      </c>
      <c r="T56" s="222"/>
      <c r="U56" s="884">
        <f>ROUND(SUM(U50:U55),1)</f>
        <v>0</v>
      </c>
      <c r="V56" s="222"/>
      <c r="W56" s="884">
        <f>ROUND(SUM(W50:W55),1)</f>
        <v>0</v>
      </c>
      <c r="X56" s="222"/>
      <c r="Y56" s="884">
        <f>ROUND(SUM(Y50:Y55),1)</f>
        <v>0</v>
      </c>
      <c r="Z56" s="222"/>
      <c r="AA56" s="958"/>
      <c r="AB56" s="3129">
        <f>ROUND(SUM(AB50:AB55),1)</f>
        <v>1158.0999999999999</v>
      </c>
      <c r="AC56" s="3123"/>
      <c r="AD56" s="3324"/>
      <c r="AE56" s="3129">
        <f>ROUND(SUM(AE50:AE55),1)</f>
        <v>1266.4000000000001</v>
      </c>
      <c r="AF56" s="3123"/>
      <c r="AG56" s="3123"/>
      <c r="AH56" s="3129">
        <f>ROUND(SUM(AH50:AH55),1)</f>
        <v>-108.3</v>
      </c>
      <c r="AI56" s="112"/>
      <c r="AJ56" s="3330">
        <f t="shared" si="9"/>
        <v>-8.5999999999999993E-2</v>
      </c>
    </row>
    <row r="57" spans="1:36" ht="16.5" customHeight="1">
      <c r="A57" s="307"/>
      <c r="B57" s="669"/>
      <c r="C57" s="27"/>
      <c r="D57" s="27"/>
      <c r="E57" s="27"/>
      <c r="F57" s="27"/>
      <c r="G57" s="27"/>
      <c r="H57" s="1073"/>
      <c r="I57" s="27"/>
      <c r="J57" s="1073"/>
      <c r="K57" s="27"/>
      <c r="L57" s="1073"/>
      <c r="M57" s="27"/>
      <c r="N57" s="1073"/>
      <c r="O57" s="3410"/>
      <c r="P57" s="1073"/>
      <c r="Q57" s="3410"/>
      <c r="R57" s="1073"/>
      <c r="S57" s="27"/>
      <c r="T57" s="1073"/>
      <c r="U57" s="27"/>
      <c r="V57" s="1073"/>
      <c r="W57" s="27"/>
      <c r="X57" s="1073"/>
      <c r="Y57" s="27"/>
      <c r="Z57" s="222"/>
      <c r="AA57" s="518"/>
      <c r="AB57" s="3130"/>
      <c r="AC57" s="3123"/>
      <c r="AD57" s="3324"/>
      <c r="AE57" s="3130"/>
      <c r="AF57" s="3123"/>
      <c r="AG57" s="3123"/>
      <c r="AH57" s="647"/>
      <c r="AI57" s="3123"/>
      <c r="AJ57" s="647"/>
    </row>
    <row r="58" spans="1:36" ht="16.5" customHeight="1">
      <c r="A58" s="307" t="s">
        <v>1106</v>
      </c>
      <c r="B58" s="30"/>
      <c r="C58" s="28">
        <f>ROUND(SUM(C56+C48+C41+C30),1)</f>
        <v>3658</v>
      </c>
      <c r="D58" s="64"/>
      <c r="E58" s="28">
        <f>ROUND(SUM(E56+E48+E41+E30),1)</f>
        <v>3118.6</v>
      </c>
      <c r="F58" s="64"/>
      <c r="G58" s="28">
        <f>ROUND(SUM(G56+G48+G41+G30),1)</f>
        <v>7149.2</v>
      </c>
      <c r="H58" s="64"/>
      <c r="I58" s="28">
        <f>ROUND(SUM(I56+I48+I41+I30),1)</f>
        <v>12482.4</v>
      </c>
      <c r="J58" s="64"/>
      <c r="K58" s="28">
        <f>ROUND(SUM(K56+K48+K41+K30),1)</f>
        <v>4342.3</v>
      </c>
      <c r="L58" s="64"/>
      <c r="M58" s="28">
        <f>ROUND(SUM(M56+M48+M41+M30),1)</f>
        <v>8802.2999999999993</v>
      </c>
      <c r="N58" s="64"/>
      <c r="O58" s="3411">
        <f>ROUND(SUM(O56+O48+O41+O30),1)</f>
        <v>4287.1000000000004</v>
      </c>
      <c r="P58" s="64"/>
      <c r="Q58" s="3411">
        <f>ROUND(SUM(Q56+Q48+Q41+Q30),1)</f>
        <v>0</v>
      </c>
      <c r="R58" s="64"/>
      <c r="S58" s="28">
        <f>ROUND(SUM(S56+S48+S41+S30),1)</f>
        <v>0</v>
      </c>
      <c r="T58" s="64"/>
      <c r="U58" s="28">
        <f>ROUND(SUM(U56+U48+U41+U30),1)</f>
        <v>0</v>
      </c>
      <c r="V58" s="64"/>
      <c r="W58" s="28">
        <f>ROUND(SUM(W56+W48+W41+W30),1)</f>
        <v>0</v>
      </c>
      <c r="X58" s="162"/>
      <c r="Y58" s="28">
        <f>ROUND(SUM(Y56+Y48+Y41+Y30),1)</f>
        <v>0</v>
      </c>
      <c r="Z58" s="162"/>
      <c r="AA58" s="45"/>
      <c r="AB58" s="310">
        <f>ROUND(+AB56+AB48+AB41+AB30,1)</f>
        <v>43839.9</v>
      </c>
      <c r="AC58" s="115"/>
      <c r="AD58" s="676"/>
      <c r="AE58" s="310">
        <f>ROUND(+AE56+AE48+AE41+AE30,1)</f>
        <v>46843.4</v>
      </c>
      <c r="AF58" s="65"/>
      <c r="AG58" s="3331"/>
      <c r="AH58" s="310">
        <f>ROUND(+AH56+AH48+AH41+AH30,1)</f>
        <v>-3003.5</v>
      </c>
      <c r="AI58" s="1022"/>
      <c r="AJ58" s="3332">
        <f>ROUND(IF(AE58=0,0,AH58/ABS(AE58)),3)</f>
        <v>-6.4000000000000001E-2</v>
      </c>
    </row>
    <row r="59" spans="1:36" ht="16.5" customHeight="1">
      <c r="A59" s="222"/>
      <c r="B59" s="222"/>
      <c r="C59" s="519"/>
      <c r="D59" s="519"/>
      <c r="E59" s="519"/>
      <c r="F59" s="519"/>
      <c r="G59" s="519"/>
      <c r="H59" s="519"/>
      <c r="I59" s="519"/>
      <c r="J59" s="519"/>
      <c r="K59" s="519"/>
      <c r="L59" s="519"/>
      <c r="M59" s="519"/>
      <c r="N59" s="519"/>
      <c r="O59" s="1635"/>
      <c r="P59" s="519"/>
      <c r="Q59" s="1635"/>
      <c r="R59" s="519"/>
      <c r="S59" s="519"/>
      <c r="T59" s="519"/>
      <c r="U59" s="519"/>
      <c r="V59" s="519"/>
      <c r="W59" s="519"/>
      <c r="X59" s="519"/>
      <c r="Y59" s="519"/>
      <c r="Z59" s="519"/>
      <c r="AA59" s="520"/>
      <c r="AB59" s="1635"/>
      <c r="AC59" s="1635"/>
      <c r="AD59" s="3333"/>
      <c r="AE59" s="1635"/>
      <c r="AF59" s="1635"/>
      <c r="AG59" s="1635"/>
      <c r="AH59" s="1635"/>
      <c r="AI59" s="3123"/>
      <c r="AJ59" s="3334"/>
    </row>
    <row r="60" spans="1:36" ht="16.5" customHeight="1">
      <c r="A60" s="258" t="s">
        <v>1014</v>
      </c>
      <c r="B60" s="888"/>
      <c r="C60" s="519"/>
      <c r="D60" s="519"/>
      <c r="E60" s="519"/>
      <c r="F60" s="519"/>
      <c r="G60" s="519" t="s">
        <v>15</v>
      </c>
      <c r="H60" s="519"/>
      <c r="I60" s="519" t="s">
        <v>15</v>
      </c>
      <c r="J60" s="519"/>
      <c r="K60" s="519" t="s">
        <v>15</v>
      </c>
      <c r="L60" s="519"/>
      <c r="M60" s="519"/>
      <c r="N60" s="519"/>
      <c r="O60" s="1635"/>
      <c r="P60" s="519"/>
      <c r="Q60" s="1635"/>
      <c r="R60" s="519"/>
      <c r="S60" s="519"/>
      <c r="T60" s="519"/>
      <c r="U60" s="519"/>
      <c r="V60" s="519"/>
      <c r="W60" s="519"/>
      <c r="X60" s="519"/>
      <c r="Y60" s="519"/>
      <c r="Z60" s="519"/>
      <c r="AA60" s="520"/>
      <c r="AB60" s="1635"/>
      <c r="AC60" s="1635"/>
      <c r="AD60" s="3333"/>
      <c r="AE60" s="1635"/>
      <c r="AF60" s="1635"/>
      <c r="AG60" s="1635"/>
      <c r="AH60" s="1635"/>
      <c r="AI60" s="3123"/>
      <c r="AJ60" s="3334"/>
    </row>
    <row r="61" spans="1:36" ht="16.5" customHeight="1">
      <c r="A61" s="890" t="s">
        <v>1133</v>
      </c>
      <c r="B61" s="888"/>
      <c r="C61" s="519"/>
      <c r="D61" s="519"/>
      <c r="E61" s="519"/>
      <c r="F61" s="519"/>
      <c r="G61" s="519"/>
      <c r="H61" s="519"/>
      <c r="I61" s="519"/>
      <c r="J61" s="519"/>
      <c r="K61" s="519"/>
      <c r="L61" s="519"/>
      <c r="M61" s="519"/>
      <c r="N61" s="519"/>
      <c r="O61" s="1635"/>
      <c r="P61" s="519"/>
      <c r="Q61" s="1635"/>
      <c r="R61" s="519"/>
      <c r="S61" s="519"/>
      <c r="T61" s="519"/>
      <c r="U61" s="519"/>
      <c r="V61" s="519"/>
      <c r="W61" s="519"/>
      <c r="X61" s="519"/>
      <c r="Y61" s="519"/>
      <c r="Z61" s="519"/>
      <c r="AA61" s="520"/>
      <c r="AB61" s="1635"/>
      <c r="AC61" s="1635"/>
      <c r="AD61" s="3333"/>
      <c r="AE61" s="1635"/>
      <c r="AF61" s="1635"/>
      <c r="AG61" s="1635"/>
      <c r="AH61" s="1635"/>
      <c r="AI61" s="3123"/>
      <c r="AJ61" s="3334"/>
    </row>
    <row r="62" spans="1:36" ht="16.5" customHeight="1">
      <c r="A62" s="890" t="s">
        <v>1012</v>
      </c>
      <c r="B62" s="890"/>
      <c r="C62" s="519">
        <f>+'Exhibit F'!D57+'Exhibit G'!D41</f>
        <v>1.6</v>
      </c>
      <c r="D62" s="519"/>
      <c r="E62" s="519">
        <f>+'Exhibit F'!F57+'Exhibit G'!F41</f>
        <v>0.69999999999999973</v>
      </c>
      <c r="F62" s="519"/>
      <c r="G62" s="519">
        <f>+'Exhibit F'!H57+'Exhibit G'!H41</f>
        <v>0.80000000000000027</v>
      </c>
      <c r="H62" s="519"/>
      <c r="I62" s="519">
        <f>+'Exhibit F'!J57+'Exhibit G'!J41</f>
        <v>0.89999999999999991</v>
      </c>
      <c r="J62" s="519"/>
      <c r="K62" s="519">
        <f>+'Exhibit F'!L57+'Exhibit G'!L41</f>
        <v>25.900000000000002</v>
      </c>
      <c r="L62" s="519"/>
      <c r="M62" s="519">
        <f>+'Exhibit F'!N57+'Exhibit G'!N41</f>
        <v>85.999999999999986</v>
      </c>
      <c r="N62" s="519"/>
      <c r="O62" s="1635">
        <f>+'Exhibit F'!P57+'Exhibit G'!P41</f>
        <v>11.400000000000023</v>
      </c>
      <c r="P62" s="519"/>
      <c r="Q62" s="519"/>
      <c r="R62" s="519"/>
      <c r="S62" s="519"/>
      <c r="T62" s="519"/>
      <c r="U62" s="519"/>
      <c r="V62" s="519"/>
      <c r="W62" s="519"/>
      <c r="X62" s="519"/>
      <c r="Y62" s="519"/>
      <c r="Z62" s="519"/>
      <c r="AA62" s="520"/>
      <c r="AB62" s="1635">
        <f t="shared" ref="AB62:AB102" si="11">ROUND(SUM(C62:Y62),1)</f>
        <v>127.3</v>
      </c>
      <c r="AC62" s="1635"/>
      <c r="AD62" s="3333"/>
      <c r="AE62" s="1635">
        <f>+'Exhibit F'!AF57+'Exhibit G'!AG41</f>
        <v>78.099999999999994</v>
      </c>
      <c r="AF62" s="1635"/>
      <c r="AG62" s="1635"/>
      <c r="AH62" s="1635">
        <f t="shared" ref="AH62:AH102" si="12">ROUND(SUM(AB62-AE62),1)</f>
        <v>49.2</v>
      </c>
      <c r="AI62" s="3123"/>
      <c r="AJ62" s="1724">
        <f>ROUND(IF(AE62=0,0,AH62/ABS(AE62)),3)</f>
        <v>0.63</v>
      </c>
    </row>
    <row r="63" spans="1:36" ht="16.5" customHeight="1">
      <c r="A63" s="890" t="s">
        <v>1013</v>
      </c>
      <c r="B63" s="890"/>
      <c r="C63" s="519">
        <f>+'Exhibit F'!D58+'Exhibit I'!E37</f>
        <v>0.7</v>
      </c>
      <c r="D63" s="519"/>
      <c r="E63" s="519">
        <f>+'Exhibit F'!F58+'Exhibit I'!G37</f>
        <v>0.30000000000000004</v>
      </c>
      <c r="F63" s="519"/>
      <c r="G63" s="519">
        <f>+'Exhibit F'!H58+'Exhibit I'!I37</f>
        <v>20.6</v>
      </c>
      <c r="H63" s="519"/>
      <c r="I63" s="519">
        <f>+'Exhibit F'!J58+'Exhibit I'!K37</f>
        <v>18.399999999999999</v>
      </c>
      <c r="J63" s="519"/>
      <c r="K63" s="519">
        <f>+'Exhibit F'!L58+'Exhibit I'!M37</f>
        <v>0.1</v>
      </c>
      <c r="L63" s="519"/>
      <c r="M63" s="519">
        <f>+'Exhibit F'!N58+'Exhibit I'!O37</f>
        <v>43.199999999999996</v>
      </c>
      <c r="N63" s="519"/>
      <c r="O63" s="1635">
        <f>+'Exhibit F'!P58+'Exhibit I'!Q37</f>
        <v>2.1000000000000014</v>
      </c>
      <c r="P63" s="519"/>
      <c r="Q63" s="519"/>
      <c r="R63" s="519"/>
      <c r="S63" s="519"/>
      <c r="T63" s="519"/>
      <c r="U63" s="519"/>
      <c r="V63" s="519"/>
      <c r="W63" s="519"/>
      <c r="X63" s="519"/>
      <c r="Y63" s="519"/>
      <c r="Z63" s="519"/>
      <c r="AA63" s="520"/>
      <c r="AB63" s="1635">
        <f t="shared" si="11"/>
        <v>85.4</v>
      </c>
      <c r="AC63" s="1635"/>
      <c r="AD63" s="3333"/>
      <c r="AE63" s="1635">
        <f>+'Exhibit F'!AF58+'Exhibit I'!AI37</f>
        <v>71.5</v>
      </c>
      <c r="AF63" s="1635"/>
      <c r="AG63" s="1635"/>
      <c r="AH63" s="1635">
        <f t="shared" si="12"/>
        <v>13.9</v>
      </c>
      <c r="AI63" s="3123"/>
      <c r="AJ63" s="1724">
        <f>ROUND(IF(AE63=0,0,AH63/ABS(AE63)),3)</f>
        <v>0.19400000000000001</v>
      </c>
    </row>
    <row r="64" spans="1:36" ht="16.5" customHeight="1">
      <c r="A64" s="890" t="s">
        <v>1134</v>
      </c>
      <c r="B64" s="890"/>
      <c r="C64" s="519"/>
      <c r="D64" s="519"/>
      <c r="E64" s="519"/>
      <c r="F64" s="519"/>
      <c r="G64" s="519"/>
      <c r="H64" s="519"/>
      <c r="I64" s="519"/>
      <c r="J64" s="519"/>
      <c r="K64" s="519"/>
      <c r="L64" s="519"/>
      <c r="M64" s="519"/>
      <c r="N64" s="519"/>
      <c r="O64" s="1635"/>
      <c r="P64" s="519"/>
      <c r="Q64" s="519"/>
      <c r="R64" s="519"/>
      <c r="S64" s="519"/>
      <c r="T64" s="519"/>
      <c r="U64" s="519"/>
      <c r="V64" s="519"/>
      <c r="W64" s="519"/>
      <c r="X64" s="519"/>
      <c r="Y64" s="519"/>
      <c r="Z64" s="519"/>
      <c r="AA64" s="520"/>
      <c r="AB64" s="1635"/>
      <c r="AC64" s="1635"/>
      <c r="AD64" s="3333"/>
      <c r="AE64" s="1635"/>
      <c r="AF64" s="1635"/>
      <c r="AG64" s="1635"/>
      <c r="AH64" s="1635"/>
      <c r="AI64" s="3123"/>
      <c r="AJ64" s="1724"/>
    </row>
    <row r="65" spans="1:36" ht="16.5" customHeight="1">
      <c r="A65" s="890" t="s">
        <v>1017</v>
      </c>
      <c r="B65" s="890"/>
      <c r="C65" s="519">
        <f>+'Exhibit F'!D60+'Exhibit G'!D43+'Exhibit I'!E39</f>
        <v>54.6</v>
      </c>
      <c r="D65" s="519"/>
      <c r="E65" s="519">
        <f>+'Exhibit F'!F60+'Exhibit G'!F43+'Exhibit I'!G39</f>
        <v>66</v>
      </c>
      <c r="F65" s="519"/>
      <c r="G65" s="519">
        <f>+'Exhibit F'!H60+'Exhibit G'!H43+'Exhibit I'!I39</f>
        <v>88</v>
      </c>
      <c r="H65" s="519"/>
      <c r="I65" s="519">
        <f>+'Exhibit F'!J60+'Exhibit G'!J43+'Exhibit I'!K39</f>
        <v>78.499999999999986</v>
      </c>
      <c r="J65" s="519"/>
      <c r="K65" s="519">
        <f>+'Exhibit F'!L60+'Exhibit G'!L43+'Exhibit I'!M39</f>
        <v>48.59999999999998</v>
      </c>
      <c r="L65" s="519"/>
      <c r="M65" s="519">
        <f>+'Exhibit F'!N60+'Exhibit G'!N43+'Exhibit I'!O39</f>
        <v>72.700000000000045</v>
      </c>
      <c r="N65" s="519"/>
      <c r="O65" s="1635">
        <f>+'Exhibit F'!P60+'Exhibit G'!P43+'Exhibit I'!Q39</f>
        <v>97.600000000000009</v>
      </c>
      <c r="P65" s="519"/>
      <c r="Q65" s="519"/>
      <c r="R65" s="519"/>
      <c r="S65" s="519"/>
      <c r="T65" s="519"/>
      <c r="U65" s="519"/>
      <c r="V65" s="519"/>
      <c r="W65" s="519"/>
      <c r="X65" s="519"/>
      <c r="Y65" s="519"/>
      <c r="Z65" s="519"/>
      <c r="AA65" s="520"/>
      <c r="AB65" s="1635">
        <f>ROUND(SUM(C65:Y65),1)</f>
        <v>506</v>
      </c>
      <c r="AC65" s="1635"/>
      <c r="AD65" s="3333"/>
      <c r="AE65" s="1635">
        <f>+'Exhibit F'!AF60+'Exhibit G'!AG43+'Exhibit I'!AI39</f>
        <v>545</v>
      </c>
      <c r="AF65" s="1635"/>
      <c r="AG65" s="1635"/>
      <c r="AH65" s="1635">
        <f t="shared" si="12"/>
        <v>-39</v>
      </c>
      <c r="AI65" s="3123"/>
      <c r="AJ65" s="1724">
        <f>ROUND(IF(AE65=0,0,AH65/ABS(AE65)),3)</f>
        <v>-7.1999999999999995E-2</v>
      </c>
    </row>
    <row r="66" spans="1:36" ht="16.5" customHeight="1">
      <c r="A66" s="890" t="s">
        <v>1018</v>
      </c>
      <c r="B66" s="890"/>
      <c r="C66" s="519">
        <f>+'Exhibit F'!D61+'Exhibit G'!D44</f>
        <v>571.19999999999993</v>
      </c>
      <c r="D66" s="519"/>
      <c r="E66" s="519">
        <f>+'Exhibit F'!F61+'Exhibit G'!F44</f>
        <v>466.80000000000007</v>
      </c>
      <c r="F66" s="519"/>
      <c r="G66" s="519">
        <f>+'Exhibit F'!H61+'Exhibit G'!H44</f>
        <v>506.10000000000008</v>
      </c>
      <c r="H66" s="519"/>
      <c r="I66" s="519">
        <f>+'Exhibit F'!J61+'Exhibit G'!J44</f>
        <v>442.59999999999997</v>
      </c>
      <c r="J66" s="519"/>
      <c r="K66" s="519">
        <f>+'Exhibit F'!L61+'Exhibit G'!L44</f>
        <v>463.5999999999998</v>
      </c>
      <c r="L66" s="519"/>
      <c r="M66" s="519">
        <f>+'Exhibit F'!N61+'Exhibit G'!N44</f>
        <v>520</v>
      </c>
      <c r="N66" s="519"/>
      <c r="O66" s="1635">
        <f>+'Exhibit F'!P61+'Exhibit G'!P44</f>
        <v>509.00000000000006</v>
      </c>
      <c r="P66" s="519"/>
      <c r="Q66" s="519"/>
      <c r="R66" s="519"/>
      <c r="S66" s="519"/>
      <c r="T66" s="519"/>
      <c r="U66" s="519"/>
      <c r="V66" s="519"/>
      <c r="W66" s="519"/>
      <c r="X66" s="519"/>
      <c r="Y66" s="519"/>
      <c r="Z66" s="519"/>
      <c r="AA66" s="520"/>
      <c r="AB66" s="1635">
        <f t="shared" si="11"/>
        <v>3479.3</v>
      </c>
      <c r="AC66" s="1635"/>
      <c r="AD66" s="3333"/>
      <c r="AE66" s="1635">
        <f>+'Exhibit F'!AF61+'Exhibit G'!AG44+'Exhibit H'!AD30</f>
        <v>3823.7000000000003</v>
      </c>
      <c r="AF66" s="1635"/>
      <c r="AG66" s="1635"/>
      <c r="AH66" s="1635">
        <f t="shared" si="12"/>
        <v>-344.4</v>
      </c>
      <c r="AI66" s="3123"/>
      <c r="AJ66" s="1724">
        <f>ROUND(IF(AE66=0,0,AH66/ABS(AE66)),3)</f>
        <v>-0.09</v>
      </c>
    </row>
    <row r="67" spans="1:36" ht="16.5" customHeight="1">
      <c r="A67" s="890" t="s">
        <v>1019</v>
      </c>
      <c r="B67" s="890"/>
      <c r="C67" s="519">
        <f>+'Exhibit F'!D62+'Exhibit G'!D45</f>
        <v>0.1</v>
      </c>
      <c r="D67" s="519"/>
      <c r="E67" s="519">
        <f>+'Exhibit F'!F62+'Exhibit G'!F45</f>
        <v>0</v>
      </c>
      <c r="F67" s="519"/>
      <c r="G67" s="519">
        <f>+'Exhibit F'!H62+'Exhibit G'!H45</f>
        <v>0.4</v>
      </c>
      <c r="H67" s="519"/>
      <c r="I67" s="519">
        <f>+'Exhibit F'!J62+'Exhibit G'!J45</f>
        <v>4.4000000000000004</v>
      </c>
      <c r="J67" s="519"/>
      <c r="K67" s="519">
        <f>+'Exhibit F'!L62+'Exhibit G'!L45</f>
        <v>0.39999999999999947</v>
      </c>
      <c r="L67" s="519"/>
      <c r="M67" s="519">
        <f>+'Exhibit F'!N62+'Exhibit G'!N45</f>
        <v>45.400000000000006</v>
      </c>
      <c r="N67" s="519"/>
      <c r="O67" s="1635">
        <f>+'Exhibit F'!P62+'Exhibit G'!P45</f>
        <v>-10.100000000000001</v>
      </c>
      <c r="P67" s="519"/>
      <c r="Q67" s="519"/>
      <c r="R67" s="519"/>
      <c r="S67" s="519"/>
      <c r="T67" s="519"/>
      <c r="U67" s="519"/>
      <c r="V67" s="519"/>
      <c r="W67" s="519"/>
      <c r="X67" s="519"/>
      <c r="Y67" s="519"/>
      <c r="Z67" s="519"/>
      <c r="AA67" s="520"/>
      <c r="AB67" s="1635">
        <f t="shared" si="11"/>
        <v>40.6</v>
      </c>
      <c r="AC67" s="1635"/>
      <c r="AD67" s="3333"/>
      <c r="AE67" s="1635">
        <f>+'Exhibit F'!AF62+'Exhibit G'!AG45</f>
        <v>44.9</v>
      </c>
      <c r="AF67" s="1635"/>
      <c r="AG67" s="1635"/>
      <c r="AH67" s="1635">
        <f t="shared" si="12"/>
        <v>-4.3</v>
      </c>
      <c r="AI67" s="3123"/>
      <c r="AJ67" s="1724">
        <f>ROUND(IF(AE67=0,0,AH67/ABS(AE67)),3)</f>
        <v>-9.6000000000000002E-2</v>
      </c>
    </row>
    <row r="68" spans="1:36" ht="16.5" customHeight="1">
      <c r="A68" s="890" t="s">
        <v>1020</v>
      </c>
      <c r="B68" s="890"/>
      <c r="C68" s="519">
        <f>+'Exhibit F'!D63+'Exhibit G'!D46</f>
        <v>0</v>
      </c>
      <c r="D68" s="519"/>
      <c r="E68" s="519">
        <f>+'Exhibit F'!F63+'Exhibit G'!F46</f>
        <v>0.1</v>
      </c>
      <c r="F68" s="519"/>
      <c r="G68" s="519">
        <f>+'Exhibit F'!H63+'Exhibit G'!H46</f>
        <v>0</v>
      </c>
      <c r="H68" s="519"/>
      <c r="I68" s="519">
        <f>+'Exhibit F'!J63+'Exhibit G'!J46</f>
        <v>0</v>
      </c>
      <c r="J68" s="519"/>
      <c r="K68" s="519">
        <f>+'Exhibit F'!L63+'Exhibit G'!L46</f>
        <v>0</v>
      </c>
      <c r="L68" s="519"/>
      <c r="M68" s="519">
        <f>+'Exhibit F'!N63+'Exhibit G'!N46</f>
        <v>0</v>
      </c>
      <c r="N68" s="519"/>
      <c r="O68" s="1635">
        <f>+'Exhibit F'!P63+'Exhibit G'!P46</f>
        <v>0</v>
      </c>
      <c r="P68" s="519"/>
      <c r="Q68" s="519"/>
      <c r="R68" s="519"/>
      <c r="S68" s="519"/>
      <c r="T68" s="519"/>
      <c r="U68" s="519"/>
      <c r="V68" s="519"/>
      <c r="W68" s="519"/>
      <c r="X68" s="519"/>
      <c r="Y68" s="519"/>
      <c r="Z68" s="519"/>
      <c r="AA68" s="520"/>
      <c r="AB68" s="1635">
        <f t="shared" si="11"/>
        <v>0.1</v>
      </c>
      <c r="AC68" s="1635"/>
      <c r="AD68" s="3333"/>
      <c r="AE68" s="1635">
        <f>+'Exhibit F'!AF63+'Exhibit G'!AG46</f>
        <v>0.5</v>
      </c>
      <c r="AF68" s="1635"/>
      <c r="AG68" s="1635"/>
      <c r="AH68" s="1635">
        <f t="shared" si="12"/>
        <v>-0.4</v>
      </c>
      <c r="AI68" s="3123"/>
      <c r="AJ68" s="1724">
        <f>ROUND(IF(AE68=0,0,AH68/ABS(AE68)),3)</f>
        <v>-0.8</v>
      </c>
    </row>
    <row r="69" spans="1:36" ht="16.5" customHeight="1">
      <c r="A69" s="890" t="s">
        <v>1139</v>
      </c>
      <c r="B69" s="890"/>
      <c r="C69" s="519"/>
      <c r="D69" s="519"/>
      <c r="E69" s="519"/>
      <c r="F69" s="519"/>
      <c r="G69" s="519"/>
      <c r="H69" s="519"/>
      <c r="I69" s="519"/>
      <c r="J69" s="519"/>
      <c r="K69" s="519"/>
      <c r="L69" s="519"/>
      <c r="M69" s="519"/>
      <c r="N69" s="519"/>
      <c r="O69" s="1635"/>
      <c r="P69" s="519"/>
      <c r="Q69" s="519"/>
      <c r="R69" s="519"/>
      <c r="S69" s="519"/>
      <c r="T69" s="519"/>
      <c r="U69" s="519"/>
      <c r="V69" s="519"/>
      <c r="W69" s="519"/>
      <c r="X69" s="519"/>
      <c r="Y69" s="519"/>
      <c r="Z69" s="519"/>
      <c r="AA69" s="520"/>
      <c r="AB69" s="1635"/>
      <c r="AC69" s="1635"/>
      <c r="AD69" s="3333"/>
      <c r="AE69" s="1635"/>
      <c r="AF69" s="1635"/>
      <c r="AG69" s="1635"/>
      <c r="AH69" s="1635"/>
      <c r="AI69" s="3123"/>
      <c r="AJ69" s="1724"/>
    </row>
    <row r="70" spans="1:36" ht="16.5" customHeight="1">
      <c r="A70" s="890" t="s">
        <v>1021</v>
      </c>
      <c r="B70" s="890"/>
      <c r="C70" s="519">
        <f>+'Exhibit F'!D65+'Exhibit H'!B32</f>
        <v>2.2000000000000002</v>
      </c>
      <c r="D70" s="519"/>
      <c r="E70" s="519">
        <f>+'Exhibit F'!F65+'Exhibit H'!D32</f>
        <v>2.8999999999999995</v>
      </c>
      <c r="F70" s="519"/>
      <c r="G70" s="519">
        <f>+'Exhibit F'!H65+'Exhibit H'!F32</f>
        <v>2.9000000000000004</v>
      </c>
      <c r="H70" s="519"/>
      <c r="I70" s="519">
        <f>+'Exhibit F'!J65+'Exhibit H'!H32</f>
        <v>4.8999999999999995</v>
      </c>
      <c r="J70" s="519"/>
      <c r="K70" s="519">
        <f>+'Exhibit F'!L65+'Exhibit H'!J32</f>
        <v>4.8000000000000016</v>
      </c>
      <c r="L70" s="519"/>
      <c r="M70" s="519">
        <f>+'Exhibit F'!N65+'Exhibit H'!L32</f>
        <v>5.4000000000000012</v>
      </c>
      <c r="N70" s="519"/>
      <c r="O70" s="1635">
        <f>+'Exhibit F'!P65+'Exhibit H'!N32</f>
        <v>5.0000000000000009</v>
      </c>
      <c r="P70" s="519"/>
      <c r="Q70" s="519"/>
      <c r="R70" s="519"/>
      <c r="S70" s="519"/>
      <c r="T70" s="519"/>
      <c r="U70" s="519"/>
      <c r="V70" s="519"/>
      <c r="W70" s="519"/>
      <c r="X70" s="519"/>
      <c r="Y70" s="519"/>
      <c r="Z70" s="519"/>
      <c r="AA70" s="520"/>
      <c r="AB70" s="1635">
        <f t="shared" si="11"/>
        <v>28.1</v>
      </c>
      <c r="AC70" s="1635"/>
      <c r="AD70" s="3333"/>
      <c r="AE70" s="1635">
        <f>+'Exhibit F'!AF65+'Exhibit H'!AD32</f>
        <v>44.4</v>
      </c>
      <c r="AF70" s="1635"/>
      <c r="AG70" s="1635"/>
      <c r="AH70" s="1635">
        <f t="shared" si="12"/>
        <v>-16.3</v>
      </c>
      <c r="AI70" s="3123"/>
      <c r="AJ70" s="1724">
        <f t="shared" ref="AJ70:AJ77" si="13">ROUND(IF(AE70=0,0,AH70/ABS(AE70)),3)</f>
        <v>-0.36699999999999999</v>
      </c>
    </row>
    <row r="71" spans="1:36" ht="16.5" customHeight="1">
      <c r="A71" s="890" t="s">
        <v>1232</v>
      </c>
      <c r="B71" s="890"/>
      <c r="C71" s="519">
        <f>'Exhibit G'!D48</f>
        <v>0</v>
      </c>
      <c r="D71" s="519"/>
      <c r="E71" s="519">
        <f>'Exhibit G'!F48</f>
        <v>0</v>
      </c>
      <c r="F71" s="519"/>
      <c r="G71" s="519">
        <f>'Exhibit G'!H48</f>
        <v>0.1</v>
      </c>
      <c r="H71" s="519"/>
      <c r="I71" s="519">
        <f>'Exhibit G'!J48</f>
        <v>0.19999999999999998</v>
      </c>
      <c r="J71" s="519"/>
      <c r="K71" s="519">
        <f>'Exhibit G'!L48</f>
        <v>0.70000000000000007</v>
      </c>
      <c r="L71" s="519"/>
      <c r="M71" s="519">
        <f>'Exhibit G'!N48</f>
        <v>0.69999999999999984</v>
      </c>
      <c r="N71" s="519"/>
      <c r="O71" s="1635">
        <f>'Exhibit G'!P48</f>
        <v>0.10000000000000009</v>
      </c>
      <c r="P71" s="519"/>
      <c r="Q71" s="519"/>
      <c r="R71" s="519"/>
      <c r="S71" s="519"/>
      <c r="T71" s="519"/>
      <c r="U71" s="519"/>
      <c r="V71" s="519"/>
      <c r="W71" s="519"/>
      <c r="X71" s="519"/>
      <c r="Y71" s="519"/>
      <c r="Z71" s="519"/>
      <c r="AA71" s="959"/>
      <c r="AB71" s="1635">
        <f t="shared" si="11"/>
        <v>1.8</v>
      </c>
      <c r="AC71" s="1635"/>
      <c r="AD71" s="3333"/>
      <c r="AE71" s="1635">
        <f>'Exhibit G'!AG48</f>
        <v>2.6</v>
      </c>
      <c r="AF71" s="1635"/>
      <c r="AG71" s="1635"/>
      <c r="AH71" s="1635">
        <f>ROUND(SUM(AB71-AE71),1)</f>
        <v>-0.8</v>
      </c>
      <c r="AI71" s="3123"/>
      <c r="AJ71" s="1723">
        <f>ROUND(IF(AE71=0,0,AH71/ABS(AE71)),3)</f>
        <v>-0.308</v>
      </c>
    </row>
    <row r="72" spans="1:36" ht="16.5" customHeight="1">
      <c r="A72" s="890" t="s">
        <v>1135</v>
      </c>
      <c r="B72" s="890"/>
      <c r="C72" s="519">
        <f>+'Exhibit F'!D67+'Exhibit G'!D49+'Exhibit I'!E41+'Exhibit H'!B33</f>
        <v>69</v>
      </c>
      <c r="D72" s="519"/>
      <c r="E72" s="519">
        <f>+'Exhibit F'!F67+'Exhibit G'!F49+'Exhibit I'!G41+'Exhibit H'!D33</f>
        <v>71.899999999999977</v>
      </c>
      <c r="F72" s="519"/>
      <c r="G72" s="519">
        <f>+'Exhibit F'!H67+'Exhibit G'!H49+'Exhibit I'!I41+'Exhibit H'!F33</f>
        <v>115.99999999999997</v>
      </c>
      <c r="H72" s="519"/>
      <c r="I72" s="519">
        <f>+'Exhibit F'!J67+'Exhibit G'!J49+'Exhibit I'!K41+'Exhibit H'!H33</f>
        <v>55.600000000000009</v>
      </c>
      <c r="J72" s="519"/>
      <c r="K72" s="519">
        <f>+'Exhibit F'!L67+'Exhibit G'!L49+'Exhibit I'!M41+'Exhibit H'!J33</f>
        <v>55.300000000000026</v>
      </c>
      <c r="L72" s="519"/>
      <c r="M72" s="519">
        <f>+'Exhibit F'!N67+'Exhibit G'!N49+'Exhibit I'!O41+'Exhibit H'!L33</f>
        <v>128.6</v>
      </c>
      <c r="N72" s="519"/>
      <c r="O72" s="1635">
        <f>+'Exhibit F'!P67+'Exhibit G'!P49+'Exhibit I'!Q41+'Exhibit H'!N33</f>
        <v>66.5</v>
      </c>
      <c r="P72" s="519"/>
      <c r="Q72" s="519"/>
      <c r="R72" s="519"/>
      <c r="S72" s="519"/>
      <c r="T72" s="519"/>
      <c r="U72" s="519"/>
      <c r="V72" s="519"/>
      <c r="W72" s="519"/>
      <c r="X72" s="519"/>
      <c r="Y72" s="519"/>
      <c r="Z72" s="519"/>
      <c r="AA72" s="520"/>
      <c r="AB72" s="1635">
        <f t="shared" si="11"/>
        <v>562.9</v>
      </c>
      <c r="AC72" s="1635"/>
      <c r="AD72" s="3333"/>
      <c r="AE72" s="1635">
        <f>+'Exhibit F'!AF67+'Exhibit G'!AG49+'Exhibit I'!AI41+'Exhibit H'!AD33</f>
        <v>577.4</v>
      </c>
      <c r="AF72" s="1635"/>
      <c r="AG72" s="1635"/>
      <c r="AH72" s="1635">
        <f>ROUND(SUM(AB72-AE72),1)</f>
        <v>-14.5</v>
      </c>
      <c r="AI72" s="3123"/>
      <c r="AJ72" s="1724">
        <f>ROUND(IF(AE72=0,0,AH72/ABS(AE72)),3)</f>
        <v>-2.5000000000000001E-2</v>
      </c>
    </row>
    <row r="73" spans="1:36" ht="16.5" customHeight="1">
      <c r="A73" s="890" t="s">
        <v>1023</v>
      </c>
      <c r="B73" s="890"/>
      <c r="C73" s="519">
        <f>+'Exhibit F'!D68+'Exhibit G'!D50+'Exhibit H'!B34</f>
        <v>4.3000000000000007</v>
      </c>
      <c r="D73" s="519"/>
      <c r="E73" s="519">
        <f>+'Exhibit F'!F68+'Exhibit G'!F50+'Exhibit H'!D34</f>
        <v>3.2999999999999994</v>
      </c>
      <c r="F73" s="519"/>
      <c r="G73" s="519">
        <f>+'Exhibit F'!H68+'Exhibit G'!H50+'Exhibit H'!F34</f>
        <v>5.5</v>
      </c>
      <c r="H73" s="519"/>
      <c r="I73" s="519">
        <f>+'Exhibit F'!J68+'Exhibit G'!J50+'Exhibit H'!H34</f>
        <v>3.0999999999999996</v>
      </c>
      <c r="J73" s="519"/>
      <c r="K73" s="519">
        <f>+'Exhibit F'!L68+'Exhibit G'!L50+'Exhibit H'!J34</f>
        <v>88.799999999999983</v>
      </c>
      <c r="L73" s="519"/>
      <c r="M73" s="519">
        <f>+'Exhibit F'!N68+'Exhibit G'!N50+'Exhibit H'!L34</f>
        <v>-9.8000000000000007</v>
      </c>
      <c r="N73" s="519"/>
      <c r="O73" s="1635">
        <f>+'Exhibit F'!P68+'Exhibit G'!P50+'Exhibit H'!N34</f>
        <v>14.600000000000003</v>
      </c>
      <c r="P73" s="519"/>
      <c r="Q73" s="519"/>
      <c r="R73" s="519"/>
      <c r="S73" s="519"/>
      <c r="T73" s="519"/>
      <c r="U73" s="519"/>
      <c r="V73" s="519"/>
      <c r="W73" s="519"/>
      <c r="X73" s="519"/>
      <c r="Y73" s="519"/>
      <c r="Z73" s="519"/>
      <c r="AA73" s="520"/>
      <c r="AB73" s="1635">
        <f t="shared" si="11"/>
        <v>109.8</v>
      </c>
      <c r="AC73" s="1635"/>
      <c r="AD73" s="3333"/>
      <c r="AE73" s="1635">
        <f>+'Exhibit F'!AF68+'Exhibit G'!AG50+'Exhibit H'!AD34+'Exhibit I'!AI42</f>
        <v>164.89999999999998</v>
      </c>
      <c r="AF73" s="1635"/>
      <c r="AG73" s="1635"/>
      <c r="AH73" s="1635">
        <f t="shared" si="12"/>
        <v>-55.1</v>
      </c>
      <c r="AI73" s="3123"/>
      <c r="AJ73" s="1724">
        <f t="shared" si="13"/>
        <v>-0.33400000000000002</v>
      </c>
    </row>
    <row r="74" spans="1:36" ht="16.5" customHeight="1">
      <c r="A74" s="890" t="s">
        <v>1024</v>
      </c>
      <c r="B74" s="890"/>
      <c r="C74" s="519">
        <f>+'Exhibit F'!D69+'Exhibit G'!D51+'Exhibit H'!B35</f>
        <v>0.6</v>
      </c>
      <c r="D74" s="519"/>
      <c r="E74" s="519">
        <f>+'Exhibit F'!F69+'Exhibit G'!F51+'Exhibit H'!D35</f>
        <v>0.4</v>
      </c>
      <c r="F74" s="519"/>
      <c r="G74" s="519">
        <f>+'Exhibit F'!H69+'Exhibit G'!H51+'Exhibit H'!F35</f>
        <v>0.19999999999999996</v>
      </c>
      <c r="H74" s="519"/>
      <c r="I74" s="519">
        <f>+'Exhibit F'!J69+'Exhibit G'!J51+'Exhibit H'!H35</f>
        <v>1.6</v>
      </c>
      <c r="J74" s="519"/>
      <c r="K74" s="519">
        <f>+'Exhibit F'!L69+'Exhibit G'!L51+'Exhibit H'!J35</f>
        <v>0</v>
      </c>
      <c r="L74" s="519"/>
      <c r="M74" s="519">
        <f>+'Exhibit F'!N69+'Exhibit G'!N51+'Exhibit H'!L35</f>
        <v>0.19999999999999998</v>
      </c>
      <c r="N74" s="519"/>
      <c r="O74" s="1635">
        <f>+'Exhibit F'!P69+'Exhibit G'!P51+'Exhibit H'!N35</f>
        <v>0.49999999999999989</v>
      </c>
      <c r="P74" s="519"/>
      <c r="Q74" s="519"/>
      <c r="R74" s="519"/>
      <c r="S74" s="519"/>
      <c r="T74" s="519"/>
      <c r="U74" s="519"/>
      <c r="V74" s="519"/>
      <c r="W74" s="519"/>
      <c r="X74" s="519"/>
      <c r="Y74" s="519"/>
      <c r="Z74" s="519"/>
      <c r="AA74" s="520"/>
      <c r="AB74" s="1635">
        <f t="shared" si="11"/>
        <v>3.5</v>
      </c>
      <c r="AC74" s="1635"/>
      <c r="AD74" s="3333"/>
      <c r="AE74" s="1635">
        <f>+'Exhibit F'!AF69+'Exhibit G'!AG51+'Exhibit H'!AD35</f>
        <v>4.8</v>
      </c>
      <c r="AF74" s="1635"/>
      <c r="AG74" s="1635"/>
      <c r="AH74" s="1635">
        <f t="shared" si="12"/>
        <v>-1.3</v>
      </c>
      <c r="AI74" s="3123"/>
      <c r="AJ74" s="1724">
        <f>ROUND(IF(AE74=0,0,AH74/ABS(AE74)),3)</f>
        <v>-0.27100000000000002</v>
      </c>
    </row>
    <row r="75" spans="1:36" ht="16.5" customHeight="1">
      <c r="A75" s="890" t="s">
        <v>1025</v>
      </c>
      <c r="B75" s="890"/>
      <c r="C75" s="519">
        <f>+'Exhibit F'!D70+'Exhibit G'!D52+'Exhibit I'!E43+'Exhibit H'!B36</f>
        <v>-29.799999999999997</v>
      </c>
      <c r="D75" s="519"/>
      <c r="E75" s="519">
        <f>ROUND((+'Exhibit F'!F70+'Exhibit G'!F52+'Exhibit I'!G43+'Exhibit H'!D36),1)</f>
        <v>0</v>
      </c>
      <c r="F75" s="519"/>
      <c r="G75" s="519">
        <f>ROUND((+'Exhibit F'!H70+'Exhibit G'!H52+'Exhibit I'!I43+'Exhibit H'!F36),1)</f>
        <v>187.3</v>
      </c>
      <c r="H75" s="519"/>
      <c r="I75" s="519">
        <f>ROUND((+'Exhibit F'!J70+'Exhibit G'!J52+'Exhibit I'!K43+'Exhibit H'!H36),1)</f>
        <v>200.9</v>
      </c>
      <c r="J75" s="519"/>
      <c r="K75" s="519">
        <f>ROUND((+'Exhibit F'!L70+'Exhibit G'!L52+'Exhibit I'!M43+'Exhibit H'!J36),1)</f>
        <v>103.6</v>
      </c>
      <c r="L75" s="519"/>
      <c r="M75" s="519">
        <f>ROUND((+'Exhibit F'!N70+'Exhibit G'!N52+'Exhibit I'!O43+'Exhibit H'!L36),1)</f>
        <v>128.9</v>
      </c>
      <c r="N75" s="519"/>
      <c r="O75" s="1635">
        <f>ROUND((+'Exhibit F'!P70+'Exhibit G'!P52+'Exhibit I'!Q43+'Exhibit H'!N36),1)</f>
        <v>105</v>
      </c>
      <c r="P75" s="519"/>
      <c r="Q75" s="519"/>
      <c r="R75" s="519"/>
      <c r="S75" s="519"/>
      <c r="T75" s="519"/>
      <c r="U75" s="519"/>
      <c r="V75" s="519"/>
      <c r="W75" s="519"/>
      <c r="X75" s="519"/>
      <c r="Y75" s="519"/>
      <c r="Z75" s="519"/>
      <c r="AA75" s="520"/>
      <c r="AB75" s="1635">
        <f t="shared" si="11"/>
        <v>695.9</v>
      </c>
      <c r="AC75" s="1635"/>
      <c r="AD75" s="3333"/>
      <c r="AE75" s="1635">
        <f>+'Exhibit F'!AF70+'Exhibit G'!AG52+'Exhibit I'!AI43+'Exhibit H'!AD36</f>
        <v>809.9</v>
      </c>
      <c r="AF75" s="1635"/>
      <c r="AG75" s="1635"/>
      <c r="AH75" s="1635">
        <f t="shared" si="12"/>
        <v>-114</v>
      </c>
      <c r="AI75" s="3123"/>
      <c r="AJ75" s="1724">
        <f t="shared" si="13"/>
        <v>-0.14099999999999999</v>
      </c>
    </row>
    <row r="76" spans="1:36" ht="16.5" customHeight="1">
      <c r="A76" s="890" t="s">
        <v>1026</v>
      </c>
      <c r="B76" s="890"/>
      <c r="C76" s="519">
        <f>+'Exhibit F'!D71+'Exhibit G'!D53+'Exhibit I'!E44+'Exhibit H'!B37</f>
        <v>43</v>
      </c>
      <c r="D76" s="519"/>
      <c r="E76" s="519">
        <f>+'Exhibit F'!F71+'Exhibit G'!F53+'Exhibit I'!G44+'Exhibit H'!D37</f>
        <v>0</v>
      </c>
      <c r="F76" s="519"/>
      <c r="G76" s="519">
        <f>+'Exhibit F'!H71+'Exhibit G'!H53+'Exhibit I'!I44+'Exhibit H'!F37</f>
        <v>36.6</v>
      </c>
      <c r="H76" s="519"/>
      <c r="I76" s="519">
        <f>+'Exhibit F'!J71+'Exhibit G'!J53+'Exhibit I'!K44+'Exhibit H'!H37</f>
        <v>34.199999999999996</v>
      </c>
      <c r="J76" s="519"/>
      <c r="K76" s="519">
        <f>+'Exhibit F'!L71+'Exhibit G'!L53+'Exhibit I'!M44+'Exhibit H'!J37</f>
        <v>43.3</v>
      </c>
      <c r="L76" s="519"/>
      <c r="M76" s="519">
        <f>+'Exhibit F'!N71+'Exhibit G'!N53+'Exhibit I'!O44+'Exhibit H'!L37</f>
        <v>154.99999999999994</v>
      </c>
      <c r="N76" s="519"/>
      <c r="O76" s="1635">
        <f>+'Exhibit F'!P71+'Exhibit G'!P53+'Exhibit I'!Q44+'Exhibit H'!N37</f>
        <v>85.300000000000011</v>
      </c>
      <c r="P76" s="519"/>
      <c r="Q76" s="519"/>
      <c r="R76" s="519"/>
      <c r="S76" s="519"/>
      <c r="T76" s="519"/>
      <c r="U76" s="519"/>
      <c r="V76" s="519"/>
      <c r="W76" s="519"/>
      <c r="X76" s="519"/>
      <c r="Y76" s="519"/>
      <c r="Z76" s="519"/>
      <c r="AA76" s="520"/>
      <c r="AB76" s="1635">
        <f t="shared" si="11"/>
        <v>397.4</v>
      </c>
      <c r="AC76" s="1635"/>
      <c r="AD76" s="3333"/>
      <c r="AE76" s="1635">
        <f>+'Exhibit F'!AF71+'Exhibit G'!AG53+'Exhibit I'!AI44+'Exhibit H'!AD37</f>
        <v>537.80000000000007</v>
      </c>
      <c r="AF76" s="1635"/>
      <c r="AG76" s="1635"/>
      <c r="AH76" s="1635">
        <f t="shared" si="12"/>
        <v>-140.4</v>
      </c>
      <c r="AI76" s="3123"/>
      <c r="AJ76" s="1724">
        <f t="shared" si="13"/>
        <v>-0.26100000000000001</v>
      </c>
    </row>
    <row r="77" spans="1:36" ht="16.5" customHeight="1">
      <c r="A77" s="890" t="s">
        <v>1015</v>
      </c>
      <c r="B77" s="890"/>
      <c r="C77" s="519">
        <f>+'Exhibit F'!D72+'Exhibit G'!D54+'Exhibit I'!E45</f>
        <v>100.9</v>
      </c>
      <c r="D77" s="519"/>
      <c r="E77" s="519">
        <f>+'Exhibit F'!F72+'Exhibit G'!F54+'Exhibit I'!G45</f>
        <v>233.7</v>
      </c>
      <c r="F77" s="519"/>
      <c r="G77" s="519">
        <f>+'Exhibit F'!H72+'Exhibit G'!H54+'Exhibit I'!I45</f>
        <v>18.300000000000043</v>
      </c>
      <c r="H77" s="519"/>
      <c r="I77" s="519">
        <f>+'Exhibit F'!J72+'Exhibit G'!J54+'Exhibit I'!K45</f>
        <v>201.30000000000004</v>
      </c>
      <c r="J77" s="519"/>
      <c r="K77" s="519">
        <f>+'Exhibit F'!L72+'Exhibit G'!L54+'Exhibit I'!M45</f>
        <v>6.8999999999999995</v>
      </c>
      <c r="L77" s="519"/>
      <c r="M77" s="519">
        <f>+'Exhibit F'!N72+'Exhibit G'!N54+'Exhibit I'!O45</f>
        <v>16.299999999999997</v>
      </c>
      <c r="N77" s="519"/>
      <c r="O77" s="1635">
        <f>+'Exhibit F'!P72+'Exhibit G'!P54+'Exhibit I'!Q45</f>
        <v>80.099999999999937</v>
      </c>
      <c r="P77" s="519"/>
      <c r="Q77" s="519"/>
      <c r="R77" s="519"/>
      <c r="S77" s="519"/>
      <c r="T77" s="519"/>
      <c r="U77" s="519"/>
      <c r="V77" s="519"/>
      <c r="W77" s="519"/>
      <c r="X77" s="519"/>
      <c r="Y77" s="519"/>
      <c r="Z77" s="519"/>
      <c r="AA77" s="520"/>
      <c r="AB77" s="1635">
        <f t="shared" si="11"/>
        <v>657.5</v>
      </c>
      <c r="AC77" s="1635"/>
      <c r="AD77" s="3333"/>
      <c r="AE77" s="1635">
        <f>+'Exhibit F'!AF72+'Exhibit G'!AG54+'Exhibit I'!AI45</f>
        <v>1199.4000000000001</v>
      </c>
      <c r="AF77" s="1635"/>
      <c r="AG77" s="1635"/>
      <c r="AH77" s="1635">
        <f t="shared" si="12"/>
        <v>-541.9</v>
      </c>
      <c r="AI77" s="3123"/>
      <c r="AJ77" s="1724">
        <f t="shared" si="13"/>
        <v>-0.45200000000000001</v>
      </c>
    </row>
    <row r="78" spans="1:36" ht="16.5" customHeight="1">
      <c r="A78" s="890" t="s">
        <v>1136</v>
      </c>
      <c r="B78" s="890"/>
      <c r="C78" s="519"/>
      <c r="D78" s="519"/>
      <c r="E78" s="519"/>
      <c r="F78" s="519"/>
      <c r="G78" s="519"/>
      <c r="H78" s="519"/>
      <c r="I78" s="519"/>
      <c r="J78" s="519"/>
      <c r="K78" s="519"/>
      <c r="L78" s="519"/>
      <c r="M78" s="519"/>
      <c r="N78" s="519"/>
      <c r="O78" s="1635"/>
      <c r="P78" s="519"/>
      <c r="Q78" s="519"/>
      <c r="R78" s="519"/>
      <c r="S78" s="519"/>
      <c r="T78" s="519"/>
      <c r="U78" s="519"/>
      <c r="V78" s="519"/>
      <c r="W78" s="519"/>
      <c r="X78" s="519"/>
      <c r="Y78" s="519"/>
      <c r="Z78" s="519"/>
      <c r="AA78" s="520"/>
      <c r="AB78" s="1635"/>
      <c r="AC78" s="1635"/>
      <c r="AD78" s="3333"/>
      <c r="AE78" s="1635"/>
      <c r="AF78" s="1635"/>
      <c r="AG78" s="1635"/>
      <c r="AH78" s="1635"/>
      <c r="AI78" s="3123"/>
      <c r="AJ78" s="1724"/>
    </row>
    <row r="79" spans="1:36" ht="16.5" customHeight="1">
      <c r="A79" s="890" t="s">
        <v>1027</v>
      </c>
      <c r="B79" s="890"/>
      <c r="C79" s="519">
        <f>+'Exhibit G'!D56</f>
        <v>0</v>
      </c>
      <c r="D79" s="519"/>
      <c r="E79" s="519">
        <f>+'Exhibit G'!F56</f>
        <v>0</v>
      </c>
      <c r="F79" s="519"/>
      <c r="G79" s="519">
        <f>+'Exhibit G'!H56</f>
        <v>0</v>
      </c>
      <c r="H79" s="519"/>
      <c r="I79" s="519">
        <f>+'Exhibit G'!J56</f>
        <v>20.8</v>
      </c>
      <c r="J79" s="519"/>
      <c r="K79" s="519">
        <f>+'Exhibit G'!L56</f>
        <v>0</v>
      </c>
      <c r="L79" s="519"/>
      <c r="M79" s="519">
        <f>+'Exhibit G'!N56</f>
        <v>8</v>
      </c>
      <c r="N79" s="519"/>
      <c r="O79" s="1635">
        <f>+'Exhibit G'!P56</f>
        <v>33.400000000000006</v>
      </c>
      <c r="P79" s="519"/>
      <c r="Q79" s="519"/>
      <c r="R79" s="519"/>
      <c r="S79" s="519"/>
      <c r="T79" s="519"/>
      <c r="U79" s="519"/>
      <c r="V79" s="519"/>
      <c r="W79" s="519"/>
      <c r="X79" s="519"/>
      <c r="Y79" s="519"/>
      <c r="Z79" s="519"/>
      <c r="AA79" s="520"/>
      <c r="AB79" s="1635">
        <f t="shared" si="11"/>
        <v>62.2</v>
      </c>
      <c r="AC79" s="1635"/>
      <c r="AD79" s="3333"/>
      <c r="AE79" s="1635">
        <f>+'Exhibit G'!AG56</f>
        <v>179.7</v>
      </c>
      <c r="AF79" s="1635"/>
      <c r="AG79" s="1635"/>
      <c r="AH79" s="1635">
        <f t="shared" si="12"/>
        <v>-117.5</v>
      </c>
      <c r="AI79" s="3123"/>
      <c r="AJ79" s="3329">
        <f>ROUND(IF(AE79=0,0,AH79/ABS(AE79)),3)</f>
        <v>-0.65400000000000003</v>
      </c>
    </row>
    <row r="80" spans="1:36" ht="16.5" customHeight="1">
      <c r="A80" s="890" t="s">
        <v>1028</v>
      </c>
      <c r="B80" s="890"/>
      <c r="C80" s="519">
        <f>+'Exhibit G'!D57</f>
        <v>157</v>
      </c>
      <c r="D80" s="519"/>
      <c r="E80" s="519">
        <f>+'Exhibit G'!F57</f>
        <v>142.10000000000002</v>
      </c>
      <c r="F80" s="519"/>
      <c r="G80" s="519">
        <f>+'Exhibit G'!H57</f>
        <v>173.79999999999995</v>
      </c>
      <c r="H80" s="519"/>
      <c r="I80" s="519">
        <f>+'Exhibit G'!J57</f>
        <v>202.20000000000005</v>
      </c>
      <c r="J80" s="519"/>
      <c r="K80" s="519">
        <f>+'Exhibit G'!L57</f>
        <v>195.89999999999998</v>
      </c>
      <c r="L80" s="519"/>
      <c r="M80" s="519">
        <f>+'Exhibit G'!N57</f>
        <v>199.29999999999995</v>
      </c>
      <c r="N80" s="519"/>
      <c r="O80" s="1635">
        <f>+'Exhibit G'!P57</f>
        <v>168.29999999999995</v>
      </c>
      <c r="P80" s="519"/>
      <c r="Q80" s="519"/>
      <c r="R80" s="519"/>
      <c r="S80" s="519"/>
      <c r="T80" s="519"/>
      <c r="U80" s="519"/>
      <c r="V80" s="519"/>
      <c r="W80" s="519"/>
      <c r="X80" s="519"/>
      <c r="Y80" s="519"/>
      <c r="Z80" s="519"/>
      <c r="AA80" s="520"/>
      <c r="AB80" s="1635">
        <f t="shared" si="11"/>
        <v>1238.5999999999999</v>
      </c>
      <c r="AC80" s="1635"/>
      <c r="AD80" s="3333"/>
      <c r="AE80" s="1635">
        <f>+'Exhibit G'!AG57</f>
        <v>1475</v>
      </c>
      <c r="AF80" s="1635"/>
      <c r="AG80" s="1635"/>
      <c r="AH80" s="1635">
        <f t="shared" si="12"/>
        <v>-236.4</v>
      </c>
      <c r="AI80" s="3123"/>
      <c r="AJ80" s="3329">
        <f>ROUND(IF(AE80=0,0,AH80/ABS(AE80)),3)</f>
        <v>-0.16</v>
      </c>
    </row>
    <row r="81" spans="1:36" ht="16.5" customHeight="1">
      <c r="A81" s="890" t="s">
        <v>1029</v>
      </c>
      <c r="B81" s="890"/>
      <c r="C81" s="519">
        <f>+'Exhibit G'!D58</f>
        <v>0</v>
      </c>
      <c r="D81" s="519"/>
      <c r="E81" s="519">
        <f>+'Exhibit G'!F58</f>
        <v>0.6</v>
      </c>
      <c r="F81" s="519"/>
      <c r="G81" s="519">
        <f>+'Exhibit G'!H58</f>
        <v>0</v>
      </c>
      <c r="H81" s="519"/>
      <c r="I81" s="519">
        <f>+'Exhibit G'!J58</f>
        <v>-0.39999999999999997</v>
      </c>
      <c r="J81" s="519"/>
      <c r="K81" s="519">
        <f>+'Exhibit G'!L58</f>
        <v>0</v>
      </c>
      <c r="L81" s="519"/>
      <c r="M81" s="519">
        <f>+'Exhibit G'!N58</f>
        <v>33.799999999999997</v>
      </c>
      <c r="N81" s="519"/>
      <c r="O81" s="1635">
        <f>+'Exhibit G'!P58</f>
        <v>59.600000000000009</v>
      </c>
      <c r="P81" s="519"/>
      <c r="Q81" s="519"/>
      <c r="R81" s="519"/>
      <c r="S81" s="519"/>
      <c r="T81" s="519"/>
      <c r="U81" s="519"/>
      <c r="V81" s="519"/>
      <c r="W81" s="519"/>
      <c r="X81" s="519"/>
      <c r="Y81" s="519"/>
      <c r="Z81" s="519"/>
      <c r="AA81" s="520"/>
      <c r="AB81" s="1635">
        <f t="shared" si="11"/>
        <v>93.6</v>
      </c>
      <c r="AC81" s="1635"/>
      <c r="AD81" s="3333"/>
      <c r="AE81" s="1635">
        <f>+'Exhibit G'!AG58</f>
        <v>566.4</v>
      </c>
      <c r="AF81" s="1635"/>
      <c r="AG81" s="1635"/>
      <c r="AH81" s="1635">
        <f t="shared" si="12"/>
        <v>-472.8</v>
      </c>
      <c r="AI81" s="3123"/>
      <c r="AJ81" s="3329">
        <f>ROUND(IF(AE81=0,0,AH81/ABS(AE81)),3)</f>
        <v>-0.83499999999999996</v>
      </c>
    </row>
    <row r="82" spans="1:36" ht="16.5" customHeight="1">
      <c r="A82" s="890" t="s">
        <v>1016</v>
      </c>
      <c r="B82" s="890"/>
      <c r="C82" s="519">
        <f>+'Exhibit F'!D73+'Exhibit G'!D59+'Exhibit H'!B38+'Exhibit I'!E46</f>
        <v>32.900000000000006</v>
      </c>
      <c r="D82" s="519"/>
      <c r="E82" s="519">
        <f>+'Exhibit F'!F73+'Exhibit G'!F59+'Exhibit H'!D38+'Exhibit I'!G46</f>
        <v>18.200000000000003</v>
      </c>
      <c r="F82" s="519"/>
      <c r="G82" s="519">
        <f>+'Exhibit F'!H73+'Exhibit G'!H59+'Exhibit H'!F38+'Exhibit I'!I46</f>
        <v>9.1999999999999993</v>
      </c>
      <c r="H82" s="519"/>
      <c r="I82" s="519">
        <f>+'Exhibit F'!J73+'Exhibit G'!J59+'Exhibit H'!H38+'Exhibit I'!K46</f>
        <v>5.1999999999999993</v>
      </c>
      <c r="J82" s="519"/>
      <c r="K82" s="519">
        <f>+'Exhibit F'!L73+'Exhibit G'!L59+'Exhibit H'!J38+'Exhibit I'!M46</f>
        <v>6.6999999999999957</v>
      </c>
      <c r="L82" s="519"/>
      <c r="M82" s="519">
        <f>+'Exhibit F'!N73+'Exhibit G'!N59+'Exhibit H'!L38+'Exhibit I'!O46</f>
        <v>6.2000000000000064</v>
      </c>
      <c r="N82" s="519"/>
      <c r="O82" s="1635">
        <f>+'Exhibit F'!P73+'Exhibit G'!P59+'Exhibit H'!N38+'Exhibit I'!Q46</f>
        <v>5.7999999999999972</v>
      </c>
      <c r="P82" s="519"/>
      <c r="Q82" s="519"/>
      <c r="R82" s="519"/>
      <c r="S82" s="519"/>
      <c r="T82" s="519"/>
      <c r="U82" s="519"/>
      <c r="V82" s="519"/>
      <c r="W82" s="519"/>
      <c r="X82" s="519"/>
      <c r="Y82" s="519"/>
      <c r="Z82" s="519"/>
      <c r="AA82" s="520"/>
      <c r="AB82" s="1635">
        <f t="shared" si="11"/>
        <v>84.2</v>
      </c>
      <c r="AC82" s="1635"/>
      <c r="AD82" s="3333"/>
      <c r="AE82" s="1635">
        <f>+'Exhibit F'!AF73+'Exhibit G'!AG59+'Exhibit H'!AD38+'Exhibit I'!AI46</f>
        <v>275.8</v>
      </c>
      <c r="AF82" s="1635"/>
      <c r="AG82" s="1635"/>
      <c r="AH82" s="1635">
        <f t="shared" si="12"/>
        <v>-191.6</v>
      </c>
      <c r="AI82" s="3123"/>
      <c r="AJ82" s="3329">
        <f>ROUND(IF(AE82=0,0,AH82/ABS(AE82)),3)</f>
        <v>-0.69499999999999995</v>
      </c>
    </row>
    <row r="83" spans="1:36" ht="16.5" customHeight="1">
      <c r="A83" s="890" t="s">
        <v>1137</v>
      </c>
      <c r="B83" s="890"/>
      <c r="C83" s="519"/>
      <c r="D83" s="519"/>
      <c r="E83" s="519"/>
      <c r="F83" s="519"/>
      <c r="G83" s="519"/>
      <c r="H83" s="519"/>
      <c r="I83" s="519"/>
      <c r="J83" s="519"/>
      <c r="K83" s="519"/>
      <c r="L83" s="519"/>
      <c r="M83" s="519"/>
      <c r="N83" s="519"/>
      <c r="O83" s="1635"/>
      <c r="P83" s="519"/>
      <c r="Q83" s="519"/>
      <c r="R83" s="519"/>
      <c r="S83" s="519"/>
      <c r="T83" s="519"/>
      <c r="U83" s="519"/>
      <c r="V83" s="519"/>
      <c r="W83" s="519"/>
      <c r="X83" s="519"/>
      <c r="Y83" s="519"/>
      <c r="Z83" s="519"/>
      <c r="AA83" s="520"/>
      <c r="AB83" s="1635"/>
      <c r="AC83" s="1635"/>
      <c r="AD83" s="3333"/>
      <c r="AE83" s="1635"/>
      <c r="AF83" s="1635"/>
      <c r="AG83" s="1635"/>
      <c r="AH83" s="1635"/>
      <c r="AI83" s="3123"/>
      <c r="AJ83" s="1724"/>
    </row>
    <row r="84" spans="1:36" ht="16.5" customHeight="1">
      <c r="A84" s="890" t="s">
        <v>1030</v>
      </c>
      <c r="B84" s="890"/>
      <c r="C84" s="519">
        <f>+'Exhibit G'!D61+'Exhibit I'!E48</f>
        <v>1122.0999999999999</v>
      </c>
      <c r="D84" s="519"/>
      <c r="E84" s="519">
        <f>+'Exhibit G'!F61+'Exhibit I'!G48+'Exhibit F'!F75</f>
        <v>1019.1000000000001</v>
      </c>
      <c r="F84" s="519"/>
      <c r="G84" s="519">
        <f>+'Exhibit G'!H61+'Exhibit I'!I48+'Exhibit F'!H75</f>
        <v>3842.3999999999996</v>
      </c>
      <c r="H84" s="519"/>
      <c r="I84" s="519">
        <f>+'Exhibit G'!J61+'Exhibit I'!K48+'Exhibit F'!J75</f>
        <v>269.90000000000009</v>
      </c>
      <c r="J84" s="519"/>
      <c r="K84" s="519">
        <f>+'Exhibit G'!L61+'Exhibit I'!M48+'Exhibit F'!L75</f>
        <v>32.400000000000091</v>
      </c>
      <c r="L84" s="519"/>
      <c r="M84" s="519">
        <f>+'Exhibit G'!N61+'Exhibit I'!O48+'Exhibit F'!N75</f>
        <v>384.69999999999982</v>
      </c>
      <c r="N84" s="519"/>
      <c r="O84" s="1635">
        <f>+'Exhibit G'!P61+'Exhibit I'!Q48+'Exhibit F'!P75</f>
        <v>895.80000000000018</v>
      </c>
      <c r="P84" s="519"/>
      <c r="Q84" s="519"/>
      <c r="R84" s="519"/>
      <c r="S84" s="519"/>
      <c r="T84" s="519"/>
      <c r="U84" s="519"/>
      <c r="V84" s="519"/>
      <c r="W84" s="519"/>
      <c r="X84" s="519"/>
      <c r="Y84" s="519"/>
      <c r="Z84" s="519"/>
      <c r="AA84" s="520"/>
      <c r="AB84" s="1635">
        <f t="shared" si="11"/>
        <v>7566.4</v>
      </c>
      <c r="AC84" s="1635"/>
      <c r="AD84" s="3333"/>
      <c r="AE84" s="1635">
        <f>+'Exhibit G'!AG61+'Exhibit I'!AI48</f>
        <v>2671.8</v>
      </c>
      <c r="AF84" s="1635"/>
      <c r="AG84" s="1635"/>
      <c r="AH84" s="1635">
        <f t="shared" si="12"/>
        <v>4894.6000000000004</v>
      </c>
      <c r="AI84" s="3123"/>
      <c r="AJ84" s="1728">
        <f>ROUND(IF(AE84=0,1,AH84/ABS(AE84)),3)</f>
        <v>1.8320000000000001</v>
      </c>
    </row>
    <row r="85" spans="1:36" ht="16.5" customHeight="1">
      <c r="A85" s="890" t="s">
        <v>1031</v>
      </c>
      <c r="B85" s="890"/>
      <c r="C85" s="519">
        <f>+'Exhibit F'!D76+'Exhibit G'!D62</f>
        <v>0</v>
      </c>
      <c r="D85" s="519"/>
      <c r="E85" s="519">
        <f>+'Exhibit F'!F76+'Exhibit G'!F62</f>
        <v>0</v>
      </c>
      <c r="F85" s="519"/>
      <c r="G85" s="519">
        <f>+'Exhibit F'!H76+'Exhibit G'!H62</f>
        <v>0</v>
      </c>
      <c r="H85" s="519"/>
      <c r="I85" s="519">
        <f>+'Exhibit F'!J76+'Exhibit G'!J62</f>
        <v>0</v>
      </c>
      <c r="J85" s="519"/>
      <c r="K85" s="519">
        <f>+'Exhibit F'!L76+'Exhibit G'!L62</f>
        <v>0</v>
      </c>
      <c r="L85" s="519"/>
      <c r="M85" s="519">
        <f>+'Exhibit F'!N76+'Exhibit G'!N62</f>
        <v>0</v>
      </c>
      <c r="N85" s="519"/>
      <c r="O85" s="1635">
        <f>+'Exhibit F'!P76+'Exhibit G'!P62</f>
        <v>8.9</v>
      </c>
      <c r="P85" s="519"/>
      <c r="Q85" s="519"/>
      <c r="R85" s="519"/>
      <c r="S85" s="519"/>
      <c r="T85" s="519"/>
      <c r="U85" s="519"/>
      <c r="V85" s="519"/>
      <c r="W85" s="519"/>
      <c r="X85" s="519"/>
      <c r="Y85" s="519"/>
      <c r="Z85" s="519"/>
      <c r="AA85" s="520"/>
      <c r="AB85" s="1635">
        <f t="shared" si="11"/>
        <v>8.9</v>
      </c>
      <c r="AC85" s="1635"/>
      <c r="AD85" s="3333"/>
      <c r="AE85" s="1635">
        <f>+'Exhibit F'!AF76+'Exhibit G'!AG62</f>
        <v>46.7</v>
      </c>
      <c r="AF85" s="1635"/>
      <c r="AG85" s="1635"/>
      <c r="AH85" s="1635">
        <f t="shared" si="12"/>
        <v>-37.799999999999997</v>
      </c>
      <c r="AI85" s="3123"/>
      <c r="AJ85" s="1723">
        <f>ROUND(IF(AE85=0,0,AH85/ABS(AE85)),3)</f>
        <v>-0.80900000000000005</v>
      </c>
    </row>
    <row r="86" spans="1:36" ht="16.5" customHeight="1">
      <c r="A86" s="890" t="s">
        <v>1032</v>
      </c>
      <c r="B86" s="890"/>
      <c r="C86" s="519">
        <f>+'Exhibit F'!D77+'Exhibit G'!D63</f>
        <v>0.5</v>
      </c>
      <c r="D86" s="519"/>
      <c r="E86" s="519">
        <f>+'Exhibit F'!F77+'Exhibit G'!F63</f>
        <v>1.4</v>
      </c>
      <c r="F86" s="519"/>
      <c r="G86" s="519">
        <f>+'Exhibit F'!H77+'Exhibit G'!H63</f>
        <v>25.5</v>
      </c>
      <c r="H86" s="519"/>
      <c r="I86" s="519">
        <f>+'Exhibit F'!J77+'Exhibit G'!J63</f>
        <v>24.7</v>
      </c>
      <c r="J86" s="519"/>
      <c r="K86" s="519">
        <f>+'Exhibit F'!L77+'Exhibit G'!L63</f>
        <v>0</v>
      </c>
      <c r="L86" s="519"/>
      <c r="M86" s="519">
        <f>+'Exhibit F'!N77+'Exhibit G'!N63</f>
        <v>1.8000000000000043</v>
      </c>
      <c r="N86" s="519"/>
      <c r="O86" s="1635">
        <f>+'Exhibit F'!P77+'Exhibit G'!P63</f>
        <v>30.199999999999996</v>
      </c>
      <c r="P86" s="519"/>
      <c r="Q86" s="519"/>
      <c r="R86" s="519"/>
      <c r="S86" s="519"/>
      <c r="T86" s="519"/>
      <c r="U86" s="519"/>
      <c r="V86" s="519"/>
      <c r="W86" s="519"/>
      <c r="X86" s="519"/>
      <c r="Y86" s="519"/>
      <c r="Z86" s="519"/>
      <c r="AA86" s="520"/>
      <c r="AB86" s="1635">
        <f t="shared" si="11"/>
        <v>84.1</v>
      </c>
      <c r="AC86" s="1635"/>
      <c r="AD86" s="3333"/>
      <c r="AE86" s="1635">
        <f>+'Exhibit F'!AF77+'Exhibit G'!AG63</f>
        <v>40.700000000000003</v>
      </c>
      <c r="AF86" s="1635"/>
      <c r="AG86" s="1635"/>
      <c r="AH86" s="1635">
        <f t="shared" si="12"/>
        <v>43.4</v>
      </c>
      <c r="AI86" s="3123"/>
      <c r="AJ86" s="1728">
        <f t="shared" ref="AJ86:AJ89" si="14">ROUND(IF(AE86=0,0,AH86/ABS(AE86)),3)</f>
        <v>1.0660000000000001</v>
      </c>
    </row>
    <row r="87" spans="1:36" ht="16.5" customHeight="1">
      <c r="A87" s="890" t="s">
        <v>1033</v>
      </c>
      <c r="B87" s="890"/>
      <c r="C87" s="519">
        <f>+'Exhibit F'!D78+'Exhibit G'!D64+'Exhibit I'!E50</f>
        <v>9</v>
      </c>
      <c r="D87" s="519"/>
      <c r="E87" s="519">
        <f>+'Exhibit F'!F78+'Exhibit G'!F64+'Exhibit I'!G50</f>
        <v>0.29999999999999893</v>
      </c>
      <c r="F87" s="519"/>
      <c r="G87" s="519">
        <f>+'Exhibit F'!H78+'Exhibit G'!H64+'Exhibit I'!I50</f>
        <v>0.5</v>
      </c>
      <c r="H87" s="519"/>
      <c r="I87" s="519">
        <f>+'Exhibit F'!J78+'Exhibit G'!J64+'Exhibit I'!K50</f>
        <v>4.3000000000000007</v>
      </c>
      <c r="J87" s="519"/>
      <c r="K87" s="519">
        <f>+'Exhibit F'!L78+'Exhibit G'!L64+'Exhibit I'!M50</f>
        <v>2.2999999999999989</v>
      </c>
      <c r="L87" s="519"/>
      <c r="M87" s="519">
        <f>+'Exhibit F'!N78+'Exhibit G'!N64+'Exhibit I'!O50</f>
        <v>0.10000000000000009</v>
      </c>
      <c r="N87" s="519"/>
      <c r="O87" s="1635">
        <f>+'Exhibit F'!P78+'Exhibit G'!P64+'Exhibit I'!Q50</f>
        <v>0.80000000000000027</v>
      </c>
      <c r="P87" s="519"/>
      <c r="Q87" s="519"/>
      <c r="R87" s="519"/>
      <c r="S87" s="519"/>
      <c r="T87" s="519"/>
      <c r="U87" s="519"/>
      <c r="V87" s="519"/>
      <c r="W87" s="519"/>
      <c r="X87" s="519"/>
      <c r="Y87" s="519"/>
      <c r="Z87" s="519"/>
      <c r="AA87" s="520"/>
      <c r="AB87" s="1635">
        <f t="shared" si="11"/>
        <v>17.3</v>
      </c>
      <c r="AC87" s="1635"/>
      <c r="AD87" s="3333"/>
      <c r="AE87" s="1635">
        <f>+'Exhibit F'!AF78+'Exhibit G'!AG64+'Exhibit I'!AI50</f>
        <v>78.7</v>
      </c>
      <c r="AF87" s="1635"/>
      <c r="AG87" s="1635"/>
      <c r="AH87" s="1635">
        <f t="shared" si="12"/>
        <v>-61.4</v>
      </c>
      <c r="AI87" s="3123"/>
      <c r="AJ87" s="1723">
        <f t="shared" si="14"/>
        <v>-0.78</v>
      </c>
    </row>
    <row r="88" spans="1:36" ht="16.5" customHeight="1">
      <c r="A88" s="890" t="s">
        <v>1034</v>
      </c>
      <c r="B88" s="890"/>
      <c r="C88" s="519">
        <f>+'Exhibit F'!D79+'Exhibit G'!D65+'Exhibit H'!B39+'Exhibit I'!E51</f>
        <v>9.2999999999999989</v>
      </c>
      <c r="D88" s="519"/>
      <c r="E88" s="519">
        <f>+'Exhibit F'!F79+'Exhibit G'!F65+'Exhibit H'!D39+'Exhibit I'!G51</f>
        <v>2.5000000000000009</v>
      </c>
      <c r="F88" s="519"/>
      <c r="G88" s="519">
        <f>+'Exhibit F'!H79+'Exhibit G'!H65+'Exhibit H'!F39+'Exhibit I'!I51</f>
        <v>3.8999999999999995</v>
      </c>
      <c r="H88" s="519"/>
      <c r="I88" s="519">
        <f>+'Exhibit F'!J79+'Exhibit G'!J65+'Exhibit H'!H39+'Exhibit I'!K51</f>
        <v>3.7999999999999994</v>
      </c>
      <c r="J88" s="519"/>
      <c r="K88" s="519">
        <f>+'Exhibit F'!L79+'Exhibit G'!L65+'Exhibit H'!J39+'Exhibit I'!M51</f>
        <v>2.0000000000000018</v>
      </c>
      <c r="L88" s="519"/>
      <c r="M88" s="519">
        <f>+'Exhibit F'!N79+'Exhibit G'!N65+'Exhibit H'!L39+'Exhibit I'!O51</f>
        <v>4.6999999999999993</v>
      </c>
      <c r="N88" s="519"/>
      <c r="O88" s="1635">
        <f>+'Exhibit F'!P79+'Exhibit G'!P65+'Exhibit H'!N39+'Exhibit I'!Q51</f>
        <v>3.5000000000000022</v>
      </c>
      <c r="P88" s="519"/>
      <c r="Q88" s="519"/>
      <c r="R88" s="519"/>
      <c r="S88" s="519"/>
      <c r="T88" s="519"/>
      <c r="U88" s="519"/>
      <c r="V88" s="519"/>
      <c r="W88" s="519"/>
      <c r="X88" s="519"/>
      <c r="Y88" s="519"/>
      <c r="Z88" s="519"/>
      <c r="AA88" s="520"/>
      <c r="AB88" s="1635">
        <f t="shared" si="11"/>
        <v>29.7</v>
      </c>
      <c r="AC88" s="1635"/>
      <c r="AD88" s="3333"/>
      <c r="AE88" s="1635">
        <f>+'Exhibit F'!AF79+'Exhibit G'!AG65+'Exhibit H'!AD39+'Exhibit I'!AI51</f>
        <v>53.900000000000006</v>
      </c>
      <c r="AF88" s="1635"/>
      <c r="AG88" s="1635"/>
      <c r="AH88" s="1635">
        <f t="shared" si="12"/>
        <v>-24.2</v>
      </c>
      <c r="AI88" s="3123"/>
      <c r="AJ88" s="1723">
        <f t="shared" si="14"/>
        <v>-0.44900000000000001</v>
      </c>
    </row>
    <row r="89" spans="1:36" ht="16.5" customHeight="1">
      <c r="A89" s="890" t="s">
        <v>1035</v>
      </c>
      <c r="B89" s="890"/>
      <c r="C89" s="519">
        <f>+'Exhibit F'!D80+'Exhibit G'!D66+'Exhibit H'!B40+'Exhibit I'!E52</f>
        <v>-4.5999999999999996</v>
      </c>
      <c r="D89" s="519"/>
      <c r="E89" s="519">
        <f>+'Exhibit F'!F80+'Exhibit G'!F66+'Exhibit H'!D40+'Exhibit I'!G52</f>
        <v>-41.7</v>
      </c>
      <c r="F89" s="519"/>
      <c r="G89" s="519">
        <f>+'Exhibit F'!H80+'Exhibit G'!H66+'Exhibit H'!F40+'Exhibit I'!I52</f>
        <v>1.8000000000000016</v>
      </c>
      <c r="H89" s="519"/>
      <c r="I89" s="519">
        <f>+'Exhibit F'!J80+'Exhibit G'!J66+'Exhibit H'!H40+'Exhibit I'!K52</f>
        <v>4.1999999999999975</v>
      </c>
      <c r="J89" s="519"/>
      <c r="K89" s="519">
        <f>+'Exhibit F'!L80+'Exhibit G'!L66+'Exhibit H'!J40+'Exhibit I'!M52</f>
        <v>7.800000000000006</v>
      </c>
      <c r="L89" s="519"/>
      <c r="M89" s="519">
        <f>+'Exhibit F'!N80+'Exhibit G'!N66+'Exhibit H'!L40+'Exhibit I'!O52</f>
        <v>35.900000000000006</v>
      </c>
      <c r="N89" s="519"/>
      <c r="O89" s="1635">
        <f>+'Exhibit F'!P80+'Exhibit G'!P66+'Exhibit H'!N40+'Exhibit I'!Q52</f>
        <v>61.79999999999999</v>
      </c>
      <c r="P89" s="519"/>
      <c r="Q89" s="519"/>
      <c r="R89" s="519"/>
      <c r="S89" s="519"/>
      <c r="T89" s="519"/>
      <c r="U89" s="519"/>
      <c r="V89" s="519"/>
      <c r="W89" s="519"/>
      <c r="X89" s="519"/>
      <c r="Y89" s="519"/>
      <c r="Z89" s="519"/>
      <c r="AA89" s="520"/>
      <c r="AB89" s="1635">
        <f t="shared" si="11"/>
        <v>65.2</v>
      </c>
      <c r="AC89" s="1635"/>
      <c r="AD89" s="3333"/>
      <c r="AE89" s="1635">
        <f>+'Exhibit F'!AF80+'Exhibit G'!AG66+'Exhibit H'!AD40+'Exhibit I'!AI52</f>
        <v>179.00000000000003</v>
      </c>
      <c r="AF89" s="1635"/>
      <c r="AG89" s="1635"/>
      <c r="AH89" s="1635">
        <f t="shared" si="12"/>
        <v>-113.8</v>
      </c>
      <c r="AI89" s="3123"/>
      <c r="AJ89" s="1723">
        <f t="shared" si="14"/>
        <v>-0.63600000000000001</v>
      </c>
    </row>
    <row r="90" spans="1:36" ht="16.5" customHeight="1">
      <c r="A90" s="890" t="s">
        <v>1138</v>
      </c>
      <c r="B90" s="890"/>
      <c r="C90" s="519"/>
      <c r="D90" s="519"/>
      <c r="E90" s="519"/>
      <c r="F90" s="519"/>
      <c r="G90" s="519"/>
      <c r="H90" s="519"/>
      <c r="I90" s="519"/>
      <c r="J90" s="519"/>
      <c r="K90" s="519"/>
      <c r="L90" s="519"/>
      <c r="M90" s="519"/>
      <c r="N90" s="519"/>
      <c r="O90" s="1635"/>
      <c r="P90" s="519"/>
      <c r="Q90" s="519"/>
      <c r="R90" s="519"/>
      <c r="S90" s="519"/>
      <c r="T90" s="519"/>
      <c r="U90" s="519"/>
      <c r="V90" s="519"/>
      <c r="W90" s="519"/>
      <c r="X90" s="519"/>
      <c r="Y90" s="519"/>
      <c r="Z90" s="519"/>
      <c r="AA90" s="520"/>
      <c r="AB90" s="1635"/>
      <c r="AC90" s="1635"/>
      <c r="AD90" s="3333"/>
      <c r="AE90" s="1635"/>
      <c r="AF90" s="1635"/>
      <c r="AG90" s="1635"/>
      <c r="AH90" s="1635"/>
      <c r="AI90" s="3123"/>
      <c r="AJ90" s="1723"/>
    </row>
    <row r="91" spans="1:36" ht="16.5" customHeight="1">
      <c r="A91" s="890" t="s">
        <v>1036</v>
      </c>
      <c r="B91" s="890"/>
      <c r="C91" s="519">
        <f>+'Exhibit F'!D82+'Exhibit G'!D68+'Exhibit I'!E54</f>
        <v>25</v>
      </c>
      <c r="D91" s="519"/>
      <c r="E91" s="519">
        <f>+'Exhibit F'!F82+'Exhibit G'!F68+'Exhibit I'!G54</f>
        <v>8.8000000000000007</v>
      </c>
      <c r="F91" s="519"/>
      <c r="G91" s="519">
        <f>+'Exhibit F'!H82+'Exhibit G'!H68+'Exhibit I'!I54</f>
        <v>25.399999999999995</v>
      </c>
      <c r="H91" s="519"/>
      <c r="I91" s="519">
        <f>+'Exhibit F'!J82+'Exhibit G'!J68+'Exhibit I'!K54</f>
        <v>9.100000000000005</v>
      </c>
      <c r="J91" s="519"/>
      <c r="K91" s="519">
        <f>+'Exhibit F'!L82+'Exhibit G'!L68+'Exhibit I'!M54</f>
        <v>8.8999999999999968</v>
      </c>
      <c r="L91" s="519"/>
      <c r="M91" s="519">
        <f>+'Exhibit F'!N82+'Exhibit G'!N68+'Exhibit I'!O54</f>
        <v>25.600000000000009</v>
      </c>
      <c r="N91" s="519"/>
      <c r="O91" s="1635">
        <f>+'Exhibit F'!P82+'Exhibit G'!P68+'Exhibit I'!Q54</f>
        <v>24.5</v>
      </c>
      <c r="P91" s="519"/>
      <c r="Q91" s="519"/>
      <c r="R91" s="519"/>
      <c r="S91" s="519"/>
      <c r="T91" s="519"/>
      <c r="U91" s="519"/>
      <c r="V91" s="519"/>
      <c r="W91" s="519"/>
      <c r="X91" s="519"/>
      <c r="Y91" s="519"/>
      <c r="Z91" s="519"/>
      <c r="AA91" s="520"/>
      <c r="AB91" s="1635">
        <f t="shared" si="11"/>
        <v>127.3</v>
      </c>
      <c r="AC91" s="1635"/>
      <c r="AD91" s="3333"/>
      <c r="AE91" s="1635">
        <f>+'Exhibit F'!AF82+'Exhibit G'!AG68+'Exhibit I'!AI54</f>
        <v>100.30000000000001</v>
      </c>
      <c r="AF91" s="1635"/>
      <c r="AG91" s="1635"/>
      <c r="AH91" s="1635">
        <f t="shared" si="12"/>
        <v>27</v>
      </c>
      <c r="AI91" s="3123"/>
      <c r="AJ91" s="1728">
        <f>ROUND(IF(AE91=0,0,AH91/ABS(AE91)),3)</f>
        <v>0.26900000000000002</v>
      </c>
    </row>
    <row r="92" spans="1:36" ht="16.5" customHeight="1">
      <c r="A92" s="890" t="s">
        <v>1037</v>
      </c>
      <c r="B92" s="890"/>
      <c r="C92" s="519">
        <f>+'Exhibit G'!D69+'Exhibit F'!D83</f>
        <v>0.60000000000000009</v>
      </c>
      <c r="D92" s="519"/>
      <c r="E92" s="519">
        <f>+'Exhibit G'!F69+'Exhibit F'!F83</f>
        <v>-0.30000000000000004</v>
      </c>
      <c r="F92" s="519"/>
      <c r="G92" s="519">
        <f>+'Exhibit G'!H69+'Exhibit F'!H83</f>
        <v>0.2</v>
      </c>
      <c r="H92" s="519"/>
      <c r="I92" s="519">
        <f>+'Exhibit G'!J69+'Exhibit F'!J83</f>
        <v>0.19999999999999785</v>
      </c>
      <c r="J92" s="519"/>
      <c r="K92" s="519">
        <f>ROUND(SUM(+'Exhibit G'!L69+'Exhibit F'!L83),0)</f>
        <v>0</v>
      </c>
      <c r="L92" s="519"/>
      <c r="M92" s="519">
        <f>+'Exhibit G'!N69+'Exhibit F'!N83</f>
        <v>1.3000000000000007</v>
      </c>
      <c r="N92" s="519"/>
      <c r="O92" s="1635">
        <f>+'Exhibit G'!P69+'Exhibit F'!P83</f>
        <v>0.19999999999999174</v>
      </c>
      <c r="P92" s="519"/>
      <c r="Q92" s="519"/>
      <c r="R92" s="519"/>
      <c r="S92" s="519"/>
      <c r="T92" s="519"/>
      <c r="U92" s="519"/>
      <c r="V92" s="519"/>
      <c r="W92" s="519"/>
      <c r="X92" s="519"/>
      <c r="Y92" s="519"/>
      <c r="Z92" s="519"/>
      <c r="AA92" s="520"/>
      <c r="AB92" s="1635">
        <f t="shared" si="11"/>
        <v>2.2000000000000002</v>
      </c>
      <c r="AC92" s="1635"/>
      <c r="AD92" s="3333"/>
      <c r="AE92" s="1635">
        <f>+'Exhibit G'!AG69+'Exhibit F'!AF83</f>
        <v>4.0999999999999996</v>
      </c>
      <c r="AF92" s="1635"/>
      <c r="AG92" s="1635"/>
      <c r="AH92" s="1635">
        <f t="shared" si="12"/>
        <v>-1.9</v>
      </c>
      <c r="AI92" s="3123"/>
      <c r="AJ92" s="1723">
        <f>ROUND(IF(AE92=0,0,AH92/ABS(AE92)),3)</f>
        <v>-0.46300000000000002</v>
      </c>
    </row>
    <row r="93" spans="1:36" ht="16.5" customHeight="1">
      <c r="A93" s="890" t="s">
        <v>1375</v>
      </c>
      <c r="B93" s="890"/>
      <c r="C93" s="519">
        <v>0</v>
      </c>
      <c r="D93" s="519"/>
      <c r="E93" s="519">
        <v>0</v>
      </c>
      <c r="F93" s="519"/>
      <c r="G93" s="519">
        <v>0</v>
      </c>
      <c r="H93" s="519"/>
      <c r="I93" s="519">
        <v>0</v>
      </c>
      <c r="J93" s="519"/>
      <c r="K93" s="519">
        <v>0</v>
      </c>
      <c r="L93" s="519"/>
      <c r="M93" s="519">
        <v>0</v>
      </c>
      <c r="N93" s="519"/>
      <c r="O93" s="1635">
        <v>0</v>
      </c>
      <c r="P93" s="519"/>
      <c r="Q93" s="519"/>
      <c r="R93" s="519"/>
      <c r="S93" s="519"/>
      <c r="T93" s="519"/>
      <c r="U93" s="519"/>
      <c r="V93" s="519"/>
      <c r="W93" s="519"/>
      <c r="X93" s="519"/>
      <c r="Y93" s="519"/>
      <c r="Z93" s="519"/>
      <c r="AA93" s="959"/>
      <c r="AB93" s="1635">
        <f t="shared" si="11"/>
        <v>0</v>
      </c>
      <c r="AC93" s="1635"/>
      <c r="AD93" s="3333"/>
      <c r="AE93" s="1635">
        <f>'Exhibit G'!AG70</f>
        <v>0</v>
      </c>
      <c r="AF93" s="1635"/>
      <c r="AG93" s="1635"/>
      <c r="AH93" s="1635">
        <f t="shared" ref="AH93" si="15">ROUND(SUM(AB93-AE93),1)</f>
        <v>0</v>
      </c>
      <c r="AI93" s="3123"/>
      <c r="AJ93" s="1723">
        <f>ROUND(IF(AE93=0,0,AH93/ABS(AE93)),3)</f>
        <v>0</v>
      </c>
    </row>
    <row r="94" spans="1:36" ht="16.5" customHeight="1">
      <c r="A94" s="890" t="s">
        <v>1038</v>
      </c>
      <c r="B94" s="890"/>
      <c r="C94" s="519">
        <f>+'Exhibit F'!D84+'Exhibit G'!D71+'Exhibit I'!E55</f>
        <v>0.6</v>
      </c>
      <c r="D94" s="519"/>
      <c r="E94" s="519">
        <f>+'Exhibit F'!F84+'Exhibit G'!F71+'Exhibit I'!G55</f>
        <v>2.2000000000000002</v>
      </c>
      <c r="F94" s="519"/>
      <c r="G94" s="519">
        <f>+'Exhibit F'!H84+'Exhibit G'!H71+'Exhibit I'!I55</f>
        <v>27.9</v>
      </c>
      <c r="H94" s="519"/>
      <c r="I94" s="519">
        <f>+'Exhibit F'!J84+'Exhibit G'!J71+'Exhibit I'!K55</f>
        <v>0.69999999999999929</v>
      </c>
      <c r="J94" s="519"/>
      <c r="K94" s="519">
        <f>+'Exhibit F'!L84+'Exhibit G'!L71+'Exhibit I'!M55</f>
        <v>1.9000000000000012</v>
      </c>
      <c r="L94" s="519"/>
      <c r="M94" s="519">
        <f>+'Exhibit F'!N84+'Exhibit G'!N71+'Exhibit I'!O55</f>
        <v>2.1000000000000014</v>
      </c>
      <c r="N94" s="519"/>
      <c r="O94" s="1635">
        <f>+'Exhibit F'!P84+'Exhibit G'!P71+'Exhibit I'!Q55</f>
        <v>5.9</v>
      </c>
      <c r="P94" s="519"/>
      <c r="Q94" s="519"/>
      <c r="R94" s="519"/>
      <c r="S94" s="519"/>
      <c r="T94" s="519"/>
      <c r="U94" s="519"/>
      <c r="V94" s="519"/>
      <c r="W94" s="519"/>
      <c r="X94" s="519"/>
      <c r="Y94" s="519"/>
      <c r="Z94" s="519"/>
      <c r="AA94" s="520"/>
      <c r="AB94" s="1635">
        <f t="shared" si="11"/>
        <v>41.3</v>
      </c>
      <c r="AC94" s="1635"/>
      <c r="AD94" s="3333"/>
      <c r="AE94" s="1635">
        <f>+'Exhibit F'!AF84+'Exhibit G'!AG71+'Exhibit I'!AI55</f>
        <v>21.3</v>
      </c>
      <c r="AF94" s="1635"/>
      <c r="AG94" s="1635"/>
      <c r="AH94" s="1635">
        <f t="shared" si="12"/>
        <v>20</v>
      </c>
      <c r="AI94" s="3123"/>
      <c r="AJ94" s="1724">
        <f t="shared" ref="AJ94:AJ101" si="16">ROUND(IF(AE94=0,0,AH94/ABS(AE94)),3)</f>
        <v>0.93899999999999995</v>
      </c>
    </row>
    <row r="95" spans="1:36" ht="16.5" customHeight="1">
      <c r="A95" s="890" t="s">
        <v>1039</v>
      </c>
      <c r="B95" s="890"/>
      <c r="C95" s="519">
        <f>+'Exhibit F'!D85+'Exhibit G'!D72+'Exhibit I'!E56</f>
        <v>5.5</v>
      </c>
      <c r="D95" s="519"/>
      <c r="E95" s="519">
        <f>+'Exhibit F'!F85+'Exhibit G'!F72+'Exhibit I'!G56</f>
        <v>5.4</v>
      </c>
      <c r="F95" s="519"/>
      <c r="G95" s="519">
        <f>+'Exhibit F'!H85+'Exhibit G'!H72+'Exhibit I'!I56</f>
        <v>7.4</v>
      </c>
      <c r="H95" s="519"/>
      <c r="I95" s="519">
        <f>+'Exhibit F'!J85+'Exhibit G'!J72+'Exhibit I'!K56</f>
        <v>5.8999999999999986</v>
      </c>
      <c r="J95" s="519"/>
      <c r="K95" s="519">
        <f>+'Exhibit F'!L85+'Exhibit G'!L72+'Exhibit I'!M56</f>
        <v>6.1</v>
      </c>
      <c r="L95" s="519"/>
      <c r="M95" s="519">
        <f>+'Exhibit F'!N85+'Exhibit G'!N72+'Exhibit I'!O56</f>
        <v>5.7000000000000046</v>
      </c>
      <c r="N95" s="519"/>
      <c r="O95" s="1635">
        <f>+'Exhibit F'!P85+'Exhibit G'!P72+'Exhibit I'!Q56</f>
        <v>5</v>
      </c>
      <c r="P95" s="519"/>
      <c r="Q95" s="519"/>
      <c r="R95" s="519"/>
      <c r="S95" s="519"/>
      <c r="T95" s="519"/>
      <c r="U95" s="519"/>
      <c r="V95" s="519"/>
      <c r="W95" s="519"/>
      <c r="X95" s="519"/>
      <c r="Y95" s="519"/>
      <c r="Z95" s="519"/>
      <c r="AA95" s="520"/>
      <c r="AB95" s="1635">
        <f>ROUND(SUM(C95:Y95),1)</f>
        <v>41</v>
      </c>
      <c r="AC95" s="1635"/>
      <c r="AD95" s="3333"/>
      <c r="AE95" s="1635">
        <f>+'Exhibit F'!AF85+'Exhibit G'!AG72+'Exhibit I'!AI56</f>
        <v>47.8</v>
      </c>
      <c r="AF95" s="1635"/>
      <c r="AG95" s="1635"/>
      <c r="AH95" s="1635">
        <f t="shared" si="12"/>
        <v>-6.8</v>
      </c>
      <c r="AI95" s="3123"/>
      <c r="AJ95" s="1724">
        <f t="shared" si="16"/>
        <v>-0.14199999999999999</v>
      </c>
    </row>
    <row r="96" spans="1:36" ht="16.5" customHeight="1">
      <c r="A96" s="890" t="s">
        <v>1040</v>
      </c>
      <c r="B96" s="890"/>
      <c r="C96" s="519">
        <f>+'Exhibit F'!D86+'Exhibit G'!D73+'Exhibit H'!B42</f>
        <v>526.5</v>
      </c>
      <c r="D96" s="519"/>
      <c r="E96" s="519">
        <f>+'Exhibit F'!F86+'Exhibit G'!F73+'Exhibit H'!D42</f>
        <v>372.8</v>
      </c>
      <c r="F96" s="519"/>
      <c r="G96" s="519">
        <f>+'Exhibit F'!H86+'Exhibit G'!H73+'Exhibit H'!F42</f>
        <v>350.59999999999997</v>
      </c>
      <c r="H96" s="519"/>
      <c r="I96" s="519">
        <f>+'Exhibit F'!J86+'Exhibit G'!J73+'Exhibit H'!H42</f>
        <v>227.49999999999997</v>
      </c>
      <c r="J96" s="519"/>
      <c r="K96" s="519">
        <f>+'Exhibit F'!L86+'Exhibit G'!L73+'Exhibit H'!J42</f>
        <v>221.80000000000007</v>
      </c>
      <c r="L96" s="519"/>
      <c r="M96" s="519">
        <f>+'Exhibit F'!N86+'Exhibit G'!N73+'Exhibit H'!L42</f>
        <v>78.999999999999915</v>
      </c>
      <c r="N96" s="519"/>
      <c r="O96" s="1635">
        <f>+'Exhibit F'!P86+'Exhibit G'!P73+'Exhibit H'!N42</f>
        <v>291.40000000000003</v>
      </c>
      <c r="P96" s="519"/>
      <c r="Q96" s="519"/>
      <c r="R96" s="519"/>
      <c r="S96" s="519"/>
      <c r="T96" s="519"/>
      <c r="U96" s="519"/>
      <c r="V96" s="519"/>
      <c r="W96" s="519"/>
      <c r="X96" s="519"/>
      <c r="Y96" s="519"/>
      <c r="Z96" s="519"/>
      <c r="AA96" s="520"/>
      <c r="AB96" s="1635">
        <f t="shared" si="11"/>
        <v>2069.6</v>
      </c>
      <c r="AC96" s="1635"/>
      <c r="AD96" s="3333"/>
      <c r="AE96" s="1635">
        <f>+'Exhibit F'!AF86+'Exhibit G'!AG73+'Exhibit H'!AD42</f>
        <v>1554.1</v>
      </c>
      <c r="AF96" s="1635"/>
      <c r="AG96" s="1635"/>
      <c r="AH96" s="1635">
        <f t="shared" si="12"/>
        <v>515.5</v>
      </c>
      <c r="AI96" s="3123"/>
      <c r="AJ96" s="1724">
        <f t="shared" si="16"/>
        <v>0.33200000000000002</v>
      </c>
    </row>
    <row r="97" spans="1:45" ht="16.5" customHeight="1">
      <c r="A97" s="890" t="s">
        <v>1041</v>
      </c>
      <c r="B97" s="890"/>
      <c r="C97" s="519">
        <f>+'Exhibit G'!D74+'Exhibit F'!D87+'Exhibit I'!E57</f>
        <v>7.8</v>
      </c>
      <c r="D97" s="519"/>
      <c r="E97" s="519">
        <f>+'Exhibit G'!F74+'Exhibit F'!F87+'Exhibit I'!G57</f>
        <v>15.299999999999999</v>
      </c>
      <c r="F97" s="519"/>
      <c r="G97" s="519">
        <f>+'Exhibit G'!H74+'Exhibit F'!H87+'Exhibit I'!I57</f>
        <v>13.2</v>
      </c>
      <c r="H97" s="519"/>
      <c r="I97" s="519">
        <f>+'Exhibit G'!J74+'Exhibit F'!J87+'Exhibit I'!K57</f>
        <v>17.699999999999996</v>
      </c>
      <c r="J97" s="519"/>
      <c r="K97" s="519">
        <f>+'Exhibit G'!L74+'Exhibit F'!L87+'Exhibit I'!M57</f>
        <v>12.7</v>
      </c>
      <c r="L97" s="519"/>
      <c r="M97" s="519">
        <f>+'Exhibit G'!N74+'Exhibit F'!N87+'Exhibit I'!O57</f>
        <v>12.699999999999998</v>
      </c>
      <c r="N97" s="519"/>
      <c r="O97" s="1635">
        <f>+'Exhibit G'!P74+'Exhibit F'!P87+'Exhibit I'!Q57</f>
        <v>9.7999999999999972</v>
      </c>
      <c r="P97" s="519"/>
      <c r="Q97" s="519"/>
      <c r="R97" s="519"/>
      <c r="S97" s="519"/>
      <c r="T97" s="519"/>
      <c r="U97" s="519"/>
      <c r="V97" s="519"/>
      <c r="W97" s="519"/>
      <c r="X97" s="519"/>
      <c r="Y97" s="519"/>
      <c r="Z97" s="519"/>
      <c r="AA97" s="520"/>
      <c r="AB97" s="1635">
        <f t="shared" si="11"/>
        <v>89.2</v>
      </c>
      <c r="AC97" s="1635"/>
      <c r="AD97" s="3333"/>
      <c r="AE97" s="1635">
        <f>+'Exhibit G'!AG74+'Exhibit F'!AF87+'Exhibit I'!AI57</f>
        <v>102.1</v>
      </c>
      <c r="AF97" s="1635"/>
      <c r="AG97" s="1635"/>
      <c r="AH97" s="1635">
        <f t="shared" si="12"/>
        <v>-12.9</v>
      </c>
      <c r="AI97" s="3123"/>
      <c r="AJ97" s="1724">
        <f t="shared" si="16"/>
        <v>-0.126</v>
      </c>
    </row>
    <row r="98" spans="1:45" ht="16.5" customHeight="1">
      <c r="A98" s="890" t="s">
        <v>1042</v>
      </c>
      <c r="B98" s="890"/>
      <c r="C98" s="519">
        <f>+'Exhibit F'!D88+'Exhibit G'!D75+'Exhibit I'!E58</f>
        <v>7</v>
      </c>
      <c r="D98" s="519"/>
      <c r="E98" s="519">
        <f>+'Exhibit F'!F88+'Exhibit G'!F75+'Exhibit I'!G58</f>
        <v>0.5999999999999992</v>
      </c>
      <c r="F98" s="519"/>
      <c r="G98" s="519">
        <f>+'Exhibit F'!H88+'Exhibit G'!H75+'Exhibit I'!I58</f>
        <v>0.60000000000000053</v>
      </c>
      <c r="H98" s="519"/>
      <c r="I98" s="519">
        <f>+'Exhibit F'!J88+'Exhibit G'!J75+'Exhibit I'!K58</f>
        <v>0.29999999999999971</v>
      </c>
      <c r="J98" s="519"/>
      <c r="K98" s="519">
        <f>+'Exhibit F'!L88+'Exhibit G'!L75+'Exhibit I'!M58</f>
        <v>42.699999999999996</v>
      </c>
      <c r="L98" s="519"/>
      <c r="M98" s="519">
        <f>+'Exhibit F'!N88+'Exhibit G'!N75+'Exhibit I'!O58</f>
        <v>5.2999999999999989</v>
      </c>
      <c r="N98" s="519"/>
      <c r="O98" s="1635">
        <f>+'Exhibit F'!P88+'Exhibit G'!P75+'Exhibit I'!Q58</f>
        <v>3.5999999999999979</v>
      </c>
      <c r="P98" s="519"/>
      <c r="Q98" s="519"/>
      <c r="R98" s="519"/>
      <c r="S98" s="519"/>
      <c r="T98" s="519"/>
      <c r="U98" s="519"/>
      <c r="V98" s="519"/>
      <c r="W98" s="519"/>
      <c r="X98" s="519"/>
      <c r="Y98" s="519"/>
      <c r="Z98" s="519"/>
      <c r="AA98" s="520"/>
      <c r="AB98" s="1635">
        <f t="shared" si="11"/>
        <v>60.1</v>
      </c>
      <c r="AC98" s="1635"/>
      <c r="AD98" s="3333"/>
      <c r="AE98" s="1635">
        <f>+'Exhibit F'!AF88+'Exhibit G'!AG75+'Exhibit I'!AI58</f>
        <v>21.7</v>
      </c>
      <c r="AF98" s="1635"/>
      <c r="AG98" s="1635"/>
      <c r="AH98" s="1635">
        <f t="shared" si="12"/>
        <v>38.4</v>
      </c>
      <c r="AI98" s="3123"/>
      <c r="AJ98" s="3329">
        <f t="shared" si="16"/>
        <v>1.77</v>
      </c>
    </row>
    <row r="99" spans="1:45" ht="16.5" customHeight="1">
      <c r="A99" s="890" t="s">
        <v>1043</v>
      </c>
      <c r="B99" s="890"/>
      <c r="C99" s="519">
        <f>+'Exhibit F'!D89+'Exhibit G'!D76</f>
        <v>6.1</v>
      </c>
      <c r="D99" s="519"/>
      <c r="E99" s="519">
        <f>+'Exhibit F'!F89+'Exhibit G'!F76</f>
        <v>1.4000000000000004</v>
      </c>
      <c r="F99" s="519"/>
      <c r="G99" s="519">
        <f>+'Exhibit F'!H89+'Exhibit G'!H76</f>
        <v>3.1999999999999993</v>
      </c>
      <c r="H99" s="519"/>
      <c r="I99" s="519">
        <f>+'Exhibit F'!J89+'Exhibit G'!J76</f>
        <v>6.4000000000000021</v>
      </c>
      <c r="J99" s="519"/>
      <c r="K99" s="519">
        <f>+'Exhibit F'!L89+'Exhibit G'!L76</f>
        <v>6.7999999999999972</v>
      </c>
      <c r="L99" s="519"/>
      <c r="M99" s="519">
        <f>+'Exhibit F'!N89+'Exhibit G'!N76</f>
        <v>3.7000000000000028</v>
      </c>
      <c r="N99" s="519"/>
      <c r="O99" s="1635">
        <f>+'Exhibit F'!P89+'Exhibit G'!P76</f>
        <v>6</v>
      </c>
      <c r="P99" s="519"/>
      <c r="Q99" s="519"/>
      <c r="R99" s="519"/>
      <c r="S99" s="519"/>
      <c r="T99" s="519"/>
      <c r="U99" s="519"/>
      <c r="V99" s="519"/>
      <c r="W99" s="519"/>
      <c r="X99" s="519"/>
      <c r="Y99" s="519"/>
      <c r="Z99" s="519"/>
      <c r="AA99" s="520"/>
      <c r="AB99" s="1635">
        <f t="shared" si="11"/>
        <v>33.6</v>
      </c>
      <c r="AC99" s="1635"/>
      <c r="AD99" s="3333"/>
      <c r="AE99" s="1635">
        <f>+'Exhibit F'!AF89+'Exhibit G'!AG76</f>
        <v>41.5</v>
      </c>
      <c r="AF99" s="1635"/>
      <c r="AG99" s="1635"/>
      <c r="AH99" s="1635">
        <f t="shared" si="12"/>
        <v>-7.9</v>
      </c>
      <c r="AI99" s="3123"/>
      <c r="AJ99" s="1724">
        <f t="shared" si="16"/>
        <v>-0.19</v>
      </c>
    </row>
    <row r="100" spans="1:45" ht="16.5" customHeight="1">
      <c r="A100" s="890" t="s">
        <v>1044</v>
      </c>
      <c r="B100" s="890"/>
      <c r="C100" s="519">
        <f>+'Exhibit F'!D90+'Exhibit G'!D77+'Exhibit I'!E59+'Exhibit H'!B43</f>
        <v>-19.499999999999996</v>
      </c>
      <c r="D100" s="519"/>
      <c r="E100" s="519">
        <f>+'Exhibit F'!F90+'Exhibit G'!F77+'Exhibit I'!G59+'Exhibit H'!D43</f>
        <v>10.7</v>
      </c>
      <c r="F100" s="519"/>
      <c r="G100" s="519">
        <f>+'Exhibit F'!H90+'Exhibit G'!H77+'Exhibit I'!I59+'Exhibit H'!F43</f>
        <v>30</v>
      </c>
      <c r="H100" s="519"/>
      <c r="I100" s="519">
        <f>+'Exhibit F'!J90+'Exhibit G'!J77+'Exhibit I'!K59+'Exhibit H'!H43</f>
        <v>75.600000000000009</v>
      </c>
      <c r="J100" s="519"/>
      <c r="K100" s="519">
        <f>+'Exhibit F'!L90+'Exhibit G'!L77+'Exhibit I'!M59+'Exhibit H'!J43</f>
        <v>46.800000000000011</v>
      </c>
      <c r="L100" s="519"/>
      <c r="M100" s="519">
        <f>+'Exhibit F'!N90+'Exhibit G'!N77+'Exhibit I'!O59+'Exhibit H'!L43</f>
        <v>65.5</v>
      </c>
      <c r="N100" s="519"/>
      <c r="O100" s="1635">
        <f>+'Exhibit F'!P90+'Exhibit G'!P77+'Exhibit I'!Q59+'Exhibit H'!N43</f>
        <v>75.7</v>
      </c>
      <c r="P100" s="519"/>
      <c r="Q100" s="519"/>
      <c r="R100" s="519"/>
      <c r="S100" s="519"/>
      <c r="T100" s="519"/>
      <c r="U100" s="519"/>
      <c r="V100" s="519"/>
      <c r="W100" s="519"/>
      <c r="X100" s="519"/>
      <c r="Y100" s="519"/>
      <c r="Z100" s="519"/>
      <c r="AA100" s="520"/>
      <c r="AB100" s="1635">
        <f t="shared" si="11"/>
        <v>284.8</v>
      </c>
      <c r="AC100" s="1635"/>
      <c r="AD100" s="3333"/>
      <c r="AE100" s="1635">
        <f>+'Exhibit F'!AF90+'Exhibit G'!AG77+'Exhibit I'!AI59+'Exhibit H'!AD43</f>
        <v>413.80000000000007</v>
      </c>
      <c r="AF100" s="1635"/>
      <c r="AG100" s="1635"/>
      <c r="AH100" s="1635">
        <f t="shared" si="12"/>
        <v>-129</v>
      </c>
      <c r="AI100" s="3123"/>
      <c r="AJ100" s="1724">
        <f t="shared" si="16"/>
        <v>-0.312</v>
      </c>
    </row>
    <row r="101" spans="1:45" ht="16.5" customHeight="1">
      <c r="A101" s="890" t="s">
        <v>1045</v>
      </c>
      <c r="B101" s="890"/>
      <c r="C101" s="519">
        <f>+'Exhibit F'!D91+'Exhibit G'!D78+'Exhibit I'!E60+'Exhibit H'!B44</f>
        <v>0.5</v>
      </c>
      <c r="D101" s="519"/>
      <c r="E101" s="519">
        <f>+'Exhibit F'!F91+'Exhibit G'!F78+'Exhibit I'!G60+'Exhibit H'!D44</f>
        <v>0.60000000000000009</v>
      </c>
      <c r="F101" s="519"/>
      <c r="G101" s="519">
        <f>+'Exhibit F'!H91+'Exhibit G'!H78+'Exhibit I'!I60+'Exhibit H'!F44</f>
        <v>2.5999999999999996</v>
      </c>
      <c r="H101" s="519"/>
      <c r="I101" s="519">
        <f>+'Exhibit F'!J91+'Exhibit G'!J78+'Exhibit I'!K60+'Exhibit H'!H44</f>
        <v>3</v>
      </c>
      <c r="J101" s="519"/>
      <c r="K101" s="519">
        <f>+'Exhibit F'!L91+'Exhibit G'!L78+'Exhibit I'!M60+'Exhibit H'!J44</f>
        <v>0.6</v>
      </c>
      <c r="L101" s="519"/>
      <c r="M101" s="519">
        <f>+'Exhibit F'!N91+'Exhibit G'!N78+'Exhibit I'!O60+'Exhibit H'!L44</f>
        <v>0.70000000000000007</v>
      </c>
      <c r="N101" s="519"/>
      <c r="O101" s="1635">
        <f>+'Exhibit F'!P91+'Exhibit G'!P78+'Exhibit I'!Q60+'Exhibit H'!N44</f>
        <v>1.7999999999999998</v>
      </c>
      <c r="P101" s="519"/>
      <c r="Q101" s="519"/>
      <c r="R101" s="519"/>
      <c r="S101" s="519"/>
      <c r="T101" s="519"/>
      <c r="U101" s="519"/>
      <c r="V101" s="519"/>
      <c r="W101" s="519"/>
      <c r="X101" s="519"/>
      <c r="Y101" s="519"/>
      <c r="Z101" s="519"/>
      <c r="AA101" s="520"/>
      <c r="AB101" s="1635">
        <f t="shared" si="11"/>
        <v>9.8000000000000007</v>
      </c>
      <c r="AC101" s="1635"/>
      <c r="AD101" s="3333"/>
      <c r="AE101" s="1635">
        <f>+'Exhibit F'!AF91+'Exhibit G'!AG78+'Exhibit I'!AI60+'Exhibit H'!AD44</f>
        <v>15</v>
      </c>
      <c r="AF101" s="1635"/>
      <c r="AG101" s="1635"/>
      <c r="AH101" s="1635">
        <f t="shared" si="12"/>
        <v>-5.2</v>
      </c>
      <c r="AI101" s="3123"/>
      <c r="AJ101" s="1724">
        <f t="shared" si="16"/>
        <v>-0.34699999999999998</v>
      </c>
    </row>
    <row r="102" spans="1:45" ht="16.5" customHeight="1">
      <c r="A102" s="890" t="s">
        <v>1046</v>
      </c>
      <c r="B102" s="890"/>
      <c r="C102" s="519">
        <f>+'Exhibit G'!D79</f>
        <v>-67.5</v>
      </c>
      <c r="D102" s="519"/>
      <c r="E102" s="519">
        <f>+'Exhibit G'!F79</f>
        <v>33.6</v>
      </c>
      <c r="F102" s="519"/>
      <c r="G102" s="519">
        <f>+'Exhibit G'!H79</f>
        <v>56.9</v>
      </c>
      <c r="H102" s="519"/>
      <c r="I102" s="519">
        <f>+'Exhibit G'!J79</f>
        <v>50.900000000000013</v>
      </c>
      <c r="J102" s="519"/>
      <c r="K102" s="519">
        <f>+'Exhibit G'!L79</f>
        <v>113.29999999999998</v>
      </c>
      <c r="L102" s="519"/>
      <c r="M102" s="519">
        <f>+'Exhibit G'!N79</f>
        <v>375.69999999999993</v>
      </c>
      <c r="N102" s="519"/>
      <c r="O102" s="1635">
        <f>+'Exhibit G'!P79</f>
        <v>172.80000000000018</v>
      </c>
      <c r="P102" s="519"/>
      <c r="Q102" s="519"/>
      <c r="R102" s="519"/>
      <c r="S102" s="519"/>
      <c r="T102" s="519"/>
      <c r="U102" s="519"/>
      <c r="V102" s="519"/>
      <c r="W102" s="519"/>
      <c r="X102" s="519"/>
      <c r="Y102" s="519"/>
      <c r="Z102" s="519"/>
      <c r="AA102" s="520"/>
      <c r="AB102" s="1635">
        <f t="shared" si="11"/>
        <v>735.7</v>
      </c>
      <c r="AC102" s="1635"/>
      <c r="AD102" s="3333"/>
      <c r="AE102" s="1635">
        <f>+'Exhibit G'!AG79</f>
        <v>867.4</v>
      </c>
      <c r="AF102" s="1635"/>
      <c r="AG102" s="1635"/>
      <c r="AH102" s="1635">
        <f t="shared" si="12"/>
        <v>-131.69999999999999</v>
      </c>
      <c r="AI102" s="3123"/>
      <c r="AJ102" s="1724">
        <f>ROUND(IF(AE102=0,0,AH102/ABS(AE102)),3)</f>
        <v>-0.152</v>
      </c>
    </row>
    <row r="103" spans="1:45" s="425" customFormat="1" ht="16.5" customHeight="1">
      <c r="A103" s="307" t="s">
        <v>1080</v>
      </c>
      <c r="B103" s="206"/>
      <c r="C103" s="255">
        <f>ROUND(SUM(C62:C102),1)</f>
        <v>2637.2</v>
      </c>
      <c r="D103" s="1067"/>
      <c r="E103" s="255">
        <f>ROUND(SUM(E62:E102),1)</f>
        <v>2439.6999999999998</v>
      </c>
      <c r="F103" s="1067"/>
      <c r="G103" s="255">
        <f>ROUND(SUM(G62:G102),1)</f>
        <v>5557.9</v>
      </c>
      <c r="H103" s="920"/>
      <c r="I103" s="255">
        <f>ROUND(SUM(I62:I102),1)</f>
        <v>1978.6</v>
      </c>
      <c r="J103" s="920"/>
      <c r="K103" s="255">
        <f>ROUND(SUM(K62:K102),1)</f>
        <v>1550.7</v>
      </c>
      <c r="L103" s="920"/>
      <c r="M103" s="255">
        <f>ROUND(SUM(M62:M102),1)</f>
        <v>2444.4</v>
      </c>
      <c r="N103" s="920"/>
      <c r="O103" s="2056">
        <f>ROUND(SUM(O62:O102),1)</f>
        <v>2831.9</v>
      </c>
      <c r="P103" s="920"/>
      <c r="Q103" s="2056">
        <f>ROUND(SUM(Q62:Q102),1)</f>
        <v>0</v>
      </c>
      <c r="R103" s="920"/>
      <c r="S103" s="255">
        <f>ROUND(SUM(S62:S102),1)</f>
        <v>0</v>
      </c>
      <c r="T103" s="920"/>
      <c r="U103" s="255">
        <f>ROUND(SUM(U62:U102),1)</f>
        <v>0</v>
      </c>
      <c r="V103" s="920"/>
      <c r="W103" s="255">
        <f>ROUND(SUM(W62:W102),1)</f>
        <v>0</v>
      </c>
      <c r="X103" s="204"/>
      <c r="Y103" s="255">
        <f>ROUND(SUM(Y62:Y102),1)</f>
        <v>0</v>
      </c>
      <c r="Z103" s="204"/>
      <c r="AA103" s="256"/>
      <c r="AB103" s="1537">
        <f>ROUND(SUM(AB62:AB102),1)</f>
        <v>19440.400000000001</v>
      </c>
      <c r="AC103" s="109"/>
      <c r="AD103" s="677"/>
      <c r="AE103" s="1537">
        <f>ROUND(SUM(AE62:AE102),1)</f>
        <v>16661.7</v>
      </c>
      <c r="AF103" s="112"/>
      <c r="AG103" s="3335"/>
      <c r="AH103" s="1537">
        <f>ROUND(SUM(AH62:AH102),1)</f>
        <v>2778.7</v>
      </c>
      <c r="AI103" s="112"/>
      <c r="AJ103" s="3330">
        <f>ROUND(IF(AE103=0,0,AH103/ABS(AE103)),3)</f>
        <v>0.16700000000000001</v>
      </c>
      <c r="AK103" s="3323"/>
    </row>
    <row r="104" spans="1:45" s="425" customFormat="1" ht="16.5" customHeight="1">
      <c r="A104" s="511"/>
      <c r="B104" s="511"/>
      <c r="C104" s="524"/>
      <c r="D104" s="524"/>
      <c r="E104" s="524"/>
      <c r="F104" s="524"/>
      <c r="G104" s="524"/>
      <c r="H104" s="524"/>
      <c r="I104" s="524"/>
      <c r="J104" s="524"/>
      <c r="K104" s="524"/>
      <c r="L104" s="524"/>
      <c r="M104" s="524"/>
      <c r="N104" s="524"/>
      <c r="O104" s="3131"/>
      <c r="P104" s="524"/>
      <c r="Q104" s="3131"/>
      <c r="R104" s="524"/>
      <c r="S104" s="524"/>
      <c r="T104" s="524"/>
      <c r="U104" s="524"/>
      <c r="V104" s="524"/>
      <c r="W104" s="524"/>
      <c r="X104" s="524"/>
      <c r="Y104" s="524"/>
      <c r="Z104" s="524"/>
      <c r="AA104" s="525"/>
      <c r="AB104" s="3131"/>
      <c r="AC104" s="3132"/>
      <c r="AD104" s="3336"/>
      <c r="AE104" s="3131"/>
      <c r="AF104" s="3132"/>
      <c r="AG104" s="3131"/>
      <c r="AH104" s="3131"/>
      <c r="AI104" s="3124"/>
      <c r="AJ104" s="3322"/>
      <c r="AK104" s="3323"/>
    </row>
    <row r="105" spans="1:45" ht="16.5" customHeight="1">
      <c r="A105" s="222" t="s">
        <v>21</v>
      </c>
      <c r="B105" s="222"/>
      <c r="C105" s="522">
        <f>+'Exhibit F'!D94+'Exhibit G'!D82+'Exhibit H'!B47+'Exhibit I'!E63</f>
        <v>10863.1</v>
      </c>
      <c r="D105" s="519"/>
      <c r="E105" s="522">
        <f>+'Exhibit F'!F94+'Exhibit G'!F82+'Exhibit H'!D47+'Exhibit I'!G63</f>
        <v>4207</v>
      </c>
      <c r="F105" s="519"/>
      <c r="G105" s="522">
        <f>+'Exhibit F'!H94+'Exhibit G'!H82+'Exhibit H'!F47+'Exhibit I'!I63</f>
        <v>7520.2</v>
      </c>
      <c r="H105" s="519"/>
      <c r="I105" s="522">
        <f>+'Exhibit F'!J94+'Exhibit G'!J82+'Exhibit H'!H47+'Exhibit I'!K63</f>
        <v>5423.199999999998</v>
      </c>
      <c r="J105" s="519"/>
      <c r="K105" s="522">
        <f>+'Exhibit F'!L94+'Exhibit G'!L82+'Exhibit H'!J47+'Exhibit I'!M63</f>
        <v>4591.1999999999989</v>
      </c>
      <c r="L105" s="519"/>
      <c r="M105" s="522">
        <f>+'Exhibit F'!N94+'Exhibit G'!N82+'Exhibit H'!L47+'Exhibit I'!O63</f>
        <v>10136.1</v>
      </c>
      <c r="N105" s="519"/>
      <c r="O105" s="3884">
        <f>+'Exhibit F'!P94+'Exhibit G'!P82+'Exhibit H'!N47+'Exhibit I'!Q63</f>
        <v>7609.1999999999944</v>
      </c>
      <c r="P105" s="519"/>
      <c r="Q105" s="522"/>
      <c r="R105" s="519"/>
      <c r="S105" s="522"/>
      <c r="T105" s="519"/>
      <c r="U105" s="522"/>
      <c r="V105" s="519"/>
      <c r="W105" s="522"/>
      <c r="X105" s="519"/>
      <c r="Y105" s="522"/>
      <c r="Z105" s="519"/>
      <c r="AA105" s="520"/>
      <c r="AB105" s="3133">
        <f>ROUND(SUM(C105:Y105),1)</f>
        <v>50350</v>
      </c>
      <c r="AC105" s="1635"/>
      <c r="AD105" s="3333"/>
      <c r="AE105" s="3884">
        <f>+'Exhibit F'!AF94+'Exhibit G'!AG82+'Exhibit H'!AD47+'Exhibit I'!AI63</f>
        <v>37735.300000000003</v>
      </c>
      <c r="AF105" s="2167"/>
      <c r="AG105" s="1635"/>
      <c r="AH105" s="3133">
        <f>ROUND(SUM(AB105-AE105),1)</f>
        <v>12614.7</v>
      </c>
      <c r="AI105" s="3123"/>
      <c r="AJ105" s="3337">
        <f>ROUND(IF(AE105=0,0,AH105/ABS(AE105)),3)</f>
        <v>0.33400000000000002</v>
      </c>
    </row>
    <row r="106" spans="1:45" ht="16.5" customHeight="1">
      <c r="A106" s="222"/>
      <c r="B106" s="222"/>
      <c r="C106" s="519"/>
      <c r="D106" s="519"/>
      <c r="E106" s="519"/>
      <c r="F106" s="519"/>
      <c r="G106" s="519"/>
      <c r="H106" s="519"/>
      <c r="I106" s="519"/>
      <c r="J106" s="519"/>
      <c r="K106" s="519"/>
      <c r="L106" s="519"/>
      <c r="M106" s="519"/>
      <c r="N106" s="519"/>
      <c r="O106" s="1635"/>
      <c r="P106" s="519"/>
      <c r="Q106" s="1635"/>
      <c r="R106" s="519"/>
      <c r="S106" s="519"/>
      <c r="T106" s="519"/>
      <c r="U106" s="519"/>
      <c r="V106" s="519"/>
      <c r="W106" s="519"/>
      <c r="X106" s="519"/>
      <c r="Y106" s="519"/>
      <c r="Z106" s="519"/>
      <c r="AA106" s="520"/>
      <c r="AB106" s="1635"/>
      <c r="AC106" s="1635"/>
      <c r="AD106" s="3333"/>
      <c r="AE106" s="1635"/>
      <c r="AF106" s="2167"/>
      <c r="AG106" s="1635"/>
      <c r="AH106" s="1635"/>
      <c r="AI106" s="3123"/>
      <c r="AJ106" s="3338"/>
    </row>
    <row r="107" spans="1:45" ht="16.5" customHeight="1">
      <c r="A107" s="29" t="s">
        <v>150</v>
      </c>
      <c r="B107" s="30"/>
      <c r="C107" s="827">
        <f>ROUND(SUM(C105+C103+C58),1)</f>
        <v>17158.3</v>
      </c>
      <c r="D107" s="920"/>
      <c r="E107" s="827">
        <f>ROUND(SUM(E105+E103+E58),1)</f>
        <v>9765.2999999999993</v>
      </c>
      <c r="F107" s="920"/>
      <c r="G107" s="827">
        <f>ROUND(SUM(G105+G103+G58),1)</f>
        <v>20227.3</v>
      </c>
      <c r="H107" s="920"/>
      <c r="I107" s="827">
        <f>ROUND(SUM(I105+I103+I58),1)</f>
        <v>19884.2</v>
      </c>
      <c r="J107" s="920"/>
      <c r="K107" s="827">
        <f>ROUND(SUM(K105+K103+K58),1)</f>
        <v>10484.200000000001</v>
      </c>
      <c r="L107" s="920"/>
      <c r="M107" s="827">
        <f>ROUND(SUM(M105+M103+M58),1)</f>
        <v>21382.799999999999</v>
      </c>
      <c r="N107" s="920"/>
      <c r="O107" s="1105">
        <f>ROUND(SUM(O105+O103+O58),1)</f>
        <v>14728.2</v>
      </c>
      <c r="P107" s="920"/>
      <c r="Q107" s="1105">
        <f>ROUND(SUM(Q105+Q103+Q58),1)</f>
        <v>0</v>
      </c>
      <c r="R107" s="920"/>
      <c r="S107" s="827">
        <f>ROUND(SUM(S105+S103+S58),1)</f>
        <v>0</v>
      </c>
      <c r="T107" s="920"/>
      <c r="U107" s="827">
        <f>ROUND(SUM(U105+U103+U58),1)</f>
        <v>0</v>
      </c>
      <c r="V107" s="920"/>
      <c r="W107" s="827">
        <f>ROUND(SUM(W105+W103+W58),1)</f>
        <v>0</v>
      </c>
      <c r="X107" s="204"/>
      <c r="Y107" s="827">
        <f>ROUND(SUM(Y105+Y103+Y58),1)</f>
        <v>0</v>
      </c>
      <c r="Z107" s="250"/>
      <c r="AA107" s="251"/>
      <c r="AB107" s="1105">
        <f>ROUND(SUM(AB105+AB103+AB58),1)</f>
        <v>113630.3</v>
      </c>
      <c r="AC107" s="109"/>
      <c r="AD107" s="677"/>
      <c r="AE107" s="1105">
        <f>ROUND(SUM(AE105+AE103+AE58),1)</f>
        <v>101240.4</v>
      </c>
      <c r="AF107" s="112"/>
      <c r="AG107" s="3335"/>
      <c r="AH107" s="1105">
        <f>ROUND(SUM(AH105+AH103+AH58),1)</f>
        <v>12389.9</v>
      </c>
      <c r="AI107" s="112"/>
      <c r="AJ107" s="3332">
        <f>ROUND(IF(AE107=0,0,AH107/ABS(AE107)),3)</f>
        <v>0.122</v>
      </c>
      <c r="AK107" s="3323"/>
      <c r="AL107" s="425"/>
      <c r="AM107" s="425"/>
      <c r="AN107" s="425"/>
      <c r="AO107" s="425"/>
      <c r="AP107" s="425"/>
      <c r="AQ107" s="425"/>
      <c r="AR107" s="425"/>
      <c r="AS107" s="425"/>
    </row>
    <row r="108" spans="1:45" ht="16.5" customHeight="1">
      <c r="A108" s="204"/>
      <c r="B108" s="222"/>
      <c r="C108" s="526"/>
      <c r="D108" s="519"/>
      <c r="E108" s="526"/>
      <c r="F108" s="519"/>
      <c r="G108" s="526"/>
      <c r="H108" s="519"/>
      <c r="I108" s="526"/>
      <c r="J108" s="519"/>
      <c r="K108" s="526"/>
      <c r="L108" s="519"/>
      <c r="M108" s="526"/>
      <c r="N108" s="519"/>
      <c r="O108" s="3134"/>
      <c r="P108" s="519"/>
      <c r="Q108" s="3134"/>
      <c r="R108" s="519"/>
      <c r="S108" s="526"/>
      <c r="T108" s="519"/>
      <c r="U108" s="526"/>
      <c r="V108" s="519"/>
      <c r="W108" s="526"/>
      <c r="X108" s="519"/>
      <c r="Y108" s="526"/>
      <c r="Z108" s="519"/>
      <c r="AA108" s="520"/>
      <c r="AB108" s="3134"/>
      <c r="AC108" s="1635"/>
      <c r="AD108" s="3333"/>
      <c r="AE108" s="3134"/>
      <c r="AF108" s="1635"/>
      <c r="AG108" s="1635"/>
      <c r="AH108" s="893"/>
      <c r="AI108" s="3123"/>
      <c r="AJ108" s="889"/>
    </row>
    <row r="109" spans="1:45" ht="16.5" customHeight="1">
      <c r="A109" s="204" t="s">
        <v>23</v>
      </c>
      <c r="B109" s="222"/>
      <c r="C109" s="527"/>
      <c r="D109" s="519"/>
      <c r="E109" s="527"/>
      <c r="F109" s="519"/>
      <c r="G109" s="527"/>
      <c r="H109" s="519"/>
      <c r="I109" s="527"/>
      <c r="J109" s="519"/>
      <c r="K109" s="527"/>
      <c r="L109" s="519"/>
      <c r="M109" s="527"/>
      <c r="N109" s="519"/>
      <c r="O109" s="2167"/>
      <c r="P109" s="519"/>
      <c r="Q109" s="2167"/>
      <c r="R109" s="519"/>
      <c r="S109" s="527"/>
      <c r="T109" s="519"/>
      <c r="U109" s="527"/>
      <c r="V109" s="519"/>
      <c r="W109" s="527"/>
      <c r="X109" s="519"/>
      <c r="Y109" s="527"/>
      <c r="Z109" s="519"/>
      <c r="AA109" s="520"/>
      <c r="AB109" s="2167"/>
      <c r="AC109" s="1635"/>
      <c r="AD109" s="3333"/>
      <c r="AE109" s="2167"/>
      <c r="AF109" s="1635"/>
      <c r="AG109" s="1635"/>
      <c r="AH109" s="893"/>
      <c r="AI109" s="3123"/>
      <c r="AJ109" s="889"/>
    </row>
    <row r="110" spans="1:45" ht="16.5" customHeight="1">
      <c r="A110" s="222" t="s">
        <v>137</v>
      </c>
      <c r="B110" s="222"/>
      <c r="C110" s="519"/>
      <c r="D110" s="519"/>
      <c r="E110" s="519"/>
      <c r="F110" s="519"/>
      <c r="G110" s="519"/>
      <c r="H110" s="519"/>
      <c r="I110" s="519"/>
      <c r="J110" s="519"/>
      <c r="K110" s="519"/>
      <c r="L110" s="519"/>
      <c r="M110" s="519"/>
      <c r="N110" s="519"/>
      <c r="O110" s="1635"/>
      <c r="P110" s="519"/>
      <c r="Q110" s="1635"/>
      <c r="R110" s="519"/>
      <c r="S110" s="519"/>
      <c r="T110" s="519"/>
      <c r="U110" s="519"/>
      <c r="V110" s="519"/>
      <c r="W110" s="519"/>
      <c r="X110" s="519"/>
      <c r="Y110" s="519"/>
      <c r="Z110" s="519"/>
      <c r="AA110" s="520"/>
      <c r="AB110" s="1635"/>
      <c r="AC110" s="1635"/>
      <c r="AD110" s="3333"/>
      <c r="AE110" s="115"/>
      <c r="AF110" s="1635"/>
      <c r="AG110" s="1635"/>
      <c r="AH110" s="1635"/>
      <c r="AI110" s="3123"/>
      <c r="AJ110" s="3334"/>
    </row>
    <row r="111" spans="1:45" ht="16.5" customHeight="1">
      <c r="A111" s="253" t="s">
        <v>25</v>
      </c>
      <c r="B111" s="222"/>
      <c r="C111" s="519">
        <f>+'Exhibit F'!D100+'Exhibit G'!D88+'Exhibit I'!E69</f>
        <v>1149.2</v>
      </c>
      <c r="D111" s="519"/>
      <c r="E111" s="519">
        <f>+'Exhibit F'!F100+'Exhibit G'!F88+'Exhibit I'!G69</f>
        <v>4132.7000000000007</v>
      </c>
      <c r="F111" s="519"/>
      <c r="G111" s="519">
        <f>+'Exhibit F'!H100+'Exhibit G'!H88+'Exhibit I'!I69</f>
        <v>3964.8999999999996</v>
      </c>
      <c r="H111" s="519"/>
      <c r="I111" s="519">
        <f>+'Exhibit F'!J100+'Exhibit G'!J88+'Exhibit I'!K69</f>
        <v>799.20000000000107</v>
      </c>
      <c r="J111" s="519"/>
      <c r="K111" s="519">
        <f>+'Exhibit F'!L100+'Exhibit G'!L88+'Exhibit I'!M69</f>
        <v>1070.5</v>
      </c>
      <c r="L111" s="519"/>
      <c r="M111" s="519">
        <f>+'Exhibit F'!N100+'Exhibit G'!N88+'Exhibit I'!O69</f>
        <v>4157.2999999999975</v>
      </c>
      <c r="N111" s="519"/>
      <c r="O111" s="1635">
        <f>+'Exhibit F'!P100+'Exhibit G'!P88+'Exhibit I'!Q69</f>
        <v>1350.8000000000006</v>
      </c>
      <c r="P111" s="519"/>
      <c r="Q111" s="519"/>
      <c r="R111" s="519"/>
      <c r="S111" s="519"/>
      <c r="T111" s="519"/>
      <c r="U111" s="519"/>
      <c r="V111" s="519"/>
      <c r="W111" s="519"/>
      <c r="X111" s="519"/>
      <c r="Y111" s="519"/>
      <c r="Z111" s="519"/>
      <c r="AA111" s="520"/>
      <c r="AB111" s="115">
        <f>ROUND(SUM(C111:Y111),1)</f>
        <v>16624.599999999999</v>
      </c>
      <c r="AC111" s="1635"/>
      <c r="AD111" s="3333"/>
      <c r="AE111" s="115">
        <f>+'Exhibit F'!AF100+'Exhibit G'!AG88+'Exhibit I'!AI69</f>
        <v>18020.100000000002</v>
      </c>
      <c r="AF111" s="1635"/>
      <c r="AG111" s="1635"/>
      <c r="AH111" s="1635">
        <f>ROUND(SUM(AB111-AE111),1)</f>
        <v>-1395.5</v>
      </c>
      <c r="AI111" s="3123"/>
      <c r="AJ111" s="1724">
        <f>ROUND(IF(AE111=0,0,AH111/ABS(AE111)),3)</f>
        <v>-7.6999999999999999E-2</v>
      </c>
    </row>
    <row r="112" spans="1:45" ht="16.5" customHeight="1">
      <c r="A112" s="253" t="s">
        <v>26</v>
      </c>
      <c r="B112" s="222"/>
      <c r="C112" s="519">
        <f>+'Exhibit F'!D101+'Exhibit G'!D89+'Exhibit I'!E70</f>
        <v>4.5</v>
      </c>
      <c r="D112" s="519"/>
      <c r="E112" s="519">
        <f>+'Exhibit F'!F101+'Exhibit G'!F89+'Exhibit I'!G70</f>
        <v>3.6999999999999993</v>
      </c>
      <c r="F112" s="519"/>
      <c r="G112" s="519">
        <f>+'Exhibit F'!H101+'Exhibit G'!H89+'Exhibit I'!I70</f>
        <v>14.000000000000004</v>
      </c>
      <c r="H112" s="519"/>
      <c r="I112" s="519">
        <f>+'Exhibit F'!J101+'Exhibit G'!J89+'Exhibit I'!K70</f>
        <v>12.900000000000002</v>
      </c>
      <c r="J112" s="519"/>
      <c r="K112" s="519">
        <f>+'Exhibit F'!L101+'Exhibit G'!L89+'Exhibit I'!M70</f>
        <v>20.6</v>
      </c>
      <c r="L112" s="519"/>
      <c r="M112" s="519">
        <f>+'Exhibit F'!N101+'Exhibit G'!N89+'Exhibit I'!O70</f>
        <v>15.599999999999984</v>
      </c>
      <c r="N112" s="519"/>
      <c r="O112" s="1635">
        <f>+'Exhibit F'!P101+'Exhibit G'!P89+'Exhibit I'!Q70</f>
        <v>7.7000000000000055</v>
      </c>
      <c r="P112" s="519"/>
      <c r="Q112" s="519"/>
      <c r="R112" s="519"/>
      <c r="S112" s="519"/>
      <c r="T112" s="519"/>
      <c r="U112" s="519"/>
      <c r="V112" s="519"/>
      <c r="W112" s="519"/>
      <c r="X112" s="519"/>
      <c r="Y112" s="519"/>
      <c r="Z112" s="519"/>
      <c r="AA112" s="520"/>
      <c r="AB112" s="115">
        <f t="shared" ref="AB112:AB119" si="17">ROUND(SUM(C112:Y112),1)</f>
        <v>79</v>
      </c>
      <c r="AC112" s="1635"/>
      <c r="AD112" s="3333"/>
      <c r="AE112" s="115">
        <f>+'Exhibit F'!AF101+'Exhibit G'!AG89+'Exhibit I'!AI70</f>
        <v>125.6</v>
      </c>
      <c r="AF112" s="1635"/>
      <c r="AG112" s="1635"/>
      <c r="AH112" s="1635">
        <f t="shared" ref="AH112:AH119" si="18">ROUND(SUM(AB112-AE112),1)</f>
        <v>-46.6</v>
      </c>
      <c r="AI112" s="3123"/>
      <c r="AJ112" s="1724">
        <f>ROUND(IF(AE112=0,0,AH112/ABS(AE112)),3)</f>
        <v>-0.371</v>
      </c>
    </row>
    <row r="113" spans="1:38" ht="16.5" customHeight="1">
      <c r="A113" s="253" t="s">
        <v>27</v>
      </c>
      <c r="B113" s="222"/>
      <c r="C113" s="519">
        <f>+'Exhibit F'!D102+'Exhibit G'!D90+'Exhibit I'!E71</f>
        <v>48.5</v>
      </c>
      <c r="D113" s="519"/>
      <c r="E113" s="519">
        <f>+'Exhibit F'!F102+'Exhibit G'!F90+'Exhibit I'!G71</f>
        <v>17.699999999999996</v>
      </c>
      <c r="F113" s="519"/>
      <c r="G113" s="519">
        <f>+'Exhibit F'!H102+'Exhibit G'!H90+'Exhibit I'!I71</f>
        <v>543.70000000000005</v>
      </c>
      <c r="H113" s="519"/>
      <c r="I113" s="519">
        <f>+'Exhibit F'!J102+'Exhibit G'!J90+'Exhibit I'!K71</f>
        <v>67.400000000000034</v>
      </c>
      <c r="J113" s="519"/>
      <c r="K113" s="519">
        <f>+'Exhibit F'!L102+'Exhibit G'!L90+'Exhibit I'!M71</f>
        <v>109</v>
      </c>
      <c r="L113" s="519"/>
      <c r="M113" s="519">
        <f>+'Exhibit F'!N102+'Exhibit G'!N90+'Exhibit I'!O71</f>
        <v>3937.2000000000003</v>
      </c>
      <c r="N113" s="519"/>
      <c r="O113" s="1635">
        <f>+'Exhibit F'!P102+'Exhibit G'!P90+'Exhibit I'!Q71</f>
        <v>322.39999999999975</v>
      </c>
      <c r="P113" s="519"/>
      <c r="Q113" s="519"/>
      <c r="R113" s="519"/>
      <c r="S113" s="519"/>
      <c r="T113" s="519"/>
      <c r="U113" s="519"/>
      <c r="V113" s="519"/>
      <c r="W113" s="519"/>
      <c r="X113" s="519"/>
      <c r="Y113" s="519"/>
      <c r="Z113" s="519"/>
      <c r="AA113" s="520"/>
      <c r="AB113" s="115">
        <f t="shared" si="17"/>
        <v>5045.8999999999996</v>
      </c>
      <c r="AC113" s="1635"/>
      <c r="AD113" s="3333"/>
      <c r="AE113" s="115">
        <f>+'Exhibit F'!AF102+'Exhibit G'!AG90+'Exhibit I'!AI71</f>
        <v>1401</v>
      </c>
      <c r="AF113" s="1635"/>
      <c r="AG113" s="1635"/>
      <c r="AH113" s="1635">
        <f t="shared" si="18"/>
        <v>3644.9</v>
      </c>
      <c r="AI113" s="3123"/>
      <c r="AJ113" s="1724">
        <f>ROUND(IF(AE113=0,0,AH113/ABS(AE113)),3)</f>
        <v>2.6019999999999999</v>
      </c>
    </row>
    <row r="114" spans="1:38" ht="16.5" customHeight="1">
      <c r="A114" s="253" t="s">
        <v>28</v>
      </c>
      <c r="B114" s="222"/>
      <c r="C114" s="519"/>
      <c r="D114" s="519"/>
      <c r="E114" s="519"/>
      <c r="F114" s="519"/>
      <c r="G114" s="519"/>
      <c r="H114" s="519"/>
      <c r="I114" s="519"/>
      <c r="J114" s="519"/>
      <c r="K114" s="519"/>
      <c r="L114" s="519"/>
      <c r="M114" s="519"/>
      <c r="N114" s="519"/>
      <c r="O114" s="1635"/>
      <c r="P114" s="519"/>
      <c r="Q114" s="519"/>
      <c r="R114" s="519"/>
      <c r="S114" s="519"/>
      <c r="T114" s="519"/>
      <c r="U114" s="519"/>
      <c r="V114" s="519"/>
      <c r="W114" s="519"/>
      <c r="X114" s="519"/>
      <c r="Y114" s="519"/>
      <c r="Z114" s="519"/>
      <c r="AA114" s="520"/>
      <c r="AB114" s="115"/>
      <c r="AC114" s="1635"/>
      <c r="AD114" s="3333"/>
      <c r="AE114" s="354"/>
      <c r="AF114" s="1635"/>
      <c r="AG114" s="1635"/>
      <c r="AH114" s="1635" t="s">
        <v>15</v>
      </c>
      <c r="AI114" s="3123"/>
      <c r="AJ114" s="3334"/>
    </row>
    <row r="115" spans="1:38" ht="16.5" customHeight="1">
      <c r="A115" s="254" t="s">
        <v>29</v>
      </c>
      <c r="B115" s="222"/>
      <c r="C115" s="519">
        <f>+'Exhibit F'!D104+'Exhibit G'!D92+'Exhibit I'!E73</f>
        <v>5410.3</v>
      </c>
      <c r="D115" s="519"/>
      <c r="E115" s="519">
        <f>+'Exhibit F'!F104+'Exhibit G'!F92+'Exhibit I'!G73</f>
        <v>5099.6000000000004</v>
      </c>
      <c r="F115" s="519"/>
      <c r="G115" s="519">
        <f>+'Exhibit F'!H104+'Exhibit G'!H92+'Exhibit I'!I73</f>
        <v>6082.5</v>
      </c>
      <c r="H115" s="519"/>
      <c r="I115" s="519">
        <f>+'Exhibit F'!J104+'Exhibit G'!J92+'Exhibit I'!K73</f>
        <v>5357.6000000000013</v>
      </c>
      <c r="J115" s="519"/>
      <c r="K115" s="519">
        <f>+'Exhibit F'!L104+'Exhibit G'!L92+'Exhibit I'!M73</f>
        <v>5292.7999999999984</v>
      </c>
      <c r="L115" s="519"/>
      <c r="M115" s="519">
        <f>+'Exhibit F'!N104+'Exhibit G'!N92+'Exhibit I'!O73</f>
        <v>7004.600000000004</v>
      </c>
      <c r="N115" s="519"/>
      <c r="O115" s="1635">
        <f>+'Exhibit F'!P104+'Exhibit G'!P92+'Exhibit I'!Q73</f>
        <v>4286.0999999999985</v>
      </c>
      <c r="P115" s="519"/>
      <c r="Q115" s="519"/>
      <c r="R115" s="519"/>
      <c r="S115" s="519"/>
      <c r="T115" s="519"/>
      <c r="U115" s="519"/>
      <c r="V115" s="519"/>
      <c r="W115" s="519"/>
      <c r="X115" s="519"/>
      <c r="Y115" s="519"/>
      <c r="Z115" s="519"/>
      <c r="AA115" s="520"/>
      <c r="AB115" s="115">
        <f t="shared" si="17"/>
        <v>38533.5</v>
      </c>
      <c r="AC115" s="1635"/>
      <c r="AD115" s="3333"/>
      <c r="AE115" s="115">
        <f>+'Exhibit F'!AF104+'Exhibit G'!AG92+'Exhibit I'!AI73</f>
        <v>38574.1</v>
      </c>
      <c r="AF115" s="1635"/>
      <c r="AG115" s="1635"/>
      <c r="AH115" s="1635">
        <f t="shared" si="18"/>
        <v>-40.6</v>
      </c>
      <c r="AI115" s="3123"/>
      <c r="AJ115" s="1724">
        <f t="shared" ref="AJ115:AJ121" si="19">ROUND(IF(AE115=0,0,AH115/ABS(AE115)),3)</f>
        <v>-1E-3</v>
      </c>
      <c r="AK115" s="3339"/>
    </row>
    <row r="116" spans="1:38" ht="16.5" customHeight="1">
      <c r="A116" s="253" t="s">
        <v>30</v>
      </c>
      <c r="B116" s="222"/>
      <c r="C116" s="519">
        <f>+'Exhibit F'!D105+'Exhibit G'!D93+'Exhibit I'!E74</f>
        <v>602.5</v>
      </c>
      <c r="D116" s="519"/>
      <c r="E116" s="519">
        <f>+'Exhibit F'!F105+'Exhibit G'!F93+'Exhibit I'!G74</f>
        <v>638.5</v>
      </c>
      <c r="F116" s="519"/>
      <c r="G116" s="519">
        <f>+'Exhibit F'!H105+'Exhibit G'!H93+'Exhibit I'!I74</f>
        <v>980.4</v>
      </c>
      <c r="H116" s="519"/>
      <c r="I116" s="519">
        <f>+'Exhibit F'!J105+'Exhibit G'!J93+'Exhibit I'!K74</f>
        <v>1028.7</v>
      </c>
      <c r="J116" s="519"/>
      <c r="K116" s="519">
        <f>+'Exhibit F'!L105+'Exhibit G'!L93+'Exhibit I'!M74</f>
        <v>701.70000000000039</v>
      </c>
      <c r="L116" s="519"/>
      <c r="M116" s="519">
        <f>+'Exhibit F'!N105+'Exhibit G'!N93+'Exhibit I'!O74</f>
        <v>1078.4999999999995</v>
      </c>
      <c r="N116" s="519"/>
      <c r="O116" s="1635">
        <f>+'Exhibit F'!P105+'Exhibit G'!P93+'Exhibit I'!Q74</f>
        <v>815.20000000000027</v>
      </c>
      <c r="P116" s="519"/>
      <c r="Q116" s="519"/>
      <c r="R116" s="519"/>
      <c r="S116" s="519"/>
      <c r="T116" s="519"/>
      <c r="U116" s="519"/>
      <c r="V116" s="519"/>
      <c r="W116" s="519"/>
      <c r="X116" s="519"/>
      <c r="Y116" s="519"/>
      <c r="Z116" s="519"/>
      <c r="AA116" s="520"/>
      <c r="AB116" s="115">
        <f t="shared" si="17"/>
        <v>5845.5</v>
      </c>
      <c r="AC116" s="3135"/>
      <c r="AD116" s="1635"/>
      <c r="AE116" s="115">
        <f>+'Exhibit F'!AF105+'Exhibit G'!AG93+'Exhibit I'!AI74</f>
        <v>5910.7999999999993</v>
      </c>
      <c r="AF116" s="1635"/>
      <c r="AG116" s="1635"/>
      <c r="AH116" s="1635">
        <f t="shared" si="18"/>
        <v>-65.3</v>
      </c>
      <c r="AI116" s="3123"/>
      <c r="AJ116" s="1724">
        <f t="shared" si="19"/>
        <v>-1.0999999999999999E-2</v>
      </c>
    </row>
    <row r="117" spans="1:38" ht="16.5" customHeight="1">
      <c r="A117" s="253" t="s">
        <v>31</v>
      </c>
      <c r="B117" s="222"/>
      <c r="C117" s="519">
        <f>+'Exhibit F'!D106+'Exhibit G'!D94+'Exhibit I'!E75</f>
        <v>95.300000000000011</v>
      </c>
      <c r="D117" s="519"/>
      <c r="E117" s="519">
        <f>+'Exhibit F'!F106+'Exhibit G'!F94+'Exhibit I'!G75</f>
        <v>63.6</v>
      </c>
      <c r="F117" s="519"/>
      <c r="G117" s="519">
        <f>+'Exhibit F'!H106+'Exhibit G'!H94+'Exhibit I'!I75</f>
        <v>163.29999999999998</v>
      </c>
      <c r="H117" s="519"/>
      <c r="I117" s="519">
        <f>+'Exhibit F'!J106+'Exhibit G'!J94+'Exhibit I'!K75</f>
        <v>265.2</v>
      </c>
      <c r="J117" s="519"/>
      <c r="K117" s="519">
        <f>+'Exhibit F'!L106+'Exhibit G'!L94+'Exhibit I'!M75</f>
        <v>71.199999999999989</v>
      </c>
      <c r="L117" s="519"/>
      <c r="M117" s="519">
        <f>+'Exhibit F'!N106+'Exhibit G'!N94+'Exhibit I'!O75</f>
        <v>151.00000000000003</v>
      </c>
      <c r="N117" s="519"/>
      <c r="O117" s="1635">
        <f>+'Exhibit F'!P106+'Exhibit G'!P94+'Exhibit I'!Q75</f>
        <v>634.6999999999997</v>
      </c>
      <c r="P117" s="519"/>
      <c r="Q117" s="519"/>
      <c r="R117" s="519"/>
      <c r="S117" s="519"/>
      <c r="T117" s="519"/>
      <c r="U117" s="519"/>
      <c r="V117" s="519"/>
      <c r="W117" s="519"/>
      <c r="X117" s="519"/>
      <c r="Y117" s="519"/>
      <c r="Z117" s="519"/>
      <c r="AA117" s="520"/>
      <c r="AB117" s="115">
        <f t="shared" si="17"/>
        <v>1444.3</v>
      </c>
      <c r="AC117" s="3136"/>
      <c r="AD117" s="3333"/>
      <c r="AE117" s="115">
        <f>+'Exhibit F'!AF106+'Exhibit G'!AG94+'Exhibit I'!AI75</f>
        <v>866.3</v>
      </c>
      <c r="AF117" s="1635"/>
      <c r="AG117" s="1635"/>
      <c r="AH117" s="1635">
        <f t="shared" si="18"/>
        <v>578</v>
      </c>
      <c r="AI117" s="3123"/>
      <c r="AJ117" s="1724">
        <f t="shared" si="19"/>
        <v>0.66700000000000004</v>
      </c>
    </row>
    <row r="118" spans="1:38" ht="16.5" customHeight="1">
      <c r="A118" s="253" t="s">
        <v>32</v>
      </c>
      <c r="B118" s="222"/>
      <c r="C118" s="519">
        <f>+'Exhibit F'!D107+'Exhibit G'!D95+'Exhibit I'!E76</f>
        <v>211.8</v>
      </c>
      <c r="D118" s="519"/>
      <c r="E118" s="519">
        <f>+'Exhibit F'!F107+'Exhibit G'!F95+'Exhibit I'!G76</f>
        <v>217.7</v>
      </c>
      <c r="F118" s="519"/>
      <c r="G118" s="519">
        <f>+'Exhibit F'!H107+'Exhibit G'!H95+'Exhibit I'!I76</f>
        <v>388.7</v>
      </c>
      <c r="H118" s="519"/>
      <c r="I118" s="519">
        <f>+'Exhibit F'!J107+'Exhibit G'!J95+'Exhibit I'!K76</f>
        <v>850.8</v>
      </c>
      <c r="J118" s="519"/>
      <c r="K118" s="519">
        <f>+'Exhibit F'!L107+'Exhibit G'!L95+'Exhibit I'!M76</f>
        <v>364.1</v>
      </c>
      <c r="L118" s="519"/>
      <c r="M118" s="519">
        <f>+'Exhibit F'!N107+'Exhibit G'!N95+'Exhibit I'!O76</f>
        <v>1487.4999999999995</v>
      </c>
      <c r="N118" s="519"/>
      <c r="O118" s="1635">
        <f>+'Exhibit F'!P107+'Exhibit G'!P95+'Exhibit I'!Q76</f>
        <v>479</v>
      </c>
      <c r="P118" s="519"/>
      <c r="Q118" s="519"/>
      <c r="R118" s="519"/>
      <c r="S118" s="519"/>
      <c r="T118" s="519"/>
      <c r="U118" s="519"/>
      <c r="V118" s="519"/>
      <c r="W118" s="519"/>
      <c r="X118" s="519"/>
      <c r="Y118" s="519"/>
      <c r="Z118" s="519"/>
      <c r="AA118" s="520"/>
      <c r="AB118" s="115">
        <f t="shared" si="17"/>
        <v>3999.6</v>
      </c>
      <c r="AC118" s="3136"/>
      <c r="AD118" s="3333"/>
      <c r="AE118" s="115">
        <f>+'Exhibit F'!AF107+'Exhibit G'!AG95+'Exhibit I'!AI76</f>
        <v>4018.1</v>
      </c>
      <c r="AF118" s="1635"/>
      <c r="AG118" s="1635"/>
      <c r="AH118" s="1635">
        <f t="shared" si="18"/>
        <v>-18.5</v>
      </c>
      <c r="AI118" s="3123"/>
      <c r="AJ118" s="1724">
        <f t="shared" si="19"/>
        <v>-5.0000000000000001E-3</v>
      </c>
    </row>
    <row r="119" spans="1:38" ht="16.5" customHeight="1">
      <c r="A119" s="253" t="s">
        <v>33</v>
      </c>
      <c r="B119" s="222"/>
      <c r="C119" s="519">
        <f>+'Exhibit F'!D108+'Exhibit G'!D96+'Exhibit I'!E77</f>
        <v>48.1</v>
      </c>
      <c r="D119" s="519"/>
      <c r="E119" s="519">
        <f>+'Exhibit F'!F108+'Exhibit G'!F96+'Exhibit I'!G77</f>
        <v>15.099999999999996</v>
      </c>
      <c r="F119" s="519"/>
      <c r="G119" s="519">
        <f>+'Exhibit F'!H108+'Exhibit G'!H96+'Exhibit I'!I77</f>
        <v>35.900000000000006</v>
      </c>
      <c r="H119" s="519"/>
      <c r="I119" s="519">
        <f>+'Exhibit F'!J108+'Exhibit G'!J96+'Exhibit I'!K77</f>
        <v>26.699999999999989</v>
      </c>
      <c r="J119" s="519"/>
      <c r="K119" s="519">
        <f>+'Exhibit F'!L108+'Exhibit G'!L96+'Exhibit I'!M77</f>
        <v>84.499999999999972</v>
      </c>
      <c r="L119" s="519"/>
      <c r="M119" s="519">
        <f>+'Exhibit F'!N108+'Exhibit G'!N96+'Exhibit I'!O77</f>
        <v>22.300000000000008</v>
      </c>
      <c r="N119" s="519"/>
      <c r="O119" s="1635">
        <f>+'Exhibit F'!P108+'Exhibit G'!P96+'Exhibit I'!Q77</f>
        <v>64.200000000000017</v>
      </c>
      <c r="P119" s="519"/>
      <c r="Q119" s="519"/>
      <c r="R119" s="519"/>
      <c r="S119" s="519"/>
      <c r="T119" s="519"/>
      <c r="U119" s="519"/>
      <c r="V119" s="519"/>
      <c r="W119" s="519"/>
      <c r="X119" s="519"/>
      <c r="Y119" s="519"/>
      <c r="Z119" s="519"/>
      <c r="AA119" s="520"/>
      <c r="AB119" s="115">
        <f t="shared" si="17"/>
        <v>296.8</v>
      </c>
      <c r="AC119" s="3136"/>
      <c r="AD119" s="3333"/>
      <c r="AE119" s="115">
        <f>+'Exhibit F'!AF108+'Exhibit G'!AG96+'Exhibit I'!AI77</f>
        <v>674.19999999999993</v>
      </c>
      <c r="AF119" s="1635"/>
      <c r="AG119" s="1635"/>
      <c r="AH119" s="1635">
        <f t="shared" si="18"/>
        <v>-377.4</v>
      </c>
      <c r="AI119" s="3123"/>
      <c r="AJ119" s="1724">
        <f t="shared" si="19"/>
        <v>-0.56000000000000005</v>
      </c>
    </row>
    <row r="120" spans="1:38" ht="16.5" customHeight="1">
      <c r="A120" s="253" t="s">
        <v>34</v>
      </c>
      <c r="B120" s="222"/>
      <c r="C120" s="519">
        <f>+'Exhibit F'!D109+'Exhibit G'!D97+'Exhibit I'!E78</f>
        <v>90</v>
      </c>
      <c r="D120" s="519"/>
      <c r="E120" s="519">
        <f>+'Exhibit F'!F109+'Exhibit G'!F97+'Exhibit I'!G78</f>
        <v>90.9</v>
      </c>
      <c r="F120" s="519"/>
      <c r="G120" s="519">
        <f>+'Exhibit F'!H109+'Exhibit G'!H97+'Exhibit I'!I78</f>
        <v>72.599999999999994</v>
      </c>
      <c r="H120" s="519"/>
      <c r="I120" s="519">
        <f>+'Exhibit F'!J109+'Exhibit G'!J97+'Exhibit I'!K78</f>
        <v>825.49999999999989</v>
      </c>
      <c r="J120" s="519"/>
      <c r="K120" s="519">
        <f>+'Exhibit F'!L109+'Exhibit G'!L97+'Exhibit I'!M78</f>
        <v>509.6</v>
      </c>
      <c r="L120" s="519"/>
      <c r="M120" s="519">
        <f>+'Exhibit F'!N109+'Exhibit G'!N97+'Exhibit I'!O78</f>
        <v>618.10000000000014</v>
      </c>
      <c r="N120" s="519"/>
      <c r="O120" s="1635">
        <f>+'Exhibit F'!P109+'Exhibit G'!P97+'Exhibit I'!Q78</f>
        <v>744.99999999999989</v>
      </c>
      <c r="P120" s="519"/>
      <c r="Q120" s="519" t="s">
        <v>15</v>
      </c>
      <c r="R120" s="519"/>
      <c r="S120" s="519" t="s">
        <v>15</v>
      </c>
      <c r="T120" s="519"/>
      <c r="U120" s="519" t="s">
        <v>15</v>
      </c>
      <c r="V120" s="519"/>
      <c r="W120" s="519" t="s">
        <v>15</v>
      </c>
      <c r="X120" s="519"/>
      <c r="Y120" s="519" t="s">
        <v>15</v>
      </c>
      <c r="Z120" s="519"/>
      <c r="AA120" s="520"/>
      <c r="AB120" s="1635">
        <f>ROUND(SUM(C120:Y120),1)</f>
        <v>2951.7</v>
      </c>
      <c r="AC120" s="3136"/>
      <c r="AD120" s="3333"/>
      <c r="AE120" s="115">
        <f>+'Exhibit F'!AF109+'Exhibit G'!AG97+'Exhibit I'!AI78</f>
        <v>3113.3</v>
      </c>
      <c r="AF120" s="1635"/>
      <c r="AG120" s="1635"/>
      <c r="AH120" s="1635">
        <f>ROUND(SUM(AB120-AE120),1)</f>
        <v>-161.6</v>
      </c>
      <c r="AI120" s="3123"/>
      <c r="AJ120" s="1724">
        <f t="shared" si="19"/>
        <v>-5.1999999999999998E-2</v>
      </c>
    </row>
    <row r="121" spans="1:38" ht="16.5" customHeight="1">
      <c r="A121" s="222" t="s">
        <v>35</v>
      </c>
      <c r="B121" s="222"/>
      <c r="C121" s="531">
        <f>ROUND(SUM(C111:C120),1)</f>
        <v>7660.2</v>
      </c>
      <c r="D121" s="524"/>
      <c r="E121" s="531">
        <f>ROUND(SUM(E111:E120),1)</f>
        <v>10279.5</v>
      </c>
      <c r="F121" s="524"/>
      <c r="G121" s="531">
        <f>ROUND(SUM(G111:G120),1)</f>
        <v>12246</v>
      </c>
      <c r="H121" s="524"/>
      <c r="I121" s="531">
        <f>ROUND(SUM(I111:I120),1)</f>
        <v>9234</v>
      </c>
      <c r="J121" s="524"/>
      <c r="K121" s="531">
        <f>ROUND(SUM(K111:K120),1)</f>
        <v>8224</v>
      </c>
      <c r="L121" s="524"/>
      <c r="M121" s="531">
        <f>ROUND(SUM(M111:M120),1)</f>
        <v>18472.099999999999</v>
      </c>
      <c r="N121" s="524"/>
      <c r="O121" s="3128">
        <f>ROUND(SUM(O111:O120),1)</f>
        <v>8705.1</v>
      </c>
      <c r="P121" s="524"/>
      <c r="Q121" s="3128">
        <f>ROUND(SUM(Q111:Q120),1)</f>
        <v>0</v>
      </c>
      <c r="R121" s="524"/>
      <c r="S121" s="531">
        <f>ROUND(SUM(S111:S120),1)</f>
        <v>0</v>
      </c>
      <c r="T121" s="524"/>
      <c r="U121" s="531">
        <f>ROUND(SUM(U111:U120),1)</f>
        <v>0</v>
      </c>
      <c r="V121" s="524"/>
      <c r="W121" s="531">
        <f>ROUND(SUM(W111:W120),1)</f>
        <v>0</v>
      </c>
      <c r="X121" s="524"/>
      <c r="Y121" s="531">
        <f>ROUND(SUM(Y111:Y120),1)</f>
        <v>0</v>
      </c>
      <c r="Z121" s="524"/>
      <c r="AA121" s="525"/>
      <c r="AB121" s="3128">
        <f>ROUND(SUM(AB111:AB120),1)</f>
        <v>74820.899999999994</v>
      </c>
      <c r="AC121" s="3137"/>
      <c r="AD121" s="3340"/>
      <c r="AE121" s="3128">
        <f>ROUND(SUM(AE111:AE120),1)</f>
        <v>72703.5</v>
      </c>
      <c r="AF121" s="3131"/>
      <c r="AG121" s="3131"/>
      <c r="AH121" s="3128">
        <f>ROUND(SUM(AH111:AH120),1)</f>
        <v>2117.4</v>
      </c>
      <c r="AI121" s="3124"/>
      <c r="AJ121" s="3330">
        <f t="shared" si="19"/>
        <v>2.9000000000000001E-2</v>
      </c>
      <c r="AK121" s="3323"/>
      <c r="AL121" s="425"/>
    </row>
    <row r="122" spans="1:38" ht="16.5" customHeight="1">
      <c r="A122" s="222" t="s">
        <v>36</v>
      </c>
      <c r="B122" s="222"/>
      <c r="C122" s="527"/>
      <c r="D122" s="519"/>
      <c r="E122" s="527"/>
      <c r="F122" s="519"/>
      <c r="G122" s="527"/>
      <c r="H122" s="519"/>
      <c r="I122" s="527"/>
      <c r="J122" s="519"/>
      <c r="K122" s="527"/>
      <c r="L122" s="519"/>
      <c r="M122" s="527"/>
      <c r="N122" s="519"/>
      <c r="O122" s="2167"/>
      <c r="P122" s="519"/>
      <c r="Q122" s="2167"/>
      <c r="R122" s="519"/>
      <c r="S122" s="527"/>
      <c r="T122" s="519"/>
      <c r="U122" s="527"/>
      <c r="V122" s="519"/>
      <c r="W122" s="527"/>
      <c r="X122" s="519"/>
      <c r="Y122" s="527"/>
      <c r="Z122" s="519"/>
      <c r="AA122" s="520"/>
      <c r="AB122" s="2167"/>
      <c r="AC122" s="1635"/>
      <c r="AD122" s="3333"/>
      <c r="AE122" s="65"/>
      <c r="AF122" s="1635"/>
      <c r="AG122" s="1635"/>
      <c r="AH122" s="893"/>
      <c r="AI122" s="3123"/>
      <c r="AJ122" s="889"/>
    </row>
    <row r="123" spans="1:38" ht="16.5" customHeight="1">
      <c r="A123" s="222" t="s">
        <v>138</v>
      </c>
      <c r="B123" s="222"/>
      <c r="C123" s="519">
        <f>+'Exhibit F'!D112+'Exhibit G'!D100+'Exhibit I'!E81</f>
        <v>1569.5</v>
      </c>
      <c r="D123" s="519"/>
      <c r="E123" s="519">
        <f>+'Exhibit F'!F112+'Exhibit G'!F100+'Exhibit I'!G81</f>
        <v>1135.9000000000001</v>
      </c>
      <c r="F123" s="519"/>
      <c r="G123" s="519">
        <f>+'Exhibit F'!H112+'Exhibit G'!H100+'Exhibit I'!I81</f>
        <v>1116.3999999999999</v>
      </c>
      <c r="H123" s="519"/>
      <c r="I123" s="519">
        <f>+'Exhibit F'!J112+'Exhibit G'!J100+'Exhibit I'!K81</f>
        <v>1278.8000000000002</v>
      </c>
      <c r="J123" s="519"/>
      <c r="K123" s="519">
        <f>+'Exhibit F'!L112+'Exhibit G'!L100+'Exhibit I'!M81</f>
        <v>1053.8999999999999</v>
      </c>
      <c r="L123" s="519"/>
      <c r="M123" s="519">
        <f>+'Exhibit F'!N112+'Exhibit G'!N100+'Exhibit I'!O81</f>
        <v>1527.0000000000002</v>
      </c>
      <c r="N123" s="519"/>
      <c r="O123" s="1635">
        <f>+'Exhibit F'!P112+'Exhibit G'!P100+'Exhibit I'!Q81</f>
        <v>1119.1999999999998</v>
      </c>
      <c r="P123" s="519"/>
      <c r="Q123" s="519"/>
      <c r="R123" s="519"/>
      <c r="S123" s="519"/>
      <c r="T123" s="519"/>
      <c r="U123" s="519"/>
      <c r="V123" s="519"/>
      <c r="W123" s="519"/>
      <c r="X123" s="519"/>
      <c r="Y123" s="519"/>
      <c r="Z123" s="519"/>
      <c r="AA123" s="520"/>
      <c r="AB123" s="1635">
        <f>ROUND(SUM(C123:Y123),1)</f>
        <v>8800.7000000000007</v>
      </c>
      <c r="AC123" s="1635"/>
      <c r="AD123" s="3333"/>
      <c r="AE123" s="65">
        <f>+'Exhibit F'!AF112+'Exhibit G'!AG100+'Exhibit I'!AI81</f>
        <v>8984.7000000000007</v>
      </c>
      <c r="AF123" s="1635"/>
      <c r="AG123" s="1635"/>
      <c r="AH123" s="1635">
        <f>ROUND(SUM(AB123-AE123),1)</f>
        <v>-184</v>
      </c>
      <c r="AI123" s="3123"/>
      <c r="AJ123" s="1724">
        <f>ROUND(IF(AE123=0,0,AH123/ABS(AE123)),3)</f>
        <v>-0.02</v>
      </c>
    </row>
    <row r="124" spans="1:38" ht="16.5" customHeight="1">
      <c r="A124" s="222" t="s">
        <v>139</v>
      </c>
      <c r="B124" s="222"/>
      <c r="C124" s="519">
        <f>+'Exhibit F'!D113+'Exhibit G'!D101+'Exhibit H'!B53+'Exhibit I'!E82</f>
        <v>584.09999999999991</v>
      </c>
      <c r="D124" s="519"/>
      <c r="E124" s="519">
        <f>+'Exhibit F'!F113+'Exhibit G'!F101+'Exhibit H'!D53+'Exhibit I'!G82</f>
        <v>416.99999999999994</v>
      </c>
      <c r="F124" s="519"/>
      <c r="G124" s="519">
        <f>+'Exhibit F'!H113+'Exhibit G'!H101+'Exhibit H'!F53+'Exhibit I'!I82</f>
        <v>504.40000000000003</v>
      </c>
      <c r="H124" s="519"/>
      <c r="I124" s="519">
        <f>+'Exhibit F'!J113+'Exhibit G'!J101+'Exhibit H'!H53+'Exhibit I'!K82</f>
        <v>577.09999999999991</v>
      </c>
      <c r="J124" s="519"/>
      <c r="K124" s="519">
        <f>+'Exhibit F'!L113+'Exhibit G'!L101+'Exhibit H'!J53+'Exhibit I'!M82</f>
        <v>605.9000000000002</v>
      </c>
      <c r="L124" s="519"/>
      <c r="M124" s="519">
        <f>+'Exhibit F'!N113+'Exhibit G'!N101+'Exhibit H'!L53+'Exhibit I'!O82</f>
        <v>756.69999999999982</v>
      </c>
      <c r="N124" s="519"/>
      <c r="O124" s="1635">
        <f>+'Exhibit F'!P113+'Exhibit G'!P101+'Exhibit H'!N53+'Exhibit I'!Q82</f>
        <v>620.60000000000014</v>
      </c>
      <c r="P124" s="519"/>
      <c r="Q124" s="519"/>
      <c r="R124" s="519"/>
      <c r="S124" s="519"/>
      <c r="T124" s="519"/>
      <c r="U124" s="519"/>
      <c r="V124" s="519"/>
      <c r="W124" s="519"/>
      <c r="X124" s="519"/>
      <c r="Y124" s="519"/>
      <c r="Z124" s="519"/>
      <c r="AA124" s="520"/>
      <c r="AB124" s="1635">
        <f>ROUND(SUM(C124:Y124),1)</f>
        <v>4065.8</v>
      </c>
      <c r="AC124" s="1635"/>
      <c r="AD124" s="3333"/>
      <c r="AE124" s="65">
        <f>+'Exhibit F'!AF113+'Exhibit G'!AG101+'Exhibit H'!AD53+'Exhibit I'!AI82</f>
        <v>3904.4</v>
      </c>
      <c r="AF124" s="1635"/>
      <c r="AG124" s="1635"/>
      <c r="AH124" s="1635">
        <f>ROUND(SUM(AB124-AE124),1)</f>
        <v>161.4</v>
      </c>
      <c r="AI124" s="3123"/>
      <c r="AJ124" s="1724">
        <f>ROUND(IF(AE124=0,0,AH124/ABS(AE124)),3)</f>
        <v>4.1000000000000002E-2</v>
      </c>
    </row>
    <row r="125" spans="1:38" ht="16.5" customHeight="1">
      <c r="A125" s="222" t="s">
        <v>39</v>
      </c>
      <c r="B125" s="222"/>
      <c r="C125" s="519">
        <f>+'Exhibit F'!D114+'Exhibit G'!D102+'Exhibit I'!E83</f>
        <v>535.20000000000005</v>
      </c>
      <c r="D125" s="519"/>
      <c r="E125" s="519">
        <f>+'Exhibit F'!F114+'Exhibit G'!F102+'Exhibit I'!G83</f>
        <v>395.00000000000006</v>
      </c>
      <c r="F125" s="519"/>
      <c r="G125" s="519">
        <f>+'Exhibit F'!H114+'Exhibit G'!H102+'Exhibit I'!I83</f>
        <v>2621.5</v>
      </c>
      <c r="H125" s="519"/>
      <c r="I125" s="519">
        <f>+'Exhibit F'!J114+'Exhibit G'!J102+'Exhibit I'!K83</f>
        <v>471.90000000000009</v>
      </c>
      <c r="J125" s="519"/>
      <c r="K125" s="519">
        <f>+'Exhibit F'!L114+'Exhibit G'!L102+'Exhibit I'!M83</f>
        <v>413.99999999999989</v>
      </c>
      <c r="L125" s="519"/>
      <c r="M125" s="519">
        <f>+'Exhibit F'!N114+'Exhibit G'!N102+'Exhibit I'!O83</f>
        <v>616.09999999999968</v>
      </c>
      <c r="N125" s="519"/>
      <c r="O125" s="1635">
        <f>+'Exhibit F'!P114+'Exhibit G'!P102+'Exhibit I'!Q83</f>
        <v>511.7000000000005</v>
      </c>
      <c r="P125" s="519"/>
      <c r="Q125" s="519"/>
      <c r="R125" s="519"/>
      <c r="S125" s="519"/>
      <c r="T125" s="519"/>
      <c r="U125" s="519"/>
      <c r="V125" s="519"/>
      <c r="W125" s="519"/>
      <c r="X125" s="519"/>
      <c r="Y125" s="519"/>
      <c r="Z125" s="519"/>
      <c r="AA125" s="520"/>
      <c r="AB125" s="1635">
        <f>ROUND(SUM(C125:Y125),1)</f>
        <v>5565.4</v>
      </c>
      <c r="AC125" s="1635"/>
      <c r="AD125" s="3333"/>
      <c r="AE125" s="65">
        <f>+'Exhibit F'!AF114+'Exhibit G'!AG102+'Exhibit H'!AD54+'Exhibit I'!AI83</f>
        <v>6009.4</v>
      </c>
      <c r="AF125" s="1635"/>
      <c r="AG125" s="1635"/>
      <c r="AH125" s="1635">
        <f>ROUND(SUM(AB125-AE125),1)</f>
        <v>-444</v>
      </c>
      <c r="AI125" s="3123"/>
      <c r="AJ125" s="1724">
        <f>ROUND(IF(AE125=0,0,AH125/ABS(AE125)),3)</f>
        <v>-7.3999999999999996E-2</v>
      </c>
    </row>
    <row r="126" spans="1:38" ht="16.5" customHeight="1">
      <c r="A126" s="222" t="s">
        <v>1251</v>
      </c>
      <c r="B126" s="222"/>
      <c r="C126" s="527"/>
      <c r="D126" s="519"/>
      <c r="E126" s="527"/>
      <c r="F126" s="519"/>
      <c r="G126" s="527"/>
      <c r="H126" s="519"/>
      <c r="I126" s="527"/>
      <c r="J126" s="519"/>
      <c r="K126" s="527"/>
      <c r="L126" s="519"/>
      <c r="M126" s="527"/>
      <c r="N126" s="519"/>
      <c r="O126" s="2167"/>
      <c r="P126" s="519"/>
      <c r="Q126" s="527"/>
      <c r="R126" s="519"/>
      <c r="S126" s="527"/>
      <c r="T126" s="519"/>
      <c r="U126" s="527"/>
      <c r="V126" s="519"/>
      <c r="W126" s="527"/>
      <c r="X126" s="519"/>
      <c r="Y126" s="527"/>
      <c r="Z126" s="519"/>
      <c r="AA126" s="520"/>
      <c r="AB126" s="1635"/>
      <c r="AC126" s="1635"/>
      <c r="AD126" s="3333"/>
      <c r="AE126" s="2167"/>
      <c r="AF126" s="1635"/>
      <c r="AG126" s="1635"/>
      <c r="AH126" s="1635"/>
      <c r="AI126" s="3123"/>
      <c r="AJ126" s="3334"/>
    </row>
    <row r="127" spans="1:38" ht="16.5" customHeight="1">
      <c r="A127" s="222" t="s">
        <v>41</v>
      </c>
      <c r="B127" s="222"/>
      <c r="C127" s="519">
        <f>+'Exhibit H'!B55</f>
        <v>36.5</v>
      </c>
      <c r="D127" s="519"/>
      <c r="E127" s="519">
        <f>+'Exhibit H'!D55</f>
        <v>23.5</v>
      </c>
      <c r="F127" s="519"/>
      <c r="G127" s="519">
        <f>+'Exhibit H'!F55</f>
        <v>28.900000000000006</v>
      </c>
      <c r="H127" s="519"/>
      <c r="I127" s="519">
        <f>+'Exhibit H'!H55</f>
        <v>10.699999999999989</v>
      </c>
      <c r="J127" s="519"/>
      <c r="K127" s="519">
        <f>+'Exhibit H'!J55</f>
        <v>337.59999999999997</v>
      </c>
      <c r="L127" s="519"/>
      <c r="M127" s="519">
        <f>+'Exhibit H'!L55</f>
        <v>841.8</v>
      </c>
      <c r="N127" s="519"/>
      <c r="O127" s="1635">
        <f>+'Exhibit H'!N55</f>
        <v>39.799999999999955</v>
      </c>
      <c r="P127" s="519"/>
      <c r="Q127" s="519"/>
      <c r="R127" s="519"/>
      <c r="S127" s="519"/>
      <c r="T127" s="519"/>
      <c r="U127" s="519"/>
      <c r="V127" s="519"/>
      <c r="W127" s="519"/>
      <c r="X127" s="519"/>
      <c r="Y127" s="519"/>
      <c r="Z127" s="519"/>
      <c r="AA127" s="520"/>
      <c r="AB127" s="1635">
        <f>ROUND(SUM(C127:Y127),1)</f>
        <v>1318.8</v>
      </c>
      <c r="AC127" s="1635"/>
      <c r="AD127" s="3333"/>
      <c r="AE127" s="65">
        <f>+'Exhibit H'!AD55</f>
        <v>1025.0999999999999</v>
      </c>
      <c r="AF127" s="1635"/>
      <c r="AG127" s="1635"/>
      <c r="AH127" s="1635">
        <f>ROUND(SUM(AB127-AE127),1)</f>
        <v>293.7</v>
      </c>
      <c r="AI127" s="3123"/>
      <c r="AJ127" s="1724">
        <f>ROUND(IF(AE127=0,0,AH127/ABS(AE127)),3)</f>
        <v>0.28699999999999998</v>
      </c>
    </row>
    <row r="128" spans="1:38" ht="16.5" customHeight="1">
      <c r="A128" s="530" t="s">
        <v>140</v>
      </c>
      <c r="B128" s="222"/>
      <c r="C128" s="522">
        <f>+'Exhibit G'!D103+'Exhibit I'!E84</f>
        <v>509.8</v>
      </c>
      <c r="D128" s="519"/>
      <c r="E128" s="522">
        <f>+'Exhibit G'!F103+'Exhibit I'!G84</f>
        <v>406</v>
      </c>
      <c r="F128" s="519"/>
      <c r="G128" s="522">
        <f>+'Exhibit G'!H103+'Exhibit I'!I84</f>
        <v>681.80000000000007</v>
      </c>
      <c r="H128" s="519"/>
      <c r="I128" s="522">
        <f>+'Exhibit G'!J103+'Exhibit I'!K84</f>
        <v>641.4000000000002</v>
      </c>
      <c r="J128" s="519"/>
      <c r="K128" s="522">
        <f>+'Exhibit G'!L103+'Exhibit I'!M84</f>
        <v>667.69999999999959</v>
      </c>
      <c r="L128" s="519"/>
      <c r="M128" s="522">
        <f>+'Exhibit G'!N103+'Exhibit I'!O84</f>
        <v>706.7</v>
      </c>
      <c r="N128" s="519"/>
      <c r="O128" s="3884">
        <f>+'Exhibit G'!P103+'Exhibit I'!Q84</f>
        <v>533.60000000000025</v>
      </c>
      <c r="P128" s="519"/>
      <c r="Q128" s="522"/>
      <c r="R128" s="519"/>
      <c r="S128" s="522"/>
      <c r="T128" s="519"/>
      <c r="U128" s="522"/>
      <c r="V128" s="519"/>
      <c r="W128" s="522"/>
      <c r="X128" s="519"/>
      <c r="Y128" s="522"/>
      <c r="Z128" s="519"/>
      <c r="AA128" s="520"/>
      <c r="AB128" s="3133">
        <f>ROUND(SUM(C128:Y128),1)</f>
        <v>4147</v>
      </c>
      <c r="AC128" s="1635"/>
      <c r="AD128" s="3333"/>
      <c r="AE128" s="3885">
        <f>+'Exhibit G'!AG103+'Exhibit I'!AI84</f>
        <v>4143</v>
      </c>
      <c r="AF128" s="1635"/>
      <c r="AG128" s="1635"/>
      <c r="AH128" s="3133">
        <f>ROUND(SUM(AB128-AE128),1)</f>
        <v>4</v>
      </c>
      <c r="AI128" s="3123"/>
      <c r="AJ128" s="3337">
        <f>ROUND(IF(AE128=0,0,AH128/ABS(AE128)),3)</f>
        <v>1E-3</v>
      </c>
    </row>
    <row r="129" spans="1:59" ht="16.5" customHeight="1">
      <c r="A129" s="222"/>
      <c r="B129" s="222"/>
      <c r="C129" s="527"/>
      <c r="D129" s="519"/>
      <c r="E129" s="527"/>
      <c r="F129" s="519"/>
      <c r="G129" s="527"/>
      <c r="H129" s="519"/>
      <c r="I129" s="527"/>
      <c r="J129" s="519"/>
      <c r="K129" s="527"/>
      <c r="L129" s="519"/>
      <c r="M129" s="527"/>
      <c r="N129" s="519"/>
      <c r="O129" s="2167"/>
      <c r="P129" s="519"/>
      <c r="Q129" s="2167"/>
      <c r="R129" s="519"/>
      <c r="S129" s="527"/>
      <c r="T129" s="519"/>
      <c r="U129" s="527"/>
      <c r="V129" s="519"/>
      <c r="W129" s="527"/>
      <c r="X129" s="519"/>
      <c r="Y129" s="527"/>
      <c r="Z129" s="519"/>
      <c r="AA129" s="520"/>
      <c r="AB129" s="2167"/>
      <c r="AC129" s="1635"/>
      <c r="AD129" s="3333"/>
      <c r="AE129" s="2167"/>
      <c r="AF129" s="1635"/>
      <c r="AG129" s="1635"/>
      <c r="AH129" s="2167"/>
      <c r="AI129" s="3123"/>
      <c r="AJ129" s="3341"/>
    </row>
    <row r="130" spans="1:59" ht="16.5" customHeight="1">
      <c r="A130" s="204" t="s">
        <v>57</v>
      </c>
      <c r="B130" s="222"/>
      <c r="C130" s="523">
        <f>ROUND(SUM(C121:C128),1)</f>
        <v>10895.3</v>
      </c>
      <c r="D130" s="524"/>
      <c r="E130" s="523">
        <f>ROUND(SUM(E121:E128),1)</f>
        <v>12656.9</v>
      </c>
      <c r="F130" s="524"/>
      <c r="G130" s="523">
        <f>ROUND(SUM(G121:G128),1)</f>
        <v>17199</v>
      </c>
      <c r="H130" s="524"/>
      <c r="I130" s="523">
        <f>ROUND(SUM(I121:I128),1)</f>
        <v>12213.9</v>
      </c>
      <c r="J130" s="524"/>
      <c r="K130" s="523">
        <f>ROUND(SUM(K121:K128),1)</f>
        <v>11303.1</v>
      </c>
      <c r="L130" s="524"/>
      <c r="M130" s="523">
        <f>ROUND(SUM(M121:M128),1)</f>
        <v>22920.400000000001</v>
      </c>
      <c r="N130" s="524"/>
      <c r="O130" s="2168">
        <f>ROUND(SUM(O121:O128),1)</f>
        <v>11530</v>
      </c>
      <c r="P130" s="524"/>
      <c r="Q130" s="2168">
        <f>ROUND(SUM(Q121:Q128),1)</f>
        <v>0</v>
      </c>
      <c r="R130" s="524"/>
      <c r="S130" s="523">
        <f>ROUND(SUM(S121:S128),1)</f>
        <v>0</v>
      </c>
      <c r="T130" s="524"/>
      <c r="U130" s="523">
        <f>ROUND(SUM(U121:U128),1)</f>
        <v>0</v>
      </c>
      <c r="V130" s="524"/>
      <c r="W130" s="523">
        <f>ROUND(SUM(W121:W128),1)</f>
        <v>0</v>
      </c>
      <c r="X130" s="524"/>
      <c r="Y130" s="523">
        <f>ROUND(SUM(Y121:Y128),1)</f>
        <v>0</v>
      </c>
      <c r="Z130" s="524"/>
      <c r="AA130" s="525"/>
      <c r="AB130" s="2168">
        <f>ROUND(SUM(AB121:AB128),1)</f>
        <v>98718.6</v>
      </c>
      <c r="AC130" s="3131"/>
      <c r="AD130" s="3340"/>
      <c r="AE130" s="2168">
        <f>ROUND(SUM(AE121:AE128),1)</f>
        <v>96770.1</v>
      </c>
      <c r="AF130" s="3131"/>
      <c r="AG130" s="3131"/>
      <c r="AH130" s="2168">
        <f>ROUND(SUM(AB130-AE130),1)</f>
        <v>1948.5</v>
      </c>
      <c r="AI130" s="3124"/>
      <c r="AJ130" s="3332">
        <f>ROUND(IF(AE130=0,0,AH130/ABS(AE130)),3)</f>
        <v>0.02</v>
      </c>
      <c r="AK130" s="3323"/>
      <c r="AL130" s="425"/>
      <c r="AM130" s="425"/>
      <c r="AN130" s="425"/>
      <c r="AO130" s="425"/>
      <c r="AP130" s="425"/>
      <c r="AQ130" s="425"/>
      <c r="AR130" s="425"/>
    </row>
    <row r="131" spans="1:59" ht="16.5" customHeight="1">
      <c r="A131" s="204"/>
      <c r="B131" s="222"/>
      <c r="C131" s="519"/>
      <c r="D131" s="519"/>
      <c r="E131" s="519"/>
      <c r="F131" s="519"/>
      <c r="G131" s="519"/>
      <c r="H131" s="519"/>
      <c r="I131" s="519"/>
      <c r="J131" s="519"/>
      <c r="K131" s="519"/>
      <c r="L131" s="519"/>
      <c r="M131" s="519"/>
      <c r="N131" s="519"/>
      <c r="O131" s="1635"/>
      <c r="P131" s="519"/>
      <c r="Q131" s="1635"/>
      <c r="R131" s="519"/>
      <c r="S131" s="519"/>
      <c r="T131" s="519"/>
      <c r="U131" s="519"/>
      <c r="V131" s="519"/>
      <c r="W131" s="519"/>
      <c r="X131" s="519"/>
      <c r="Y131" s="519"/>
      <c r="Z131" s="519"/>
      <c r="AA131" s="520"/>
      <c r="AB131" s="1635"/>
      <c r="AC131" s="1635"/>
      <c r="AD131" s="3333"/>
      <c r="AE131" s="1635"/>
      <c r="AF131" s="1635"/>
      <c r="AG131" s="1635"/>
      <c r="AH131" s="893"/>
      <c r="AI131" s="3123"/>
      <c r="AJ131" s="889"/>
    </row>
    <row r="132" spans="1:59" ht="16.5" customHeight="1">
      <c r="A132" s="204" t="s">
        <v>44</v>
      </c>
      <c r="B132" s="222"/>
      <c r="C132" s="519"/>
      <c r="D132" s="519"/>
      <c r="E132" s="519"/>
      <c r="F132" s="519"/>
      <c r="G132" s="519"/>
      <c r="H132" s="519"/>
      <c r="I132" s="519"/>
      <c r="J132" s="519"/>
      <c r="K132" s="519"/>
      <c r="L132" s="519"/>
      <c r="M132" s="519"/>
      <c r="N132" s="519"/>
      <c r="O132" s="1635"/>
      <c r="P132" s="519"/>
      <c r="Q132" s="1635"/>
      <c r="R132" s="519"/>
      <c r="S132" s="519"/>
      <c r="T132" s="519"/>
      <c r="U132" s="519"/>
      <c r="V132" s="519"/>
      <c r="W132" s="519"/>
      <c r="X132" s="519"/>
      <c r="Y132" s="519"/>
      <c r="Z132" s="519"/>
      <c r="AA132" s="520"/>
      <c r="AB132" s="1635"/>
      <c r="AC132" s="1635"/>
      <c r="AD132" s="3333"/>
      <c r="AE132" s="1635"/>
      <c r="AF132" s="1635"/>
      <c r="AG132" s="1635"/>
      <c r="AH132" s="893"/>
      <c r="AI132" s="3123"/>
      <c r="AJ132" s="889"/>
    </row>
    <row r="133" spans="1:59" ht="16.5" customHeight="1">
      <c r="A133" s="204" t="s">
        <v>45</v>
      </c>
      <c r="B133" s="222"/>
      <c r="C133" s="523">
        <f>ROUND(SUM(C107-C130),1)</f>
        <v>6263</v>
      </c>
      <c r="D133" s="524"/>
      <c r="E133" s="523">
        <f>ROUND(SUM(E107-E130),1)</f>
        <v>-2891.6</v>
      </c>
      <c r="F133" s="524"/>
      <c r="G133" s="523">
        <f>ROUND(SUM(G107-G130),1)</f>
        <v>3028.3</v>
      </c>
      <c r="H133" s="524"/>
      <c r="I133" s="523">
        <f>ROUND(SUM(I107-I130),1)</f>
        <v>7670.3</v>
      </c>
      <c r="J133" s="524"/>
      <c r="K133" s="523">
        <f>ROUND(SUM(K107-K130),1)</f>
        <v>-818.9</v>
      </c>
      <c r="L133" s="524"/>
      <c r="M133" s="523">
        <f>ROUND(SUM(M107-M130),1)</f>
        <v>-1537.6</v>
      </c>
      <c r="N133" s="524"/>
      <c r="O133" s="2168">
        <f>ROUND(SUM(O107-O130),1)</f>
        <v>3198.2</v>
      </c>
      <c r="P133" s="524"/>
      <c r="Q133" s="2168">
        <f>ROUND(SUM(Q107-Q130),1)</f>
        <v>0</v>
      </c>
      <c r="R133" s="524"/>
      <c r="S133" s="523">
        <f>ROUND(SUM(S107-S130),1)</f>
        <v>0</v>
      </c>
      <c r="T133" s="524"/>
      <c r="U133" s="523">
        <f>ROUND(SUM(U107-U130),1)</f>
        <v>0</v>
      </c>
      <c r="V133" s="524"/>
      <c r="W133" s="523">
        <f>ROUND(SUM(W107-W130),1)</f>
        <v>0</v>
      </c>
      <c r="X133" s="524"/>
      <c r="Y133" s="523">
        <f>ROUND(SUM(Y107-Y130),1)</f>
        <v>0</v>
      </c>
      <c r="Z133" s="524"/>
      <c r="AA133" s="525"/>
      <c r="AB133" s="2168">
        <f>ROUND(SUM(AB107-AB130),1)</f>
        <v>14911.7</v>
      </c>
      <c r="AC133" s="3131"/>
      <c r="AD133" s="3340"/>
      <c r="AE133" s="2168">
        <f>ROUND(SUM(AE107-AE130),1)</f>
        <v>4470.3</v>
      </c>
      <c r="AF133" s="3131"/>
      <c r="AG133" s="3131"/>
      <c r="AH133" s="3342">
        <f>ROUND(SUM(AB133-AE133),1)</f>
        <v>10441.4</v>
      </c>
      <c r="AI133" s="3124"/>
      <c r="AJ133" s="3343">
        <f>ROUND(IF(AE133=0,0,AH133/ABS(AE133)),3)</f>
        <v>2.3359999999999999</v>
      </c>
      <c r="AK133" s="3323"/>
      <c r="AL133" s="425"/>
    </row>
    <row r="134" spans="1:59" ht="16.5" customHeight="1">
      <c r="A134" s="162"/>
      <c r="B134" s="222"/>
      <c r="C134" s="526"/>
      <c r="D134" s="519"/>
      <c r="E134" s="3134"/>
      <c r="F134" s="519"/>
      <c r="G134" s="526"/>
      <c r="H134" s="519"/>
      <c r="I134" s="526"/>
      <c r="J134" s="519"/>
      <c r="K134" s="526"/>
      <c r="L134" s="519"/>
      <c r="M134" s="526"/>
      <c r="N134" s="519"/>
      <c r="O134" s="3134"/>
      <c r="P134" s="519"/>
      <c r="Q134" s="3134"/>
      <c r="R134" s="519"/>
      <c r="S134" s="526"/>
      <c r="T134" s="519"/>
      <c r="U134" s="526"/>
      <c r="V134" s="519"/>
      <c r="W134" s="3134"/>
      <c r="X134" s="519"/>
      <c r="Y134" s="526"/>
      <c r="Z134" s="528"/>
      <c r="AA134" s="520"/>
      <c r="AB134" s="3134"/>
      <c r="AC134" s="1635"/>
      <c r="AD134" s="3333"/>
      <c r="AE134" s="3134"/>
      <c r="AF134" s="1635"/>
      <c r="AG134" s="1635"/>
      <c r="AH134" s="893"/>
      <c r="AI134" s="3123"/>
      <c r="AJ134" s="889"/>
    </row>
    <row r="135" spans="1:59" ht="16.5" customHeight="1">
      <c r="A135" s="204" t="s">
        <v>46</v>
      </c>
      <c r="B135" s="222"/>
      <c r="C135" s="2167"/>
      <c r="D135" s="519"/>
      <c r="E135" s="2167"/>
      <c r="F135" s="533"/>
      <c r="G135" s="2167"/>
      <c r="H135" s="533"/>
      <c r="I135" s="532"/>
      <c r="J135" s="533"/>
      <c r="K135" s="532"/>
      <c r="L135" s="533"/>
      <c r="M135" s="532"/>
      <c r="N135" s="533"/>
      <c r="O135" s="3412"/>
      <c r="P135" s="2159"/>
      <c r="Q135" s="3412"/>
      <c r="R135" s="533"/>
      <c r="S135" s="3412"/>
      <c r="T135" s="533"/>
      <c r="U135" s="532"/>
      <c r="V135" s="519"/>
      <c r="W135" s="3412"/>
      <c r="X135" s="519"/>
      <c r="Y135" s="532"/>
      <c r="Z135" s="521"/>
      <c r="AA135" s="520"/>
      <c r="AB135" s="2167"/>
      <c r="AC135" s="3135"/>
      <c r="AD135" s="1635"/>
      <c r="AE135" s="2167"/>
      <c r="AF135" s="1635"/>
      <c r="AG135" s="1635"/>
      <c r="AH135" s="893"/>
      <c r="AI135" s="3123"/>
      <c r="AJ135" s="889"/>
    </row>
    <row r="136" spans="1:59" ht="16.5" customHeight="1">
      <c r="A136" s="222" t="s">
        <v>1484</v>
      </c>
      <c r="B136" s="222"/>
      <c r="C136" s="2158">
        <v>0</v>
      </c>
      <c r="D136" s="1635"/>
      <c r="E136" s="2158">
        <v>0</v>
      </c>
      <c r="F136" s="2159"/>
      <c r="G136" s="2158">
        <v>0</v>
      </c>
      <c r="H136" s="2159"/>
      <c r="I136" s="2158">
        <v>0</v>
      </c>
      <c r="J136" s="2159"/>
      <c r="K136" s="2158">
        <v>0</v>
      </c>
      <c r="L136" s="2159"/>
      <c r="M136" s="2158">
        <v>0</v>
      </c>
      <c r="N136" s="2159"/>
      <c r="O136" s="2158">
        <v>0</v>
      </c>
      <c r="P136" s="2159"/>
      <c r="Q136" s="2158"/>
      <c r="R136" s="2159"/>
      <c r="S136" s="2158"/>
      <c r="T136" s="2159"/>
      <c r="U136" s="2158"/>
      <c r="V136" s="1635"/>
      <c r="W136" s="2158"/>
      <c r="X136" s="1635"/>
      <c r="Y136" s="2158" t="s">
        <v>15</v>
      </c>
      <c r="Z136" s="1635"/>
      <c r="AA136" s="3450"/>
      <c r="AB136" s="1635">
        <f>ROUND(SUM(C136:Y136),1)</f>
        <v>0</v>
      </c>
      <c r="AC136" s="1635"/>
      <c r="AD136" s="3333"/>
      <c r="AE136" s="1635">
        <f>+'Exhibit A'!AD48</f>
        <v>0</v>
      </c>
      <c r="AF136" s="1635"/>
      <c r="AG136" s="1635"/>
      <c r="AH136" s="1635">
        <f>ROUND(SUM(AB136-AE136),1)</f>
        <v>0</v>
      </c>
      <c r="AI136" s="3344"/>
      <c r="AJ136" s="1723">
        <f>ROUND(IF(AE136=0,0,AH136/ABS(AE136)),3)</f>
        <v>0</v>
      </c>
    </row>
    <row r="137" spans="1:59" ht="16.5" customHeight="1">
      <c r="A137" s="222" t="s">
        <v>47</v>
      </c>
      <c r="B137" s="222"/>
      <c r="C137" s="2158">
        <v>1063.0999999999999</v>
      </c>
      <c r="D137" s="1635"/>
      <c r="E137" s="2158">
        <v>1858.4</v>
      </c>
      <c r="F137" s="1635"/>
      <c r="G137" s="2158">
        <v>4185.8999999999996</v>
      </c>
      <c r="H137" s="1635"/>
      <c r="I137" s="2158">
        <v>5857.2</v>
      </c>
      <c r="J137" s="1635"/>
      <c r="K137" s="2158">
        <v>1882.7</v>
      </c>
      <c r="L137" s="1635"/>
      <c r="M137" s="2158">
        <v>3319.7</v>
      </c>
      <c r="N137" s="1635"/>
      <c r="O137" s="2158">
        <f>'Exhibit A'!$V49</f>
        <v>1882.5</v>
      </c>
      <c r="P137" s="1635"/>
      <c r="Q137" s="2158"/>
      <c r="R137" s="1635"/>
      <c r="S137" s="2158"/>
      <c r="T137" s="1635"/>
      <c r="U137" s="2158"/>
      <c r="V137" s="1635"/>
      <c r="W137" s="2158"/>
      <c r="X137" s="1635"/>
      <c r="Y137" s="2158" t="s">
        <v>15</v>
      </c>
      <c r="Z137" s="1635"/>
      <c r="AA137" s="3450"/>
      <c r="AB137" s="1635">
        <f>ROUND(SUM(C137:Y137),1)</f>
        <v>20049.5</v>
      </c>
      <c r="AC137" s="1635"/>
      <c r="AD137" s="3450"/>
      <c r="AE137" s="1635">
        <f>+'Exhibit A'!AD49</f>
        <v>26288.100000000006</v>
      </c>
      <c r="AF137" s="1635"/>
      <c r="AG137" s="1635"/>
      <c r="AH137" s="1635">
        <f>ROUND(SUM(AB137-AE137),1)</f>
        <v>-6238.6</v>
      </c>
      <c r="AI137" s="3123"/>
      <c r="AJ137" s="1723">
        <f>ROUND(IF(AE137=0,0,AH137/ABS(AE137)),3)</f>
        <v>-0.23699999999999999</v>
      </c>
    </row>
    <row r="138" spans="1:59" ht="16.5" customHeight="1">
      <c r="A138" s="222" t="s">
        <v>48</v>
      </c>
      <c r="C138" s="3536">
        <v>-1066.5</v>
      </c>
      <c r="D138" s="53"/>
      <c r="E138" s="3536">
        <v>-1860.9</v>
      </c>
      <c r="F138" s="275"/>
      <c r="G138" s="3536">
        <v>-4240.8999999999996</v>
      </c>
      <c r="H138" s="275"/>
      <c r="I138" s="3536">
        <v>-5863.1</v>
      </c>
      <c r="J138" s="275"/>
      <c r="K138" s="3536">
        <v>-1894.6</v>
      </c>
      <c r="L138" s="275"/>
      <c r="M138" s="3536">
        <v>-3438.8</v>
      </c>
      <c r="N138" s="275"/>
      <c r="O138" s="3536">
        <f>'Exhibit A'!$V50</f>
        <v>-1889.4</v>
      </c>
      <c r="P138" s="275"/>
      <c r="Q138" s="3536"/>
      <c r="R138" s="275"/>
      <c r="S138" s="3536"/>
      <c r="T138" s="275"/>
      <c r="U138" s="3536"/>
      <c r="V138" s="275"/>
      <c r="W138" s="3536"/>
      <c r="X138" s="275"/>
      <c r="Y138" s="3536" t="s">
        <v>15</v>
      </c>
      <c r="Z138" s="275"/>
      <c r="AA138" s="3345"/>
      <c r="AB138" s="3133">
        <f>ROUND(SUM(C138:Y138),1)</f>
        <v>-20254.2</v>
      </c>
      <c r="AC138" s="275"/>
      <c r="AD138" s="3345"/>
      <c r="AE138" s="3133">
        <f>+'Exhibit A'!AD50</f>
        <v>-26393.4</v>
      </c>
      <c r="AF138" s="275"/>
      <c r="AG138" s="275"/>
      <c r="AH138" s="3133">
        <f>ROUND(SUM(-AB138+AE138),1)</f>
        <v>-6139.2</v>
      </c>
      <c r="AI138" s="889"/>
      <c r="AJ138" s="1811">
        <f>ROUND(IF(AE138=0,0,AH138/ABS(AE138)),3)</f>
        <v>-0.23300000000000001</v>
      </c>
      <c r="AK138" s="3346"/>
    </row>
    <row r="139" spans="1:59" ht="16.5" customHeight="1">
      <c r="A139" s="222"/>
      <c r="C139" s="2167"/>
      <c r="D139" s="53"/>
      <c r="E139" s="2167"/>
      <c r="F139" s="53"/>
      <c r="G139" s="527"/>
      <c r="H139" s="53"/>
      <c r="I139" s="527"/>
      <c r="J139" s="53"/>
      <c r="K139" s="527"/>
      <c r="L139" s="53"/>
      <c r="M139" s="527"/>
      <c r="N139" s="53"/>
      <c r="O139" s="2167"/>
      <c r="P139" s="275"/>
      <c r="Q139" s="2167"/>
      <c r="R139" s="53"/>
      <c r="S139" s="2167"/>
      <c r="T139" s="275"/>
      <c r="U139" s="527"/>
      <c r="V139" s="53"/>
      <c r="W139" s="527"/>
      <c r="X139" s="53"/>
      <c r="Y139" s="527"/>
      <c r="Z139" s="53"/>
      <c r="AA139" s="534"/>
      <c r="AB139" s="2167"/>
      <c r="AC139" s="275"/>
      <c r="AD139" s="3345"/>
      <c r="AE139" s="2167"/>
      <c r="AF139" s="275"/>
      <c r="AG139" s="275"/>
      <c r="AH139" s="2167"/>
      <c r="AI139" s="889"/>
      <c r="AJ139" s="3341"/>
    </row>
    <row r="140" spans="1:59" ht="16.5" customHeight="1">
      <c r="A140" s="204" t="s">
        <v>49</v>
      </c>
      <c r="C140" s="2168">
        <f>ROUND(SUM(C136:C138),1)</f>
        <v>-3.4</v>
      </c>
      <c r="D140" s="535"/>
      <c r="E140" s="523">
        <f>ROUND(SUM(E136:E138),1)</f>
        <v>-2.5</v>
      </c>
      <c r="F140" s="535"/>
      <c r="G140" s="523">
        <f>ROUND(SUM(G136:G138),1)</f>
        <v>-55</v>
      </c>
      <c r="H140" s="535"/>
      <c r="I140" s="523">
        <f>ROUND(SUM(I136:I138),1)</f>
        <v>-5.9</v>
      </c>
      <c r="J140" s="535"/>
      <c r="K140" s="523">
        <f>ROUND(SUM(K136:K138),1)</f>
        <v>-11.9</v>
      </c>
      <c r="L140" s="535"/>
      <c r="M140" s="523">
        <f>ROUND(SUM(M136:M138),1)</f>
        <v>-119.1</v>
      </c>
      <c r="N140" s="535"/>
      <c r="O140" s="2168">
        <f>ROUND(SUM(O136:O138),1)</f>
        <v>-6.9</v>
      </c>
      <c r="P140" s="535"/>
      <c r="Q140" s="2168">
        <f>ROUND(SUM(Q136:Q138),1)</f>
        <v>0</v>
      </c>
      <c r="R140" s="535"/>
      <c r="S140" s="523">
        <f>ROUND(SUM(S136:S138),1)</f>
        <v>0</v>
      </c>
      <c r="T140" s="535"/>
      <c r="U140" s="523">
        <f>ROUND(SUM(U136:U138),1)</f>
        <v>0</v>
      </c>
      <c r="V140" s="535"/>
      <c r="W140" s="523">
        <f>ROUND(SUM(W136:W138),1)</f>
        <v>0</v>
      </c>
      <c r="X140" s="535"/>
      <c r="Y140" s="523">
        <f>ROUND(SUM(Y136:Y138),1)</f>
        <v>0</v>
      </c>
      <c r="Z140" s="535"/>
      <c r="AA140" s="536"/>
      <c r="AB140" s="2168">
        <f>ROUND(SUM(AB136:AB139),1)</f>
        <v>-204.7</v>
      </c>
      <c r="AC140" s="3138"/>
      <c r="AD140" s="3347"/>
      <c r="AE140" s="2168">
        <f>SUM(AE136:AE139)</f>
        <v>-105.29999999999563</v>
      </c>
      <c r="AF140" s="3138"/>
      <c r="AG140" s="3138"/>
      <c r="AH140" s="2168">
        <f>ROUND(SUM(+AH137-AH138+AH136),1)</f>
        <v>-99.4</v>
      </c>
      <c r="AI140" s="252"/>
      <c r="AJ140" s="3343">
        <f>ROUND(IF(AE140=0,0,AH140/ABS(AE140)),3)</f>
        <v>-0.94399999999999995</v>
      </c>
      <c r="AK140" s="3323"/>
      <c r="AL140" s="425" t="s">
        <v>15</v>
      </c>
    </row>
    <row r="141" spans="1:59" ht="16.5" customHeight="1">
      <c r="A141" s="162"/>
      <c r="C141" s="53"/>
      <c r="D141" s="53"/>
      <c r="E141" s="53"/>
      <c r="F141" s="53"/>
      <c r="G141" s="53"/>
      <c r="H141" s="53"/>
      <c r="I141" s="53"/>
      <c r="J141" s="53"/>
      <c r="K141" s="53"/>
      <c r="L141" s="53"/>
      <c r="M141" s="53"/>
      <c r="N141" s="53"/>
      <c r="O141" s="275"/>
      <c r="P141" s="53"/>
      <c r="Q141" s="275"/>
      <c r="R141" s="53"/>
      <c r="S141" s="53"/>
      <c r="T141" s="53"/>
      <c r="U141" s="53"/>
      <c r="V141" s="53"/>
      <c r="W141" s="53"/>
      <c r="X141" s="53"/>
      <c r="Y141" s="53"/>
      <c r="Z141" s="53"/>
      <c r="AA141" s="534"/>
      <c r="AB141" s="275"/>
      <c r="AC141" s="275"/>
      <c r="AD141" s="3345"/>
      <c r="AE141" s="275"/>
      <c r="AF141" s="275"/>
      <c r="AG141" s="275"/>
      <c r="AH141" s="893"/>
      <c r="AI141" s="889"/>
      <c r="AJ141" s="889"/>
    </row>
    <row r="142" spans="1:59" ht="16.5" customHeight="1">
      <c r="A142" s="252" t="s">
        <v>44</v>
      </c>
      <c r="C142" s="527"/>
      <c r="D142" s="53"/>
      <c r="E142" s="527"/>
      <c r="F142" s="53"/>
      <c r="G142" s="527"/>
      <c r="H142" s="53"/>
      <c r="I142" s="527"/>
      <c r="J142" s="53"/>
      <c r="K142" s="527"/>
      <c r="L142" s="53"/>
      <c r="M142" s="527"/>
      <c r="N142" s="53"/>
      <c r="O142" s="2167"/>
      <c r="P142" s="53"/>
      <c r="Q142" s="2167"/>
      <c r="R142" s="53"/>
      <c r="S142" s="527"/>
      <c r="T142" s="53"/>
      <c r="U142" s="527"/>
      <c r="V142" s="53"/>
      <c r="W142" s="527"/>
      <c r="X142" s="53"/>
      <c r="Y142" s="527"/>
      <c r="Z142" s="53"/>
      <c r="AA142" s="534"/>
      <c r="AB142" s="2167"/>
      <c r="AC142" s="275"/>
      <c r="AD142" s="3345"/>
      <c r="AE142" s="2167"/>
      <c r="AF142" s="275"/>
      <c r="AG142" s="275"/>
      <c r="AH142" s="893"/>
      <c r="AI142" s="889"/>
      <c r="AJ142" s="889"/>
    </row>
    <row r="143" spans="1:59" ht="16.5" customHeight="1">
      <c r="A143" s="252" t="s">
        <v>50</v>
      </c>
      <c r="C143" s="524"/>
      <c r="D143" s="535"/>
      <c r="E143" s="524"/>
      <c r="F143" s="535"/>
      <c r="G143" s="524"/>
      <c r="H143" s="535"/>
      <c r="I143" s="524"/>
      <c r="J143" s="535"/>
      <c r="K143" s="524"/>
      <c r="L143" s="535"/>
      <c r="M143" s="524"/>
      <c r="N143" s="535"/>
      <c r="O143" s="3131"/>
      <c r="P143" s="535"/>
      <c r="Q143" s="3131"/>
      <c r="R143" s="535"/>
      <c r="S143" s="524"/>
      <c r="T143" s="535"/>
      <c r="U143" s="524"/>
      <c r="V143" s="535"/>
      <c r="W143" s="524"/>
      <c r="X143" s="535"/>
      <c r="Y143" s="524"/>
      <c r="Z143" s="535"/>
      <c r="AA143" s="536"/>
      <c r="AB143" s="3131"/>
      <c r="AC143" s="3138"/>
      <c r="AD143" s="3347"/>
      <c r="AE143" s="3131"/>
      <c r="AF143" s="3138"/>
      <c r="AG143" s="3138"/>
      <c r="AH143" s="109"/>
      <c r="AI143" s="252"/>
      <c r="AJ143" s="252"/>
      <c r="AK143" s="3323"/>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row>
    <row r="144" spans="1:59" ht="16.5" customHeight="1">
      <c r="A144" s="252" t="s">
        <v>51</v>
      </c>
      <c r="C144" s="537">
        <f>ROUND(SUM(C133+C140),1)</f>
        <v>6259.6</v>
      </c>
      <c r="D144" s="535"/>
      <c r="E144" s="537">
        <f>ROUND(SUM(E133+E140),1)</f>
        <v>-2894.1</v>
      </c>
      <c r="F144" s="535"/>
      <c r="G144" s="537">
        <f>ROUND(SUM(G133+G140),1)</f>
        <v>2973.3</v>
      </c>
      <c r="H144" s="535"/>
      <c r="I144" s="537">
        <f>ROUND(SUM(I133+I140),1)</f>
        <v>7664.4</v>
      </c>
      <c r="J144" s="535"/>
      <c r="K144" s="537">
        <f>ROUND(SUM(K133+K140),1)</f>
        <v>-830.8</v>
      </c>
      <c r="L144" s="535"/>
      <c r="M144" s="537">
        <f>ROUND(SUM(M133+M140),1)</f>
        <v>-1656.7</v>
      </c>
      <c r="N144" s="535"/>
      <c r="O144" s="3139">
        <f>ROUND(SUM(O133+O140),1)</f>
        <v>3191.3</v>
      </c>
      <c r="P144" s="535"/>
      <c r="Q144" s="3139">
        <f>ROUND(SUM(Q133+Q140),1)</f>
        <v>0</v>
      </c>
      <c r="R144" s="535"/>
      <c r="S144" s="537">
        <f>ROUND(SUM(S133+S140),1)</f>
        <v>0</v>
      </c>
      <c r="T144" s="535"/>
      <c r="U144" s="537">
        <f>ROUND(SUM(U133+U140),1)</f>
        <v>0</v>
      </c>
      <c r="V144" s="535"/>
      <c r="W144" s="537">
        <f>ROUND(SUM(W133+W140),1)</f>
        <v>0</v>
      </c>
      <c r="X144" s="535"/>
      <c r="Y144" s="537">
        <f>ROUND(SUM(Y133+Y140),1)</f>
        <v>0</v>
      </c>
      <c r="Z144" s="535"/>
      <c r="AA144" s="536"/>
      <c r="AB144" s="3139">
        <f>ROUND(SUM(AB133+AB140),1)</f>
        <v>14707</v>
      </c>
      <c r="AC144" s="3138"/>
      <c r="AD144" s="3347"/>
      <c r="AE144" s="3139">
        <f>AE133+AE140</f>
        <v>4365.0000000000045</v>
      </c>
      <c r="AF144" s="3138"/>
      <c r="AG144" s="3138"/>
      <c r="AH144" s="3342">
        <f>ROUND(SUM(AB144-AE144),1)</f>
        <v>10342</v>
      </c>
      <c r="AI144" s="252"/>
      <c r="AJ144" s="3343">
        <f>ROUND(IF(AE144=0,0,AH144/ABS(AE144)),3)</f>
        <v>2.3690000000000002</v>
      </c>
      <c r="AK144" s="3323"/>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row>
    <row r="145" spans="1:37" ht="16.5" customHeight="1">
      <c r="A145" s="204"/>
      <c r="C145" s="514"/>
      <c r="E145" s="514"/>
      <c r="G145" s="514"/>
      <c r="I145" s="514"/>
      <c r="K145" s="514"/>
      <c r="M145" s="514"/>
      <c r="O145" s="3127"/>
      <c r="Q145" s="3127"/>
      <c r="S145" s="514"/>
      <c r="U145" s="514"/>
      <c r="W145" s="514"/>
      <c r="Y145" s="514"/>
      <c r="AA145" s="538"/>
      <c r="AB145" s="3127"/>
      <c r="AD145" s="3348"/>
      <c r="AE145" s="3127"/>
      <c r="AH145" s="889"/>
      <c r="AI145" s="889"/>
      <c r="AJ145" s="889"/>
    </row>
    <row r="146" spans="1:37" ht="16.5" customHeight="1" thickBot="1">
      <c r="A146" s="539" t="s">
        <v>141</v>
      </c>
      <c r="C146" s="540">
        <f>ROUND(SUM(C16+C144),1)</f>
        <v>20544.400000000001</v>
      </c>
      <c r="D146" s="248"/>
      <c r="E146" s="540">
        <f>ROUND(SUM(E16+E144),1)</f>
        <v>17650.3</v>
      </c>
      <c r="F146" s="248"/>
      <c r="G146" s="540">
        <f>ROUND(SUM(G16+G144),1)</f>
        <v>20623.599999999999</v>
      </c>
      <c r="H146" s="248"/>
      <c r="I146" s="540">
        <f>ROUND(SUM(I16+I144),1)</f>
        <v>28288</v>
      </c>
      <c r="J146" s="541"/>
      <c r="K146" s="540">
        <f>ROUND(SUM(K16+K144),1)</f>
        <v>27457.200000000001</v>
      </c>
      <c r="L146" s="541"/>
      <c r="M146" s="540">
        <f>ROUND(SUM(M16+M144),1)</f>
        <v>25800.5</v>
      </c>
      <c r="N146" s="541"/>
      <c r="O146" s="3140">
        <f>ROUND(SUM(O16+O144),1)</f>
        <v>28991.8</v>
      </c>
      <c r="P146" s="541"/>
      <c r="Q146" s="3140">
        <f>ROUND(SUM(Q16+Q144),1)</f>
        <v>0</v>
      </c>
      <c r="R146" s="541"/>
      <c r="S146" s="540">
        <f>ROUND(SUM(S16+S144),1)</f>
        <v>0</v>
      </c>
      <c r="T146" s="541"/>
      <c r="U146" s="540">
        <f>ROUND(SUM(U16+U144),1)</f>
        <v>0</v>
      </c>
      <c r="V146" s="541"/>
      <c r="W146" s="540">
        <f>ROUND(SUM(W16+W144),1)</f>
        <v>0</v>
      </c>
      <c r="X146" s="541"/>
      <c r="Y146" s="540">
        <f>ROUND(SUM(Y16+Y144),1)</f>
        <v>0</v>
      </c>
      <c r="Z146" s="248"/>
      <c r="AA146" s="542"/>
      <c r="AB146" s="3140">
        <f>ROUND(SUM(AB16+AB144),1)</f>
        <v>28991.8</v>
      </c>
      <c r="AC146" s="3141"/>
      <c r="AD146" s="3349"/>
      <c r="AE146" s="3140">
        <f>AE16+AE144</f>
        <v>14340.000000000004</v>
      </c>
      <c r="AF146" s="3141"/>
      <c r="AG146" s="3141"/>
      <c r="AH146" s="3140">
        <f>ROUND(SUM(AB146-AE146),1)</f>
        <v>14651.8</v>
      </c>
      <c r="AI146" s="252"/>
      <c r="AJ146" s="3350">
        <f>ROUND(IF(AE146=0,0,AH146/ABS(AE146)),3)</f>
        <v>1.022</v>
      </c>
      <c r="AK146" s="3323"/>
    </row>
    <row r="147" spans="1:37" ht="16.5" customHeight="1" thickTop="1">
      <c r="A147" s="543"/>
      <c r="C147" s="210"/>
      <c r="AH147" s="889"/>
      <c r="AI147" s="889"/>
      <c r="AJ147" s="889"/>
    </row>
    <row r="148" spans="1:37" ht="16.5" customHeight="1">
      <c r="A148" s="353" t="s">
        <v>142</v>
      </c>
      <c r="AH148" s="889"/>
      <c r="AI148" s="889"/>
      <c r="AJ148" s="889"/>
    </row>
    <row r="149" spans="1:37" ht="16.5" customHeight="1">
      <c r="A149" s="30"/>
      <c r="AH149" s="889"/>
      <c r="AI149" s="889"/>
      <c r="AJ149" s="889"/>
    </row>
    <row r="150" spans="1:37" ht="16.5" customHeight="1">
      <c r="A150" s="30"/>
      <c r="AH150" s="889"/>
      <c r="AI150" s="889"/>
      <c r="AJ150" s="889"/>
    </row>
    <row r="151" spans="1:37" ht="16.5" customHeight="1">
      <c r="A151" s="30"/>
      <c r="AH151" s="889"/>
      <c r="AI151" s="889"/>
      <c r="AJ151" s="889"/>
    </row>
    <row r="152" spans="1:37" ht="16.5" customHeight="1">
      <c r="AH152" s="889"/>
      <c r="AI152" s="889"/>
      <c r="AJ152" s="889"/>
    </row>
    <row r="153" spans="1:37" ht="16.5" customHeight="1">
      <c r="AH153" s="889"/>
      <c r="AI153" s="889"/>
      <c r="AJ153" s="889"/>
    </row>
    <row r="154" spans="1:37" ht="16.5" customHeight="1">
      <c r="AH154" s="889"/>
      <c r="AI154" s="889"/>
      <c r="AJ154" s="889"/>
    </row>
    <row r="155" spans="1:37" ht="16.5" customHeight="1">
      <c r="AH155" s="889"/>
      <c r="AI155" s="889"/>
      <c r="AJ155" s="889"/>
    </row>
    <row r="156" spans="1:37" ht="16.5" customHeight="1">
      <c r="AH156" s="889"/>
      <c r="AI156" s="889"/>
      <c r="AJ156" s="889"/>
    </row>
    <row r="157" spans="1:37" ht="16.5" customHeight="1">
      <c r="AH157" s="889"/>
      <c r="AI157" s="889"/>
      <c r="AJ157" s="889"/>
    </row>
    <row r="158" spans="1:37" ht="16.5" customHeight="1">
      <c r="AH158" s="889"/>
      <c r="AI158" s="889"/>
      <c r="AJ158" s="889"/>
    </row>
    <row r="159" spans="1:37" ht="16.5" customHeight="1">
      <c r="AH159" s="889"/>
      <c r="AI159" s="889"/>
      <c r="AJ159" s="889"/>
    </row>
    <row r="160" spans="1:37" ht="16.5" customHeight="1">
      <c r="AH160" s="889"/>
      <c r="AI160" s="889"/>
      <c r="AJ160" s="889"/>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4 AJ137:AJ146 AJ86:AJ91 AJ94:AJ135 AJ29:AJ34 AJ21:AJ27 AJ41:AJ54 AJ36:AJ38 AJ75:AJ83" unlockedFormula="1"/>
    <ignoredError sqref="AH26 AH35:AI35 AH24:AH25 AH93:AI93 AJ55"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69140625" defaultRowHeight="16.5" customHeight="1"/>
  <cols>
    <col min="1" max="1" width="43" style="2752" customWidth="1"/>
    <col min="2" max="2" width="1.69140625" style="2752" customWidth="1"/>
    <col min="3" max="3" width="13.07421875" style="2752" customWidth="1"/>
    <col min="4" max="4" width="1.69140625" style="2752" customWidth="1"/>
    <col min="5" max="5" width="13.07421875" style="2752" customWidth="1"/>
    <col min="6" max="6" width="1.69140625" style="2752" customWidth="1"/>
    <col min="7" max="7" width="13.53515625" style="2752" customWidth="1"/>
    <col min="8" max="8" width="1.69140625" style="2752" customWidth="1"/>
    <col min="9" max="9" width="13.69140625" style="2752" customWidth="1"/>
    <col min="10" max="10" width="1.69140625" style="2752" customWidth="1"/>
    <col min="11" max="11" width="14.53515625" style="2752" customWidth="1"/>
    <col min="12" max="12" width="1.69140625" style="2752" customWidth="1"/>
    <col min="13" max="13" width="13.07421875" style="2752" customWidth="1"/>
    <col min="14" max="14" width="1.69140625" style="2752" customWidth="1"/>
    <col min="15" max="15" width="14.07421875" style="1989" customWidth="1"/>
    <col min="16" max="16" width="1.69140625" style="2752" customWidth="1"/>
    <col min="17" max="17" width="13.07421875" style="2752" customWidth="1"/>
    <col min="18" max="18" width="1.69140625" style="2752" customWidth="1"/>
    <col min="19" max="19" width="13.69140625" style="2752" customWidth="1"/>
    <col min="20" max="20" width="1.69140625" style="2752" customWidth="1"/>
    <col min="21" max="21" width="13" style="2752" customWidth="1"/>
    <col min="22" max="22" width="1.69140625" style="2752" customWidth="1"/>
    <col min="23" max="23" width="13.07421875" style="2752" customWidth="1"/>
    <col min="24" max="24" width="1.69140625" style="2752" customWidth="1"/>
    <col min="25" max="25" width="13.07421875" style="2752" customWidth="1"/>
    <col min="26" max="27" width="1.69140625" style="2752" customWidth="1"/>
    <col min="28" max="28" width="15" style="1989" customWidth="1"/>
    <col min="29" max="30" width="1.69140625" style="1989" customWidth="1"/>
    <col min="31" max="31" width="12.07421875" style="1989" customWidth="1"/>
    <col min="32" max="33" width="1.69140625" style="1989" customWidth="1"/>
    <col min="34" max="34" width="12.69140625" style="1989" bestFit="1" customWidth="1"/>
    <col min="35" max="35" width="1" style="1989" customWidth="1"/>
    <col min="36" max="36" width="12.07421875" style="1989" bestFit="1" customWidth="1"/>
    <col min="37" max="16384" width="8.69140625" style="2752"/>
  </cols>
  <sheetData>
    <row r="1" spans="1:37" ht="15.5">
      <c r="A1" s="2751" t="s">
        <v>963</v>
      </c>
    </row>
    <row r="2" spans="1:37" ht="15.5">
      <c r="A2" s="1431"/>
    </row>
    <row r="3" spans="1:37" ht="23">
      <c r="A3" s="2753" t="s">
        <v>0</v>
      </c>
      <c r="B3" s="1438"/>
      <c r="C3" s="1438"/>
      <c r="D3" s="1438"/>
      <c r="E3" s="1438"/>
      <c r="F3" s="1438"/>
      <c r="G3" s="1438"/>
      <c r="H3" s="1438"/>
      <c r="I3" s="1438"/>
      <c r="J3" s="1438"/>
      <c r="K3" s="1438"/>
      <c r="L3" s="1438"/>
      <c r="M3" s="1438"/>
      <c r="N3" s="1438"/>
      <c r="O3" s="3101"/>
      <c r="P3" s="1438"/>
      <c r="Q3" s="1438"/>
      <c r="R3" s="1438"/>
      <c r="S3" s="1438"/>
      <c r="T3" s="1438"/>
      <c r="U3" s="1438"/>
      <c r="V3" s="1438"/>
      <c r="W3" s="1438"/>
      <c r="X3" s="1438"/>
      <c r="Y3" s="1438"/>
      <c r="Z3" s="1438"/>
      <c r="AA3" s="1438"/>
      <c r="AB3" s="3101"/>
      <c r="AC3" s="3101"/>
      <c r="AD3" s="3101"/>
      <c r="AE3" s="3101"/>
      <c r="AF3" s="3101"/>
      <c r="AG3" s="3101"/>
      <c r="AI3" s="3101"/>
    </row>
    <row r="4" spans="1:37" ht="23">
      <c r="A4" s="2753" t="s">
        <v>1160</v>
      </c>
      <c r="B4" s="1438"/>
      <c r="C4" s="1438"/>
      <c r="D4" s="1438"/>
      <c r="E4" s="1438"/>
      <c r="F4" s="1438"/>
      <c r="G4" s="1438"/>
      <c r="H4" s="1438"/>
      <c r="I4" s="1438" t="s">
        <v>15</v>
      </c>
      <c r="J4" s="1438"/>
      <c r="K4" s="1438"/>
      <c r="L4" s="1438"/>
      <c r="M4" s="1438"/>
      <c r="N4" s="1438"/>
      <c r="O4" s="3101"/>
      <c r="P4" s="1438"/>
      <c r="Q4" s="1438"/>
      <c r="R4" s="1438"/>
      <c r="S4" s="1438"/>
      <c r="T4" s="1438"/>
      <c r="U4" s="1438"/>
      <c r="V4" s="1438"/>
      <c r="W4" s="1438"/>
      <c r="X4" s="1438"/>
      <c r="Y4" s="1438" t="s">
        <v>15</v>
      </c>
      <c r="Z4" s="1438"/>
      <c r="AA4" s="1438"/>
      <c r="AB4" s="3101"/>
      <c r="AC4" s="3101"/>
      <c r="AD4" s="3101"/>
      <c r="AE4" s="3101"/>
      <c r="AF4" s="3101"/>
      <c r="AG4" s="3101"/>
      <c r="AI4" s="3101"/>
    </row>
    <row r="5" spans="1:37" ht="23.25" customHeight="1">
      <c r="A5" s="2754" t="s">
        <v>1161</v>
      </c>
      <c r="B5" s="1438"/>
      <c r="C5" s="1438"/>
      <c r="D5" s="1438"/>
      <c r="E5" s="1438"/>
      <c r="F5" s="1438"/>
      <c r="G5" s="1438"/>
      <c r="H5" s="1438"/>
      <c r="I5" s="1438"/>
      <c r="J5" s="1438"/>
      <c r="K5" s="1438"/>
      <c r="L5" s="1438"/>
      <c r="M5" s="1438"/>
      <c r="N5" s="1438"/>
      <c r="O5" s="3101"/>
      <c r="P5" s="1438"/>
      <c r="Q5" s="1438"/>
      <c r="R5" s="1438"/>
      <c r="S5" s="1438"/>
      <c r="T5" s="1438"/>
      <c r="U5" s="1438"/>
      <c r="V5" s="1438"/>
      <c r="W5" s="1438"/>
      <c r="X5" s="1438"/>
      <c r="Y5" s="1438"/>
      <c r="Z5" s="1438"/>
      <c r="AA5" s="1438"/>
      <c r="AC5" s="3930"/>
      <c r="AD5" s="3931"/>
      <c r="AE5" s="3931"/>
      <c r="AF5" s="3931"/>
      <c r="AG5" s="3931"/>
      <c r="AH5" s="3931"/>
      <c r="AI5" s="3931"/>
      <c r="AJ5" s="3931"/>
    </row>
    <row r="6" spans="1:37" ht="23">
      <c r="A6" s="2754" t="str">
        <f>'Cashflow Governmental'!A6</f>
        <v xml:space="preserve">FISCAL YEAR 2020-2021   </v>
      </c>
      <c r="B6" s="1438"/>
      <c r="C6" s="1438"/>
      <c r="D6" s="1438"/>
      <c r="E6" s="1438"/>
      <c r="F6" s="1438"/>
      <c r="G6" s="1438"/>
      <c r="H6" s="1438"/>
      <c r="I6" s="1438"/>
      <c r="J6" s="1438"/>
      <c r="K6" s="1438"/>
      <c r="L6" s="1438"/>
      <c r="M6" s="1438"/>
      <c r="N6" s="1438"/>
      <c r="O6" s="3101"/>
      <c r="P6" s="1438"/>
      <c r="Q6" s="1438"/>
      <c r="R6" s="1438"/>
      <c r="S6" s="1438"/>
      <c r="T6" s="1438"/>
      <c r="U6" s="1438"/>
      <c r="V6" s="1438"/>
      <c r="W6" s="1438"/>
      <c r="X6" s="1438"/>
      <c r="Y6" s="1438"/>
      <c r="Z6" s="1438"/>
      <c r="AA6" s="1438"/>
      <c r="AB6" s="3101"/>
      <c r="AC6" s="3101"/>
      <c r="AD6" s="3101"/>
      <c r="AE6" s="3101"/>
      <c r="AF6" s="3101"/>
      <c r="AG6" s="3101"/>
      <c r="AI6" s="3101"/>
    </row>
    <row r="7" spans="1:37" ht="23.25" customHeight="1">
      <c r="A7" s="2753" t="s">
        <v>1365</v>
      </c>
      <c r="B7" s="1438"/>
      <c r="C7" s="1438"/>
      <c r="D7" s="1438"/>
      <c r="E7" s="1438"/>
      <c r="F7" s="1438"/>
      <c r="G7" s="1438"/>
      <c r="H7" s="1438"/>
      <c r="I7" s="1438"/>
      <c r="J7" s="1438"/>
      <c r="K7" s="1438"/>
      <c r="L7" s="1438"/>
      <c r="M7" s="1438"/>
      <c r="N7" s="1438"/>
      <c r="O7" s="3101"/>
      <c r="P7" s="1438"/>
      <c r="Q7" s="1438"/>
      <c r="R7" s="1438"/>
      <c r="S7" s="1438"/>
      <c r="T7" s="1438"/>
      <c r="U7" s="1438"/>
      <c r="V7" s="1438"/>
      <c r="W7" s="1438"/>
      <c r="X7" s="1438"/>
      <c r="Y7" s="1438"/>
      <c r="Z7" s="1438"/>
      <c r="AA7" s="1438"/>
      <c r="AB7" s="3101"/>
      <c r="AC7" s="3101"/>
      <c r="AD7" s="3101"/>
      <c r="AE7" s="3101"/>
      <c r="AF7" s="3101"/>
      <c r="AG7" s="3101"/>
      <c r="AI7" s="3101"/>
    </row>
    <row r="8" spans="1:37" ht="15.5">
      <c r="A8" s="1438"/>
      <c r="B8" s="1438"/>
      <c r="C8" s="1438"/>
      <c r="D8" s="1438"/>
      <c r="E8" s="1438"/>
      <c r="F8" s="1438"/>
      <c r="G8" s="1438"/>
      <c r="H8" s="1438"/>
      <c r="I8" s="1438"/>
      <c r="J8" s="1438"/>
      <c r="K8" s="1438"/>
      <c r="L8" s="1438"/>
      <c r="M8" s="1438"/>
      <c r="N8" s="1438"/>
      <c r="O8" s="3101"/>
      <c r="P8" s="1438"/>
      <c r="Q8" s="1438"/>
      <c r="R8" s="1438"/>
      <c r="S8" s="1438"/>
      <c r="T8" s="1438"/>
      <c r="U8" s="1438"/>
      <c r="V8" s="1438"/>
      <c r="W8" s="1438"/>
      <c r="X8" s="1438"/>
      <c r="Y8" s="1438"/>
      <c r="Z8" s="1438"/>
      <c r="AA8" s="1438"/>
      <c r="AB8" s="3101"/>
      <c r="AC8" s="3101"/>
      <c r="AD8" s="3101"/>
      <c r="AE8" s="3101"/>
      <c r="AF8" s="3101"/>
      <c r="AG8" s="3101"/>
      <c r="AI8" s="3101"/>
    </row>
    <row r="9" spans="1:37" ht="15.5">
      <c r="A9" s="1438"/>
      <c r="B9" s="1438"/>
      <c r="C9" s="1438"/>
      <c r="D9" s="1438"/>
      <c r="E9" s="1438"/>
      <c r="F9" s="1438"/>
      <c r="G9" s="1438"/>
      <c r="H9" s="1438"/>
      <c r="I9" s="1438"/>
      <c r="J9" s="1438"/>
      <c r="K9" s="1438"/>
      <c r="L9" s="1438"/>
      <c r="M9" s="1438"/>
      <c r="N9" s="1438"/>
      <c r="O9" s="3101"/>
      <c r="P9" s="1438"/>
      <c r="Q9" s="1438"/>
      <c r="R9" s="1438"/>
      <c r="S9" s="1438"/>
      <c r="T9" s="1438"/>
      <c r="U9" s="1438"/>
      <c r="V9" s="1438"/>
      <c r="W9" s="1438"/>
      <c r="X9" s="1438"/>
      <c r="Y9" s="1438"/>
      <c r="Z9" s="1438"/>
      <c r="AA9" s="1438"/>
      <c r="AB9" s="3101"/>
      <c r="AC9" s="3101"/>
      <c r="AD9" s="3101"/>
      <c r="AE9" s="3101"/>
      <c r="AF9" s="3101"/>
      <c r="AG9" s="3101"/>
      <c r="AI9" s="3101"/>
    </row>
    <row r="10" spans="1:37" ht="15.5">
      <c r="A10" s="1438"/>
      <c r="B10" s="1438"/>
      <c r="C10" s="1438"/>
      <c r="D10" s="1438"/>
      <c r="E10" s="1438"/>
      <c r="F10" s="1438"/>
      <c r="G10" s="1438"/>
      <c r="H10" s="1438"/>
      <c r="I10" s="1438"/>
      <c r="J10" s="1438"/>
      <c r="K10" s="1438"/>
      <c r="L10" s="1438"/>
      <c r="M10" s="1438"/>
      <c r="N10" s="1438"/>
      <c r="O10" s="3101"/>
      <c r="P10" s="1438"/>
      <c r="Q10" s="1438"/>
      <c r="R10" s="1438"/>
      <c r="S10" s="1438"/>
      <c r="T10" s="1438"/>
      <c r="U10" s="1438"/>
      <c r="V10" s="1438"/>
      <c r="W10" s="1438"/>
      <c r="X10" s="1438"/>
      <c r="Y10" s="1438"/>
      <c r="Z10" s="1438"/>
      <c r="AA10" s="1438"/>
      <c r="AB10" s="3101"/>
      <c r="AC10" s="3101"/>
      <c r="AD10" s="3101"/>
      <c r="AE10" s="3101"/>
      <c r="AF10" s="3101"/>
      <c r="AG10" s="3101"/>
      <c r="AI10" s="3101"/>
    </row>
    <row r="11" spans="1:37" ht="15.5">
      <c r="A11" s="1438"/>
      <c r="B11" s="1438"/>
      <c r="C11" s="1438"/>
      <c r="D11" s="1438"/>
      <c r="E11" s="1438"/>
      <c r="F11" s="1438"/>
      <c r="G11" s="1438"/>
      <c r="H11" s="1438"/>
      <c r="I11" s="1438"/>
      <c r="J11" s="1438"/>
      <c r="K11" s="1438"/>
      <c r="L11" s="1438"/>
      <c r="M11" s="1438"/>
      <c r="N11" s="1438"/>
      <c r="O11" s="3101"/>
      <c r="P11" s="1438"/>
      <c r="Q11" s="1438"/>
      <c r="R11" s="1438"/>
      <c r="S11" s="1438"/>
      <c r="T11" s="1438"/>
      <c r="U11" s="1438"/>
      <c r="V11" s="1438"/>
      <c r="W11" s="1438"/>
      <c r="X11" s="1438"/>
      <c r="Y11" s="1438"/>
      <c r="Z11" s="1438"/>
      <c r="AA11" s="1438"/>
      <c r="AC11" s="3101"/>
      <c r="AD11" s="3101"/>
      <c r="AE11" s="3101"/>
      <c r="AF11" s="3101"/>
      <c r="AG11" s="3101"/>
      <c r="AI11" s="3101"/>
    </row>
    <row r="12" spans="1:37" ht="15.5">
      <c r="A12" s="1438"/>
      <c r="B12" s="1438"/>
      <c r="C12" s="1438"/>
      <c r="D12" s="1438"/>
      <c r="E12" s="1438"/>
      <c r="F12" s="1438"/>
      <c r="G12" s="1438"/>
      <c r="H12" s="1438"/>
      <c r="I12" s="1438"/>
      <c r="J12" s="1438"/>
      <c r="K12" s="1438"/>
      <c r="L12" s="1438"/>
      <c r="M12" s="1438"/>
      <c r="N12" s="1438"/>
      <c r="O12" s="3101"/>
      <c r="P12" s="1438"/>
      <c r="Q12" s="1438"/>
      <c r="R12" s="1438"/>
      <c r="S12" s="1438"/>
      <c r="T12" s="1438"/>
      <c r="U12" s="1438"/>
      <c r="V12" s="1438"/>
      <c r="W12" s="1438"/>
      <c r="X12" s="1438"/>
      <c r="Z12" s="1438"/>
      <c r="AA12" s="2755"/>
      <c r="AB12" s="3932" t="str">
        <f>'Cashflow Governmental'!AB12:AJ12</f>
        <v>7 Months Ended October 31</v>
      </c>
      <c r="AC12" s="3932"/>
      <c r="AD12" s="3932"/>
      <c r="AE12" s="3932"/>
      <c r="AF12" s="3932"/>
      <c r="AG12" s="3932"/>
      <c r="AH12" s="3932"/>
      <c r="AI12" s="3932"/>
      <c r="AJ12" s="3932"/>
    </row>
    <row r="13" spans="1:37" ht="15.5">
      <c r="A13" s="1438"/>
      <c r="B13" s="1438"/>
      <c r="C13" s="2432" t="str">
        <f>'Cashflow Governmental'!C13</f>
        <v>2020</v>
      </c>
      <c r="D13" s="2433"/>
      <c r="E13" s="2433"/>
      <c r="F13" s="2433"/>
      <c r="G13" s="2433"/>
      <c r="H13" s="2433"/>
      <c r="I13" s="2433"/>
      <c r="J13" s="2433"/>
      <c r="K13" s="2433"/>
      <c r="L13" s="2433"/>
      <c r="M13" s="2433"/>
      <c r="N13" s="2433"/>
      <c r="O13" s="3085"/>
      <c r="P13" s="2433"/>
      <c r="Q13" s="2433"/>
      <c r="R13" s="2433"/>
      <c r="S13" s="2433"/>
      <c r="T13" s="2433"/>
      <c r="U13" s="2432" t="str">
        <f>'Cashflow Governmental'!U13</f>
        <v>2021</v>
      </c>
      <c r="V13" s="2433"/>
      <c r="W13" s="2433"/>
      <c r="X13" s="2433"/>
      <c r="Y13" s="2433"/>
      <c r="Z13" s="2433"/>
      <c r="AA13" s="2433"/>
      <c r="AB13" s="3085"/>
      <c r="AC13" s="3142"/>
      <c r="AD13" s="3142"/>
      <c r="AE13" s="3142"/>
      <c r="AF13" s="3085"/>
      <c r="AG13" s="3085"/>
      <c r="AH13" s="3351" t="s">
        <v>8</v>
      </c>
      <c r="AI13" s="3352"/>
      <c r="AJ13" s="3351" t="s">
        <v>9</v>
      </c>
    </row>
    <row r="14" spans="1:37" ht="15.5">
      <c r="A14" s="1438"/>
      <c r="B14" s="1438"/>
      <c r="C14" s="2756" t="s">
        <v>124</v>
      </c>
      <c r="D14" s="2433"/>
      <c r="E14" s="2756" t="s">
        <v>125</v>
      </c>
      <c r="F14" s="2433"/>
      <c r="G14" s="2756" t="s">
        <v>126</v>
      </c>
      <c r="H14" s="2433"/>
      <c r="I14" s="2756" t="s">
        <v>127</v>
      </c>
      <c r="J14" s="2433"/>
      <c r="K14" s="2756" t="s">
        <v>128</v>
      </c>
      <c r="L14" s="2433"/>
      <c r="M14" s="2756" t="s">
        <v>129</v>
      </c>
      <c r="N14" s="2433"/>
      <c r="O14" s="3351" t="s">
        <v>130</v>
      </c>
      <c r="P14" s="2433"/>
      <c r="Q14" s="2757" t="s">
        <v>131</v>
      </c>
      <c r="R14" s="2433"/>
      <c r="S14" s="2756" t="s">
        <v>132</v>
      </c>
      <c r="T14" s="2433"/>
      <c r="U14" s="2756" t="s">
        <v>133</v>
      </c>
      <c r="V14" s="2433"/>
      <c r="W14" s="2756" t="s">
        <v>134</v>
      </c>
      <c r="X14" s="2433"/>
      <c r="Y14" s="2756" t="s">
        <v>135</v>
      </c>
      <c r="Z14" s="2433"/>
      <c r="AA14" s="2433"/>
      <c r="AB14" s="3390">
        <f>'Cashflow Governmental'!AB14</f>
        <v>2020</v>
      </c>
      <c r="AC14" s="3085"/>
      <c r="AD14" s="3085"/>
      <c r="AE14" s="3390">
        <f>'Cashflow Governmental'!AE14</f>
        <v>2019</v>
      </c>
      <c r="AF14" s="3142"/>
      <c r="AG14" s="3142"/>
      <c r="AH14" s="3353" t="s">
        <v>12</v>
      </c>
      <c r="AI14" s="3352"/>
      <c r="AJ14" s="3353" t="s">
        <v>13</v>
      </c>
    </row>
    <row r="15" spans="1:37" ht="5.25" customHeight="1">
      <c r="A15" s="1438"/>
      <c r="B15" s="1438"/>
      <c r="C15" s="2758"/>
      <c r="D15" s="1438"/>
      <c r="E15" s="2758"/>
      <c r="F15" s="1438"/>
      <c r="G15" s="2758"/>
      <c r="H15" s="1438"/>
      <c r="I15" s="2758"/>
      <c r="J15" s="1438"/>
      <c r="K15" s="2758"/>
      <c r="L15" s="1438"/>
      <c r="M15" s="2758"/>
      <c r="N15" s="1438"/>
      <c r="O15" s="3391" t="s">
        <v>15</v>
      </c>
      <c r="P15" s="1438"/>
      <c r="Q15" s="2759"/>
      <c r="R15" s="1438"/>
      <c r="S15" s="2758"/>
      <c r="T15" s="1438"/>
      <c r="U15" s="2758" t="s">
        <v>15</v>
      </c>
      <c r="V15" s="1438"/>
      <c r="W15" s="2758"/>
      <c r="X15" s="1438"/>
      <c r="Y15" s="2758"/>
      <c r="Z15" s="1438"/>
      <c r="AA15" s="1438"/>
      <c r="AB15" s="3391"/>
      <c r="AC15" s="3101"/>
      <c r="AD15" s="3101"/>
      <c r="AE15" s="3391"/>
      <c r="AF15" s="3354"/>
      <c r="AG15" s="3354"/>
      <c r="AI15" s="3101"/>
    </row>
    <row r="16" spans="1:37" ht="15.5">
      <c r="A16" s="2760" t="s">
        <v>136</v>
      </c>
      <c r="B16" s="1438"/>
      <c r="C16" s="2761">
        <f>'Exhibit F'!D12+'Exh D Special Revenue State Fed'!G40+'Exhibit H'!B12</f>
        <v>14408.300000000001</v>
      </c>
      <c r="D16" s="2762"/>
      <c r="E16" s="2762">
        <f>C145</f>
        <v>16171.6</v>
      </c>
      <c r="F16" s="2762"/>
      <c r="G16" s="2762">
        <f>E145</f>
        <v>13542.7</v>
      </c>
      <c r="H16" s="2762"/>
      <c r="I16" s="2762">
        <f>G145</f>
        <v>14605.2</v>
      </c>
      <c r="J16" s="2762"/>
      <c r="K16" s="2762">
        <f>I145</f>
        <v>22665.9</v>
      </c>
      <c r="L16" s="2762"/>
      <c r="M16" s="2762">
        <f>K145</f>
        <v>22416</v>
      </c>
      <c r="N16" s="2762"/>
      <c r="O16" s="2761">
        <f>M145</f>
        <v>22583</v>
      </c>
      <c r="P16" s="2762"/>
      <c r="Q16" s="2762"/>
      <c r="R16" s="2762"/>
      <c r="S16" s="2762"/>
      <c r="T16" s="2762"/>
      <c r="U16" s="2762"/>
      <c r="V16" s="2762"/>
      <c r="W16" s="2762"/>
      <c r="X16" s="2762"/>
      <c r="Y16" s="2762"/>
      <c r="Z16" s="2762"/>
      <c r="AA16" s="2763"/>
      <c r="AB16" s="2761">
        <f>C16</f>
        <v>14408.300000000001</v>
      </c>
      <c r="AC16" s="2761"/>
      <c r="AD16" s="3392"/>
      <c r="AE16" s="2761">
        <f>'Exhibit F'!AF12+'Exhibit G State'!AG13+'Exhibit H'!AD12</f>
        <v>12361.3</v>
      </c>
      <c r="AF16" s="3355"/>
      <c r="AG16" s="3355"/>
      <c r="AH16" s="2761">
        <f>ROUND(SUM(AB16-AE16),1)</f>
        <v>2047</v>
      </c>
      <c r="AI16" s="3085"/>
      <c r="AJ16" s="1854">
        <f>ROUND(SUM(AH16/AE16),3)</f>
        <v>0.16600000000000001</v>
      </c>
      <c r="AK16" s="2764"/>
    </row>
    <row r="17" spans="1:36" ht="15.5">
      <c r="A17" s="1438"/>
      <c r="B17" s="1438"/>
      <c r="C17" s="1438" t="s">
        <v>15</v>
      </c>
      <c r="D17" s="1438"/>
      <c r="E17" s="2685"/>
      <c r="F17" s="1438"/>
      <c r="G17" s="2685"/>
      <c r="H17" s="1438"/>
      <c r="I17" s="2685"/>
      <c r="J17" s="1438"/>
      <c r="K17" s="2685"/>
      <c r="L17" s="1438"/>
      <c r="M17" s="2685"/>
      <c r="N17" s="1438"/>
      <c r="O17" s="3890"/>
      <c r="P17" s="1438"/>
      <c r="Q17" s="2685"/>
      <c r="R17" s="1438"/>
      <c r="S17" s="2685"/>
      <c r="T17" s="1438"/>
      <c r="U17" s="2685"/>
      <c r="V17" s="1438"/>
      <c r="W17" s="2762"/>
      <c r="X17" s="1438"/>
      <c r="Y17" s="2685"/>
      <c r="Z17" s="1438"/>
      <c r="AA17" s="2765"/>
      <c r="AB17" s="3101" t="s">
        <v>15</v>
      </c>
      <c r="AC17" s="3101"/>
      <c r="AD17" s="3393"/>
      <c r="AE17" s="3101" t="s">
        <v>15</v>
      </c>
      <c r="AF17" s="3354"/>
      <c r="AG17" s="3354"/>
      <c r="AH17" s="3356"/>
      <c r="AI17" s="3101"/>
      <c r="AJ17" s="3356"/>
    </row>
    <row r="18" spans="1:36" ht="15.5">
      <c r="A18" s="2009" t="s">
        <v>14</v>
      </c>
      <c r="B18" s="1438"/>
      <c r="C18" s="1438"/>
      <c r="D18" s="1438"/>
      <c r="E18" s="2685"/>
      <c r="F18" s="1438"/>
      <c r="G18" s="2685"/>
      <c r="H18" s="1438"/>
      <c r="I18" s="2685"/>
      <c r="J18" s="1438"/>
      <c r="K18" s="2685"/>
      <c r="L18" s="1438"/>
      <c r="M18" s="2685"/>
      <c r="N18" s="1438"/>
      <c r="O18" s="3890"/>
      <c r="P18" s="1438"/>
      <c r="Q18" s="2685"/>
      <c r="R18" s="1438"/>
      <c r="S18" s="2685"/>
      <c r="T18" s="1438"/>
      <c r="U18" s="2685"/>
      <c r="V18" s="1438"/>
      <c r="W18" s="2685"/>
      <c r="X18" s="1438"/>
      <c r="Y18" s="2685"/>
      <c r="Z18" s="1438"/>
      <c r="AA18" s="2765"/>
      <c r="AB18" s="3101"/>
      <c r="AC18" s="3101"/>
      <c r="AD18" s="3393"/>
      <c r="AE18" s="3101"/>
      <c r="AF18" s="3354"/>
      <c r="AG18" s="3354"/>
      <c r="AH18" s="3356"/>
      <c r="AI18" s="3101"/>
      <c r="AJ18" s="3356"/>
    </row>
    <row r="19" spans="1:36" ht="15.5">
      <c r="A19" s="2461" t="s">
        <v>1078</v>
      </c>
      <c r="B19" s="1438"/>
      <c r="C19" s="1438"/>
      <c r="D19" s="1438"/>
      <c r="E19" s="2685"/>
      <c r="F19" s="1438"/>
      <c r="G19" s="2685"/>
      <c r="H19" s="1438"/>
      <c r="I19" s="2685"/>
      <c r="J19" s="1438"/>
      <c r="K19" s="2685"/>
      <c r="L19" s="1438"/>
      <c r="M19" s="2685"/>
      <c r="N19" s="1438"/>
      <c r="O19" s="3890"/>
      <c r="P19" s="1438"/>
      <c r="Q19" s="2685"/>
      <c r="R19" s="1438"/>
      <c r="S19" s="2685"/>
      <c r="T19" s="1438"/>
      <c r="U19" s="2685"/>
      <c r="V19" s="1438"/>
      <c r="W19" s="2685"/>
      <c r="X19" s="1438"/>
      <c r="Y19" s="2685"/>
      <c r="Z19" s="1438"/>
      <c r="AA19" s="2766"/>
      <c r="AB19" s="3101"/>
      <c r="AC19" s="3101"/>
      <c r="AD19" s="3393"/>
      <c r="AE19" s="3101"/>
      <c r="AF19" s="3354"/>
      <c r="AG19" s="3354"/>
      <c r="AH19" s="3356"/>
      <c r="AI19" s="3101"/>
      <c r="AJ19" s="3356"/>
    </row>
    <row r="20" spans="1:36" ht="15.5">
      <c r="A20" s="2462" t="s">
        <v>1143</v>
      </c>
      <c r="B20" s="1438"/>
      <c r="C20" s="1438"/>
      <c r="D20" s="1438"/>
      <c r="E20" s="1437"/>
      <c r="F20" s="1438"/>
      <c r="G20" s="2685"/>
      <c r="H20" s="1438"/>
      <c r="I20" s="2685"/>
      <c r="J20" s="1438"/>
      <c r="K20" s="2685"/>
      <c r="L20" s="1438"/>
      <c r="M20" s="2685"/>
      <c r="N20" s="1438"/>
      <c r="O20" s="3890"/>
      <c r="P20" s="1438"/>
      <c r="Q20" s="2685"/>
      <c r="R20" s="1438"/>
      <c r="S20" s="2685"/>
      <c r="T20" s="1438"/>
      <c r="U20" s="2685"/>
      <c r="V20" s="1438"/>
      <c r="W20" s="2685"/>
      <c r="X20" s="1438"/>
      <c r="Y20" s="2685"/>
      <c r="Z20" s="1438"/>
      <c r="AA20" s="2765"/>
      <c r="AB20" s="3101"/>
      <c r="AC20" s="3101"/>
      <c r="AD20" s="3393"/>
      <c r="AE20" s="3101"/>
      <c r="AF20" s="3354"/>
      <c r="AG20" s="3354"/>
      <c r="AH20" s="3356"/>
      <c r="AI20" s="3101"/>
      <c r="AJ20" s="3356"/>
    </row>
    <row r="21" spans="1:36" ht="15.5">
      <c r="A21" s="2233" t="s">
        <v>1084</v>
      </c>
      <c r="B21" s="1438"/>
      <c r="C21" s="1437">
        <f>+'Exhibit F'!D17</f>
        <v>3187.3</v>
      </c>
      <c r="D21" s="1437"/>
      <c r="E21" s="1437">
        <f>+'Exhibit F'!F17</f>
        <v>2928.2999999999993</v>
      </c>
      <c r="F21" s="1437"/>
      <c r="G21" s="1437">
        <f>+'Exhibit F'!H17</f>
        <v>3096.3</v>
      </c>
      <c r="H21" s="1437"/>
      <c r="I21" s="1437">
        <f>+'Exhibit F'!J17</f>
        <v>3400.300000000002</v>
      </c>
      <c r="J21" s="1437"/>
      <c r="K21" s="1437">
        <f>+'Exhibit F'!L17</f>
        <v>2876.5999999999985</v>
      </c>
      <c r="L21" s="1437"/>
      <c r="M21" s="1437">
        <f>+'Exhibit F'!N17</f>
        <v>3147.2</v>
      </c>
      <c r="N21" s="1437"/>
      <c r="O21" s="3143">
        <f>+'Exhibit F'!P17</f>
        <v>2919.5000000000009</v>
      </c>
      <c r="P21" s="1438"/>
      <c r="Q21" s="1437"/>
      <c r="R21" s="1438"/>
      <c r="S21" s="1437"/>
      <c r="T21" s="1438"/>
      <c r="U21" s="1437"/>
      <c r="V21" s="1438"/>
      <c r="W21" s="1437"/>
      <c r="X21" s="1438"/>
      <c r="Y21" s="1437"/>
      <c r="Z21" s="1438"/>
      <c r="AA21" s="2765"/>
      <c r="AB21" s="3143">
        <f>ROUND(SUM(C21:Y21),1)</f>
        <v>21555.5</v>
      </c>
      <c r="AC21" s="3101"/>
      <c r="AD21" s="3393"/>
      <c r="AE21" s="3143">
        <f>+'Exhibit F'!AF17</f>
        <v>21800.7</v>
      </c>
      <c r="AF21" s="3354"/>
      <c r="AG21" s="3354"/>
      <c r="AH21" s="1999">
        <f>ROUND(SUM(+AB21-AE21),1)</f>
        <v>-245.2</v>
      </c>
      <c r="AI21" s="2467"/>
      <c r="AJ21" s="1817">
        <f t="shared" ref="AJ21:AJ26" si="0">ROUND(SUM(+AH21/ABS(AE21)),3)</f>
        <v>-1.0999999999999999E-2</v>
      </c>
    </row>
    <row r="22" spans="1:36" ht="15.5">
      <c r="A22" s="2233" t="s">
        <v>1354</v>
      </c>
      <c r="B22" s="1438"/>
      <c r="C22" s="1437">
        <f>+'Exhibit F'!D18</f>
        <v>211.6</v>
      </c>
      <c r="D22" s="1437"/>
      <c r="E22" s="1437">
        <f>+'Exhibit F'!F18</f>
        <v>70.900000000000006</v>
      </c>
      <c r="F22" s="1437"/>
      <c r="G22" s="1437">
        <f>+'Exhibit F'!H18</f>
        <v>1493</v>
      </c>
      <c r="H22" s="1437"/>
      <c r="I22" s="1437">
        <f>+'Exhibit F'!J18</f>
        <v>6329</v>
      </c>
      <c r="J22" s="1437"/>
      <c r="K22" s="1437">
        <f>+'Exhibit F'!L18</f>
        <v>121.3</v>
      </c>
      <c r="L22" s="1437"/>
      <c r="M22" s="1437">
        <f>+'Exhibit F'!N18</f>
        <v>2510</v>
      </c>
      <c r="N22" s="1437"/>
      <c r="O22" s="3143">
        <f>+'Exhibit F'!P18</f>
        <v>176.80000000000018</v>
      </c>
      <c r="P22" s="1438"/>
      <c r="Q22" s="1437"/>
      <c r="R22" s="1438"/>
      <c r="S22" s="1437"/>
      <c r="T22" s="1438"/>
      <c r="U22" s="1437"/>
      <c r="V22" s="1438"/>
      <c r="W22" s="1437"/>
      <c r="X22" s="1438"/>
      <c r="Y22" s="1437"/>
      <c r="Z22" s="1438"/>
      <c r="AA22" s="2765"/>
      <c r="AB22" s="3143">
        <f>ROUND(SUM(C22:Y22),1)</f>
        <v>10912.6</v>
      </c>
      <c r="AC22" s="3101"/>
      <c r="AD22" s="3393"/>
      <c r="AE22" s="3143">
        <f>+'Exhibit F'!AF18</f>
        <v>12482.5</v>
      </c>
      <c r="AF22" s="3354"/>
      <c r="AG22" s="3354"/>
      <c r="AH22" s="1999">
        <f t="shared" ref="AH22:AH28" si="1">ROUND(SUM(+AB22-AE22),1)</f>
        <v>-1569.9</v>
      </c>
      <c r="AI22" s="2467"/>
      <c r="AJ22" s="1817">
        <f t="shared" si="0"/>
        <v>-0.126</v>
      </c>
    </row>
    <row r="23" spans="1:36" ht="15.5">
      <c r="A23" s="2233" t="s">
        <v>1085</v>
      </c>
      <c r="B23" s="1438"/>
      <c r="C23" s="1437">
        <f>+'Exhibit F'!D19</f>
        <v>339.1</v>
      </c>
      <c r="D23" s="1437"/>
      <c r="E23" s="1437">
        <f>+'Exhibit F'!F19</f>
        <v>124.69999999999999</v>
      </c>
      <c r="F23" s="1437"/>
      <c r="G23" s="1437">
        <f>+'Exhibit F'!H19</f>
        <v>260.90000000000003</v>
      </c>
      <c r="H23" s="1437"/>
      <c r="I23" s="1437">
        <f>+'Exhibit F'!J19</f>
        <v>1765.1000000000001</v>
      </c>
      <c r="J23" s="1437"/>
      <c r="K23" s="1437">
        <f>+'Exhibit F'!L19</f>
        <v>69.299999999999955</v>
      </c>
      <c r="L23" s="1437"/>
      <c r="M23" s="1437">
        <f>+'Exhibit F'!N19</f>
        <v>83.4</v>
      </c>
      <c r="N23" s="1437"/>
      <c r="O23" s="3143">
        <f>+'Exhibit F'!P19</f>
        <v>528.00000000000011</v>
      </c>
      <c r="P23" s="1438"/>
      <c r="Q23" s="1437"/>
      <c r="R23" s="1438"/>
      <c r="S23" s="1437"/>
      <c r="T23" s="1438"/>
      <c r="U23" s="1437"/>
      <c r="V23" s="1438"/>
      <c r="W23" s="1437"/>
      <c r="X23" s="1438"/>
      <c r="Y23" s="1437"/>
      <c r="Z23" s="1438"/>
      <c r="AA23" s="2765"/>
      <c r="AB23" s="3143">
        <f t="shared" ref="AB23:AB29" si="2">ROUND(SUM(C23:Y23),1)</f>
        <v>3170.5</v>
      </c>
      <c r="AC23" s="3101"/>
      <c r="AD23" s="3393"/>
      <c r="AE23" s="3143">
        <f>+'Exhibit F'!AF19</f>
        <v>3131.7</v>
      </c>
      <c r="AF23" s="3354"/>
      <c r="AG23" s="3354"/>
      <c r="AH23" s="1999">
        <f t="shared" si="1"/>
        <v>38.799999999999997</v>
      </c>
      <c r="AI23" s="2467"/>
      <c r="AJ23" s="1817">
        <f t="shared" si="0"/>
        <v>1.2E-2</v>
      </c>
    </row>
    <row r="24" spans="1:36" ht="15.5">
      <c r="A24" s="2767" t="s">
        <v>1086</v>
      </c>
      <c r="B24" s="1438"/>
      <c r="C24" s="1437">
        <f>+'Exhibit F'!D20</f>
        <v>-69.8</v>
      </c>
      <c r="D24" s="1437"/>
      <c r="E24" s="1437">
        <f>+'Exhibit F'!F20</f>
        <v>-39.799999999999997</v>
      </c>
      <c r="F24" s="1437"/>
      <c r="G24" s="1437">
        <f>+'Exhibit F'!H20</f>
        <v>-58.400000000000006</v>
      </c>
      <c r="H24" s="1437"/>
      <c r="I24" s="1437">
        <f>+'Exhibit F'!J20</f>
        <v>-186.99999999999997</v>
      </c>
      <c r="J24" s="1437"/>
      <c r="K24" s="1437">
        <f>+'Exhibit F'!L20</f>
        <v>-28.100000000000023</v>
      </c>
      <c r="L24" s="1437"/>
      <c r="M24" s="1437">
        <f>+'Exhibit F'!N20</f>
        <v>-71.7</v>
      </c>
      <c r="N24" s="1437"/>
      <c r="O24" s="3143">
        <f>+'Exhibit F'!P20</f>
        <v>-444.90000000000015</v>
      </c>
      <c r="P24" s="1438"/>
      <c r="Q24" s="1437"/>
      <c r="R24" s="1438"/>
      <c r="S24" s="1437"/>
      <c r="T24" s="1438"/>
      <c r="U24" s="1437"/>
      <c r="V24" s="1438"/>
      <c r="W24" s="1437"/>
      <c r="X24" s="1438"/>
      <c r="Y24" s="1437"/>
      <c r="Z24" s="1438"/>
      <c r="AA24" s="2765"/>
      <c r="AB24" s="3143">
        <f>ROUND(SUM(C24:Y24),1)</f>
        <v>-899.7</v>
      </c>
      <c r="AC24" s="3101"/>
      <c r="AD24" s="3393"/>
      <c r="AE24" s="3143">
        <f>+'Exhibit F'!AF20</f>
        <v>-918.4</v>
      </c>
      <c r="AF24" s="3354"/>
      <c r="AG24" s="3354"/>
      <c r="AH24" s="1999">
        <f>-ROUND(SUM(+AB24-AE24),1)</f>
        <v>-18.7</v>
      </c>
      <c r="AI24" s="2467"/>
      <c r="AJ24" s="1817">
        <f t="shared" si="0"/>
        <v>-0.02</v>
      </c>
    </row>
    <row r="25" spans="1:36" ht="15.5">
      <c r="A25" s="2767" t="s">
        <v>1353</v>
      </c>
      <c r="B25" s="1438"/>
      <c r="C25" s="1437">
        <f>+'Exhibit F'!D21</f>
        <v>107.4</v>
      </c>
      <c r="D25" s="1437"/>
      <c r="E25" s="1437">
        <f>+'Exhibit F'!F21</f>
        <v>60.099999999999994</v>
      </c>
      <c r="F25" s="1437"/>
      <c r="G25" s="1437">
        <f>+'Exhibit F'!H21</f>
        <v>63</v>
      </c>
      <c r="H25" s="1437"/>
      <c r="I25" s="1437">
        <f>+'Exhibit F'!J21</f>
        <v>103.10000000000002</v>
      </c>
      <c r="J25" s="1437"/>
      <c r="K25" s="1437">
        <f>+'Exhibit F'!L21</f>
        <v>75.000000000000028</v>
      </c>
      <c r="L25" s="1437"/>
      <c r="M25" s="1437">
        <f>+'Exhibit F'!N21</f>
        <v>97.9</v>
      </c>
      <c r="N25" s="1437"/>
      <c r="O25" s="3143">
        <f>+'Exhibit F'!P21</f>
        <v>133.2999999999999</v>
      </c>
      <c r="P25" s="1438"/>
      <c r="Q25" s="1437"/>
      <c r="R25" s="1438"/>
      <c r="S25" s="1437"/>
      <c r="T25" s="1438"/>
      <c r="U25" s="1437"/>
      <c r="V25" s="1438"/>
      <c r="W25" s="1437"/>
      <c r="X25" s="1438"/>
      <c r="Y25" s="1437"/>
      <c r="Z25" s="1438"/>
      <c r="AA25" s="2765"/>
      <c r="AB25" s="3143">
        <f t="shared" si="2"/>
        <v>639.79999999999995</v>
      </c>
      <c r="AC25" s="3101"/>
      <c r="AD25" s="3393"/>
      <c r="AE25" s="3143">
        <f>+'Exhibit F'!AF21</f>
        <v>752.7</v>
      </c>
      <c r="AF25" s="3354"/>
      <c r="AG25" s="3354"/>
      <c r="AH25" s="1999">
        <f t="shared" si="1"/>
        <v>-112.9</v>
      </c>
      <c r="AI25" s="2467"/>
      <c r="AJ25" s="1817">
        <f t="shared" si="0"/>
        <v>-0.15</v>
      </c>
    </row>
    <row r="26" spans="1:36" ht="15.5">
      <c r="A26" s="2315" t="s">
        <v>1087</v>
      </c>
      <c r="B26" s="1438"/>
      <c r="C26" s="2041">
        <f>ROUND(SUM(C21:C25),1)</f>
        <v>3775.6</v>
      </c>
      <c r="D26" s="1438"/>
      <c r="E26" s="2041">
        <f>ROUND(SUM(E21:E25),1)</f>
        <v>3144.2</v>
      </c>
      <c r="F26" s="1438"/>
      <c r="G26" s="2041">
        <f>ROUND(SUM(G21:G25),1)</f>
        <v>4854.8</v>
      </c>
      <c r="H26" s="1438"/>
      <c r="I26" s="2041">
        <f>ROUND(SUM(I21:I25),1)</f>
        <v>11410.5</v>
      </c>
      <c r="J26" s="1438"/>
      <c r="K26" s="2041">
        <f>ROUND(SUM(K21:K25),1)</f>
        <v>3114.1</v>
      </c>
      <c r="L26" s="1438"/>
      <c r="M26" s="2041">
        <f>ROUND(SUM(M21:M25),1)</f>
        <v>5766.8</v>
      </c>
      <c r="N26" s="1438"/>
      <c r="O26" s="1458">
        <f>ROUND(SUM(O21:O25),1)</f>
        <v>3312.7</v>
      </c>
      <c r="P26" s="1438"/>
      <c r="Q26" s="2041">
        <f>ROUND(SUM(Q21:Q25),1)</f>
        <v>0</v>
      </c>
      <c r="R26" s="1438"/>
      <c r="S26" s="2041">
        <f>ROUND(SUM(S21:S25),1)</f>
        <v>0</v>
      </c>
      <c r="T26" s="1438"/>
      <c r="U26" s="2041">
        <f>ROUND(SUM(U21:U25),1)</f>
        <v>0</v>
      </c>
      <c r="V26" s="1438"/>
      <c r="W26" s="2041">
        <f>ROUND(SUM(W21:W25),1)</f>
        <v>0</v>
      </c>
      <c r="X26" s="1438"/>
      <c r="Y26" s="2041">
        <f>ROUND(SUM(Y21:Y25),1)</f>
        <v>0</v>
      </c>
      <c r="Z26" s="1438"/>
      <c r="AA26" s="2765"/>
      <c r="AB26" s="1458">
        <f>ROUND(SUM(AB21:AB25),1)</f>
        <v>35378.699999999997</v>
      </c>
      <c r="AC26" s="3101"/>
      <c r="AD26" s="3393"/>
      <c r="AE26" s="1458">
        <f>ROUND(SUM(AE21:AE25),1)</f>
        <v>37249.199999999997</v>
      </c>
      <c r="AF26" s="3354"/>
      <c r="AG26" s="3354"/>
      <c r="AH26" s="2016">
        <f t="shared" si="1"/>
        <v>-1870.5</v>
      </c>
      <c r="AI26" s="2467"/>
      <c r="AJ26" s="2548">
        <f t="shared" si="0"/>
        <v>-0.05</v>
      </c>
    </row>
    <row r="27" spans="1:36" ht="15.5">
      <c r="A27" s="2767" t="s">
        <v>1089</v>
      </c>
      <c r="B27" s="1438"/>
      <c r="C27" s="1437">
        <f>+'Exhibit F'!D23+'Exhibit G State'!D17</f>
        <v>0</v>
      </c>
      <c r="D27" s="1438"/>
      <c r="E27" s="1437">
        <f>+'Exhibit F'!F23+'Exhibit G State'!F17</f>
        <v>0</v>
      </c>
      <c r="F27" s="1438"/>
      <c r="G27" s="1437">
        <f>+'Exhibit F'!H23+'Exhibit G State'!H17</f>
        <v>0</v>
      </c>
      <c r="H27" s="1438"/>
      <c r="I27" s="1437">
        <f>+'Exhibit F'!J23+'Exhibit G State'!J17</f>
        <v>0</v>
      </c>
      <c r="J27" s="1438"/>
      <c r="K27" s="1437">
        <f>+'Exhibit F'!L23+'Exhibit G State'!L17</f>
        <v>0</v>
      </c>
      <c r="L27" s="1438"/>
      <c r="M27" s="1437">
        <f>+'Exhibit F'!N23+'Exhibit G State'!N17</f>
        <v>0</v>
      </c>
      <c r="N27" s="1438"/>
      <c r="O27" s="1437">
        <f>+'Exhibit F'!P23+'Exhibit G State'!P17</f>
        <v>0</v>
      </c>
      <c r="P27" s="1438"/>
      <c r="Q27" s="1437"/>
      <c r="R27" s="1438"/>
      <c r="S27" s="1437"/>
      <c r="T27" s="1438"/>
      <c r="U27" s="1437"/>
      <c r="V27" s="1438"/>
      <c r="W27" s="1437"/>
      <c r="X27" s="1438"/>
      <c r="Y27" s="1437"/>
      <c r="Z27" s="1438"/>
      <c r="AA27" s="2765"/>
      <c r="AB27" s="3143">
        <f>ROUND(SUM(C27:Y27),1)</f>
        <v>0</v>
      </c>
      <c r="AC27" s="3101"/>
      <c r="AD27" s="3393"/>
      <c r="AE27" s="3143">
        <f>+'Exhibit F'!AF23+'Exhibit G State'!AG17</f>
        <v>0</v>
      </c>
      <c r="AF27" s="3354"/>
      <c r="AG27" s="3354"/>
      <c r="AH27" s="1999">
        <f t="shared" si="1"/>
        <v>0</v>
      </c>
      <c r="AI27" s="2467"/>
      <c r="AJ27" s="1723">
        <f>ROUND(IF(AE27=0,0,AH27/ABS(AE27)),3)</f>
        <v>0</v>
      </c>
    </row>
    <row r="28" spans="1:36" ht="15.5">
      <c r="A28" s="2767" t="s">
        <v>1090</v>
      </c>
      <c r="B28" s="1438"/>
      <c r="C28" s="1437">
        <f>+'Exhibit F'!D24+'Exhibit H'!B16</f>
        <v>0</v>
      </c>
      <c r="D28" s="1438"/>
      <c r="E28" s="1437">
        <f>+'Exhibit F'!F24+'Exhibit H'!D16</f>
        <v>0</v>
      </c>
      <c r="F28" s="1438"/>
      <c r="G28" s="1437">
        <f>+'Exhibit F'!H24+'Exhibit H'!F16</f>
        <v>0</v>
      </c>
      <c r="H28" s="1438"/>
      <c r="I28" s="1437">
        <f>+'Exhibit F'!J24+'Exhibit H'!H16</f>
        <v>0</v>
      </c>
      <c r="J28" s="1438"/>
      <c r="K28" s="1437">
        <f>+'Exhibit F'!L24+'Exhibit H'!J16</f>
        <v>0</v>
      </c>
      <c r="L28" s="1438"/>
      <c r="M28" s="1437">
        <f>+'Exhibit F'!N24+'Exhibit H'!L16</f>
        <v>0</v>
      </c>
      <c r="N28" s="1438"/>
      <c r="O28" s="3143">
        <f>+'Exhibit F'!P24+'Exhibit H'!N16</f>
        <v>0</v>
      </c>
      <c r="P28" s="1438"/>
      <c r="Q28" s="1437"/>
      <c r="R28" s="1438"/>
      <c r="S28" s="1437"/>
      <c r="T28" s="1438"/>
      <c r="U28" s="1437"/>
      <c r="V28" s="1438"/>
      <c r="W28" s="1437"/>
      <c r="X28" s="1438"/>
      <c r="Y28" s="1437"/>
      <c r="Z28" s="1438"/>
      <c r="AA28" s="2765"/>
      <c r="AB28" s="3143">
        <f t="shared" si="2"/>
        <v>0</v>
      </c>
      <c r="AC28" s="3101"/>
      <c r="AD28" s="3393"/>
      <c r="AE28" s="3143">
        <f>+'Exhibit F'!AF24+'Exhibit H'!AD16</f>
        <v>0</v>
      </c>
      <c r="AF28" s="3354"/>
      <c r="AG28" s="3354"/>
      <c r="AH28" s="1999">
        <f t="shared" si="1"/>
        <v>0</v>
      </c>
      <c r="AI28" s="2467"/>
      <c r="AJ28" s="1723">
        <f>ROUND(IF(AE28=0,0,AH28/ABS(AE28)),3)</f>
        <v>0</v>
      </c>
    </row>
    <row r="29" spans="1:36" ht="15.5">
      <c r="A29" s="2233" t="s">
        <v>1355</v>
      </c>
      <c r="B29" s="1437"/>
      <c r="C29" s="1437">
        <f>+'Exhibit F'!D25</f>
        <v>-1709.4</v>
      </c>
      <c r="D29" s="1437"/>
      <c r="E29" s="1437">
        <f>+'Exhibit F'!F25</f>
        <v>-945</v>
      </c>
      <c r="F29" s="1437"/>
      <c r="G29" s="1437">
        <f>+'Exhibit F'!H25</f>
        <v>-486.29999999999973</v>
      </c>
      <c r="H29" s="1437"/>
      <c r="I29" s="1437">
        <f>+'Exhibit F'!J25</f>
        <v>-1179.8000000000002</v>
      </c>
      <c r="J29" s="1437"/>
      <c r="K29" s="1437">
        <f>+'Exhibit F'!L25</f>
        <v>-391.1</v>
      </c>
      <c r="L29" s="1438"/>
      <c r="M29" s="1437">
        <f>+'Exhibit F'!N25</f>
        <v>-495.4</v>
      </c>
      <c r="N29" s="1438"/>
      <c r="O29" s="3143">
        <f>+'Exhibit F'!P25</f>
        <v>-781.10000000000093</v>
      </c>
      <c r="P29" s="1438"/>
      <c r="Q29" s="1437"/>
      <c r="R29" s="1438"/>
      <c r="S29" s="1437"/>
      <c r="T29" s="1438"/>
      <c r="U29" s="1437"/>
      <c r="V29" s="1438"/>
      <c r="W29" s="1437"/>
      <c r="X29" s="1438"/>
      <c r="Y29" s="1437"/>
      <c r="Z29" s="1438"/>
      <c r="AA29" s="2765"/>
      <c r="AB29" s="3143">
        <f t="shared" si="2"/>
        <v>-5988.1</v>
      </c>
      <c r="AC29" s="3101"/>
      <c r="AD29" s="3393"/>
      <c r="AE29" s="3143">
        <f>+'Exhibit F'!AF25</f>
        <v>-6689.4</v>
      </c>
      <c r="AF29" s="3354"/>
      <c r="AG29" s="3354"/>
      <c r="AH29" s="1999">
        <f>-ROUND(SUM(+AB29-AE29),1)</f>
        <v>-701.3</v>
      </c>
      <c r="AI29" s="2467"/>
      <c r="AJ29" s="1817">
        <f>ROUND(SUM(+AH29/ABS(AE29)),3)</f>
        <v>-0.105</v>
      </c>
    </row>
    <row r="30" spans="1:36" ht="15.5">
      <c r="A30" s="2472" t="s">
        <v>1088</v>
      </c>
      <c r="B30" s="1438"/>
      <c r="C30" s="2041">
        <f>ROUND(SUM(C26+C27+C28+C29),1)</f>
        <v>2066.1999999999998</v>
      </c>
      <c r="D30" s="1438"/>
      <c r="E30" s="2041">
        <f>ROUND(SUM(E26+E27+E28+E29),1)</f>
        <v>2199.1999999999998</v>
      </c>
      <c r="F30" s="1438"/>
      <c r="G30" s="2041">
        <f>ROUND(SUM(G26+G27+G28+G29),1)</f>
        <v>4368.5</v>
      </c>
      <c r="H30" s="1438"/>
      <c r="I30" s="2041">
        <f>ROUND(SUM(I26+I27+I28+I29),1)</f>
        <v>10230.700000000001</v>
      </c>
      <c r="J30" s="1438"/>
      <c r="K30" s="2041">
        <f>ROUND(SUM(K26+K27+K28+K29),1)</f>
        <v>2723</v>
      </c>
      <c r="L30" s="1438"/>
      <c r="M30" s="2041">
        <f>ROUND(SUM(M26+M27+M28+M29),1)</f>
        <v>5271.4</v>
      </c>
      <c r="N30" s="1438"/>
      <c r="O30" s="1458">
        <f>ROUND(SUM(O26+O27+O28+O29),1)</f>
        <v>2531.6</v>
      </c>
      <c r="P30" s="1438"/>
      <c r="Q30" s="2041">
        <f>ROUND(SUM(Q26+Q27+Q28+Q29),1)</f>
        <v>0</v>
      </c>
      <c r="R30" s="1438"/>
      <c r="S30" s="2041">
        <f>ROUND(SUM(S26+S27+S28+S29),1)</f>
        <v>0</v>
      </c>
      <c r="T30" s="1438"/>
      <c r="U30" s="2041">
        <f>ROUND(SUM(U26+U27+U28+U29),1)</f>
        <v>0</v>
      </c>
      <c r="V30" s="1438"/>
      <c r="W30" s="2041">
        <f>ROUND(SUM(W26+W27+W28+W29),1)</f>
        <v>0</v>
      </c>
      <c r="X30" s="1438"/>
      <c r="Y30" s="2041">
        <f>ROUND(SUM(Y26+Y27+Y28+Y29),1)</f>
        <v>0</v>
      </c>
      <c r="Z30" s="1438"/>
      <c r="AA30" s="2765"/>
      <c r="AB30" s="1458">
        <f>ROUND(SUM(AB26+AB27+AB28+AB29),1)</f>
        <v>29390.6</v>
      </c>
      <c r="AC30" s="3101"/>
      <c r="AD30" s="3393"/>
      <c r="AE30" s="1458">
        <f>ROUND(SUM(AE26+AE27+AE28+AE29),1)</f>
        <v>30559.8</v>
      </c>
      <c r="AF30" s="3354"/>
      <c r="AG30" s="3354"/>
      <c r="AH30" s="1458">
        <f>ROUND(SUM(AH26+AH27+AH28-AH29),1)</f>
        <v>-1169.2</v>
      </c>
      <c r="AI30" s="3357"/>
      <c r="AJ30" s="2548">
        <f>ROUND(SUM(+AH30/ABS(AE30)),3)</f>
        <v>-3.7999999999999999E-2</v>
      </c>
    </row>
    <row r="31" spans="1:36" ht="15.5">
      <c r="A31" s="2462" t="s">
        <v>1140</v>
      </c>
      <c r="B31" s="1438"/>
      <c r="C31" s="1438"/>
      <c r="D31" s="1438"/>
      <c r="E31" s="1438"/>
      <c r="F31" s="1438"/>
      <c r="G31" s="1438"/>
      <c r="H31" s="1438"/>
      <c r="I31" s="1438"/>
      <c r="J31" s="1438"/>
      <c r="K31" s="1438"/>
      <c r="L31" s="1438"/>
      <c r="M31" s="1438"/>
      <c r="N31" s="1438"/>
      <c r="O31" s="3101"/>
      <c r="P31" s="1438"/>
      <c r="Q31" s="1438"/>
      <c r="R31" s="1438"/>
      <c r="S31" s="1438"/>
      <c r="T31" s="1438"/>
      <c r="U31" s="1438"/>
      <c r="V31" s="1438"/>
      <c r="W31" s="1438"/>
      <c r="X31" s="1438"/>
      <c r="Y31" s="1438"/>
      <c r="Z31" s="1438"/>
      <c r="AA31" s="2765"/>
      <c r="AB31" s="3101"/>
      <c r="AC31" s="3101"/>
      <c r="AD31" s="3393"/>
      <c r="AE31" s="3143"/>
      <c r="AF31" s="3354"/>
      <c r="AG31" s="3354"/>
      <c r="AH31" s="3356"/>
      <c r="AI31" s="3101"/>
      <c r="AJ31" s="3356"/>
    </row>
    <row r="32" spans="1:36" ht="15.5">
      <c r="A32" s="2233" t="s">
        <v>1093</v>
      </c>
      <c r="B32" s="1438"/>
      <c r="C32" s="1437">
        <f>+'Exhibit F'!D28+'Exhibit H'!B19+'Exhibit G State'!D20</f>
        <v>869.39999999999986</v>
      </c>
      <c r="D32" s="1437"/>
      <c r="E32" s="1437">
        <f>+'Exhibit F'!F28+'Exhibit H'!D19+'Exhibit G State'!F20</f>
        <v>790.8</v>
      </c>
      <c r="F32" s="1437"/>
      <c r="G32" s="1437">
        <f>+'Exhibit F'!H28+'Exhibit H'!F19+'Exhibit G State'!H20</f>
        <v>1210</v>
      </c>
      <c r="H32" s="1437"/>
      <c r="I32" s="1437">
        <f>+'Exhibit F'!J28+'Exhibit H'!H19+'Exhibit G State'!J20</f>
        <v>1132.3999999999999</v>
      </c>
      <c r="J32" s="1437"/>
      <c r="K32" s="1437">
        <f>+'Exhibit F'!L28+'Exhibit H'!J19+'Exhibit G State'!L20</f>
        <v>1146.3999999999996</v>
      </c>
      <c r="L32" s="1438"/>
      <c r="M32" s="1437">
        <f>+'Exhibit F'!N28+'Exhibit H'!L19+'Exhibit G State'!N20</f>
        <v>1540.2000000000005</v>
      </c>
      <c r="N32" s="1438"/>
      <c r="O32" s="3143">
        <f>+'Exhibit F'!P28+'Exhibit H'!N19+'Exhibit G State'!P20</f>
        <v>1140.5999999999997</v>
      </c>
      <c r="P32" s="1438"/>
      <c r="Q32" s="1437"/>
      <c r="R32" s="1438"/>
      <c r="S32" s="1437"/>
      <c r="T32" s="1438"/>
      <c r="U32" s="1437"/>
      <c r="V32" s="1438"/>
      <c r="W32" s="1437"/>
      <c r="X32" s="1438"/>
      <c r="Y32" s="1437"/>
      <c r="Z32" s="1438"/>
      <c r="AA32" s="2765"/>
      <c r="AB32" s="3143">
        <f t="shared" ref="AB32:AB38" si="3">ROUND(SUM(C32:Y32),1)</f>
        <v>7829.8</v>
      </c>
      <c r="AC32" s="3101"/>
      <c r="AD32" s="3393"/>
      <c r="AE32" s="3143">
        <f>+'Exhibit F'!AF28+'Exhibit H'!AD19+'Exhibit G State'!AG20</f>
        <v>9318.2000000000007</v>
      </c>
      <c r="AF32" s="3354"/>
      <c r="AG32" s="3354"/>
      <c r="AH32" s="1999">
        <f t="shared" ref="AH32:AH38" si="4">ROUND(SUM(+AB32-AE32),1)</f>
        <v>-1488.4</v>
      </c>
      <c r="AI32" s="2467"/>
      <c r="AJ32" s="1817">
        <f>ROUND(SUM(+AH32/ABS(AE32)),3)</f>
        <v>-0.16</v>
      </c>
    </row>
    <row r="33" spans="1:36" ht="15.5">
      <c r="A33" s="2233" t="s">
        <v>1094</v>
      </c>
      <c r="B33" s="1438"/>
      <c r="C33" s="1437">
        <f>+'Exhibit F'!D29+'Exhibit G State'!D21</f>
        <v>-0.1</v>
      </c>
      <c r="D33" s="1437"/>
      <c r="E33" s="1437">
        <f>+'Exhibit F'!F29+'Exhibit G State'!F21</f>
        <v>-1.4999999999999998</v>
      </c>
      <c r="F33" s="1437"/>
      <c r="G33" s="1437">
        <f>+'Exhibit F'!H29+'Exhibit G State'!H21</f>
        <v>3.4</v>
      </c>
      <c r="H33" s="1437"/>
      <c r="I33" s="1437">
        <f>+'Exhibit F'!J29+'Exhibit G State'!J21</f>
        <v>2.1</v>
      </c>
      <c r="J33" s="1437"/>
      <c r="K33" s="1437">
        <f>+'Exhibit F'!L29+'Exhibit G State'!L21</f>
        <v>2.0999999999999992</v>
      </c>
      <c r="L33" s="1438"/>
      <c r="M33" s="1437">
        <f>+'Exhibit F'!N29+'Exhibit G State'!N21</f>
        <v>-1.0999999999999992</v>
      </c>
      <c r="N33" s="1438"/>
      <c r="O33" s="3143">
        <f>+'Exhibit F'!P29+'Exhibit G State'!P21</f>
        <v>0</v>
      </c>
      <c r="P33" s="1438"/>
      <c r="Q33" s="1437"/>
      <c r="R33" s="1438"/>
      <c r="S33" s="1437"/>
      <c r="T33" s="1438"/>
      <c r="U33" s="1437"/>
      <c r="V33" s="1438"/>
      <c r="W33" s="1437"/>
      <c r="X33" s="1438"/>
      <c r="Y33" s="1437"/>
      <c r="Z33" s="1438"/>
      <c r="AA33" s="2765"/>
      <c r="AB33" s="3143">
        <f t="shared" si="3"/>
        <v>4.9000000000000004</v>
      </c>
      <c r="AC33" s="3101"/>
      <c r="AD33" s="3393"/>
      <c r="AE33" s="3143">
        <f>+'Exhibit F'!AF29+'Exhibit G State'!AG21</f>
        <v>7.3</v>
      </c>
      <c r="AF33" s="3354"/>
      <c r="AG33" s="3354"/>
      <c r="AH33" s="1999">
        <f t="shared" si="4"/>
        <v>-2.4</v>
      </c>
      <c r="AI33" s="2467"/>
      <c r="AJ33" s="1723">
        <f>ROUND(IF(AE33=0,1,AH33/ABS(AE33)),3)</f>
        <v>-0.32900000000000001</v>
      </c>
    </row>
    <row r="34" spans="1:36" ht="15.5">
      <c r="A34" s="2233" t="s">
        <v>1095</v>
      </c>
      <c r="B34" s="1438"/>
      <c r="C34" s="1437">
        <f>+'Exhibit F'!D30+'Exhibit G State'!D22</f>
        <v>98.8</v>
      </c>
      <c r="D34" s="1437"/>
      <c r="E34" s="1437">
        <f>+'Exhibit F'!F30+'Exhibit G State'!F22</f>
        <v>74</v>
      </c>
      <c r="F34" s="1437"/>
      <c r="G34" s="1437">
        <f>+'Exhibit F'!H30+'Exhibit G State'!H22</f>
        <v>86.100000000000009</v>
      </c>
      <c r="H34" s="1437"/>
      <c r="I34" s="1437">
        <f>+'Exhibit F'!J30+'Exhibit G State'!J22</f>
        <v>97.799999999999983</v>
      </c>
      <c r="J34" s="1437"/>
      <c r="K34" s="1437">
        <f>+'Exhibit F'!L30+'Exhibit G State'!L22</f>
        <v>86.999999999999972</v>
      </c>
      <c r="L34" s="1438"/>
      <c r="M34" s="1437">
        <f>+'Exhibit F'!N30+'Exhibit G State'!N22</f>
        <v>103.4</v>
      </c>
      <c r="N34" s="1438"/>
      <c r="O34" s="3143">
        <f>+'Exhibit F'!P30+'Exhibit G State'!P22</f>
        <v>80.999999999999986</v>
      </c>
      <c r="P34" s="1438"/>
      <c r="Q34" s="1437"/>
      <c r="R34" s="1438"/>
      <c r="S34" s="1437"/>
      <c r="T34" s="1438"/>
      <c r="U34" s="1437"/>
      <c r="V34" s="1438"/>
      <c r="W34" s="1437"/>
      <c r="X34" s="1438"/>
      <c r="Y34" s="1437"/>
      <c r="Z34" s="1438"/>
      <c r="AA34" s="2765"/>
      <c r="AB34" s="3143">
        <f t="shared" si="3"/>
        <v>628.1</v>
      </c>
      <c r="AC34" s="3101"/>
      <c r="AD34" s="3393"/>
      <c r="AE34" s="3143">
        <f>+'Exhibit F'!AF30+'Exhibit G State'!AG22</f>
        <v>638.70000000000005</v>
      </c>
      <c r="AF34" s="3354"/>
      <c r="AG34" s="3354"/>
      <c r="AH34" s="1999">
        <f t="shared" si="4"/>
        <v>-10.6</v>
      </c>
      <c r="AI34" s="2467"/>
      <c r="AJ34" s="1817">
        <f>ROUND(SUM(+AH34/ABS(AE34)),3)</f>
        <v>-1.7000000000000001E-2</v>
      </c>
    </row>
    <row r="35" spans="1:36" ht="15.5">
      <c r="A35" s="2233" t="s">
        <v>1238</v>
      </c>
      <c r="B35" s="1438"/>
      <c r="C35" s="1437">
        <f>'Exhibit G State'!D23</f>
        <v>0.5</v>
      </c>
      <c r="D35" s="1437"/>
      <c r="E35" s="1437">
        <f>'Exhibit G State'!F23</f>
        <v>0.60000000000000009</v>
      </c>
      <c r="F35" s="1437"/>
      <c r="G35" s="1437">
        <f>'Exhibit G State'!H23</f>
        <v>0.7</v>
      </c>
      <c r="H35" s="1437"/>
      <c r="I35" s="1437">
        <f>'Exhibit G State'!J23</f>
        <v>0.59999999999999987</v>
      </c>
      <c r="J35" s="1437"/>
      <c r="K35" s="1437">
        <f>'Exhibit G State'!L23</f>
        <v>0.80000000000000027</v>
      </c>
      <c r="L35" s="1438"/>
      <c r="M35" s="1437">
        <f>'Exhibit G State'!N23</f>
        <v>0.69999999999999951</v>
      </c>
      <c r="N35" s="1438"/>
      <c r="O35" s="3143">
        <f>'Exhibit G State'!P23</f>
        <v>0.80000000000000093</v>
      </c>
      <c r="P35" s="1438"/>
      <c r="Q35" s="1437"/>
      <c r="R35" s="1438"/>
      <c r="S35" s="1437"/>
      <c r="T35" s="1438"/>
      <c r="U35" s="1437"/>
      <c r="V35" s="1438"/>
      <c r="W35" s="1437"/>
      <c r="X35" s="1438"/>
      <c r="Y35" s="1437"/>
      <c r="Z35" s="1438"/>
      <c r="AA35" s="2765"/>
      <c r="AB35" s="3143">
        <f t="shared" si="3"/>
        <v>4.7</v>
      </c>
      <c r="AC35" s="3101"/>
      <c r="AD35" s="3393"/>
      <c r="AE35" s="3143">
        <f>'Exhibit G State'!AG23</f>
        <v>3.2</v>
      </c>
      <c r="AF35" s="3354"/>
      <c r="AG35" s="3354"/>
      <c r="AH35" s="1999">
        <f>ROUND(SUM(+AB35-AE35),1)</f>
        <v>1.5</v>
      </c>
      <c r="AI35" s="2467"/>
      <c r="AJ35" s="1723">
        <f>ROUND(IF(AE35=0,1,AH35/ABS(AE35)),3)</f>
        <v>0.46899999999999997</v>
      </c>
    </row>
    <row r="36" spans="1:36" ht="15.5">
      <c r="A36" s="2233" t="s">
        <v>1096</v>
      </c>
      <c r="B36" s="1438"/>
      <c r="C36" s="1437">
        <f>+'Exhibit F'!D31+'Exhibit G State'!D24</f>
        <v>6.5</v>
      </c>
      <c r="D36" s="1437"/>
      <c r="E36" s="1437">
        <f>+'Exhibit F'!F31+'Exhibit G State'!F24</f>
        <v>4.6999999999999993</v>
      </c>
      <c r="F36" s="1437"/>
      <c r="G36" s="1437">
        <f>+'Exhibit F'!H31+'Exhibit G State'!H24</f>
        <v>6.5999999999999979</v>
      </c>
      <c r="H36" s="1437"/>
      <c r="I36" s="1437">
        <f>+'Exhibit F'!J31+'Exhibit G State'!J24</f>
        <v>8.5000000000000036</v>
      </c>
      <c r="J36" s="1437"/>
      <c r="K36" s="1437">
        <f>+'Exhibit F'!L31+'Exhibit G State'!L24</f>
        <v>9.0999999999999979</v>
      </c>
      <c r="L36" s="1438"/>
      <c r="M36" s="1437">
        <f>+'Exhibit F'!N31+'Exhibit G State'!N24</f>
        <v>8.899999999999995</v>
      </c>
      <c r="N36" s="1438"/>
      <c r="O36" s="3143">
        <f>+'Exhibit F'!P31+'Exhibit G State'!P24</f>
        <v>8.3000000000000149</v>
      </c>
      <c r="P36" s="1438"/>
      <c r="Q36" s="1437"/>
      <c r="R36" s="1438"/>
      <c r="S36" s="1437"/>
      <c r="T36" s="1438"/>
      <c r="U36" s="1437"/>
      <c r="V36" s="1438"/>
      <c r="W36" s="1437"/>
      <c r="X36" s="1438"/>
      <c r="Y36" s="1437"/>
      <c r="Z36" s="1438"/>
      <c r="AA36" s="2765"/>
      <c r="AB36" s="3143">
        <f t="shared" si="3"/>
        <v>52.6</v>
      </c>
      <c r="AC36" s="3101"/>
      <c r="AD36" s="3393"/>
      <c r="AE36" s="3143">
        <f>+'Exhibit F'!AF31+'Exhibit G State'!AG24</f>
        <v>66.5</v>
      </c>
      <c r="AF36" s="3354"/>
      <c r="AG36" s="3354"/>
      <c r="AH36" s="1999">
        <f t="shared" si="4"/>
        <v>-13.9</v>
      </c>
      <c r="AI36" s="2467"/>
      <c r="AJ36" s="1817">
        <f>ROUND(SUM(+AH36/ABS(AE36)),3)</f>
        <v>-0.20899999999999999</v>
      </c>
    </row>
    <row r="37" spans="1:36" ht="15.5">
      <c r="A37" s="2233" t="s">
        <v>1097</v>
      </c>
      <c r="B37" s="1438"/>
      <c r="C37" s="1437">
        <f>+'Exhibit F'!D32+'Exhibit G State'!D25</f>
        <v>26.7</v>
      </c>
      <c r="D37" s="1437"/>
      <c r="E37" s="1437">
        <f>+'Exhibit F'!F32+'Exhibit G State'!F25</f>
        <v>21.400000000000002</v>
      </c>
      <c r="F37" s="1437"/>
      <c r="G37" s="1437">
        <f>+'Exhibit F'!H32+'Exhibit G State'!H25</f>
        <v>22.8</v>
      </c>
      <c r="H37" s="1437"/>
      <c r="I37" s="1437">
        <f>+'Exhibit F'!J32+'Exhibit G State'!J25</f>
        <v>25.999999999999982</v>
      </c>
      <c r="J37" s="1437"/>
      <c r="K37" s="1437">
        <f>+'Exhibit F'!L32+'Exhibit G State'!L25</f>
        <v>23.100000000000012</v>
      </c>
      <c r="L37" s="1438"/>
      <c r="M37" s="1437">
        <f>+'Exhibit F'!N32+'Exhibit G State'!N25</f>
        <v>23.300000000000008</v>
      </c>
      <c r="N37" s="1438"/>
      <c r="O37" s="3143">
        <f>+'Exhibit F'!P32+'Exhibit G State'!P25</f>
        <v>23.700000000000006</v>
      </c>
      <c r="P37" s="1438"/>
      <c r="Q37" s="1437"/>
      <c r="R37" s="1438"/>
      <c r="S37" s="1437"/>
      <c r="T37" s="1438"/>
      <c r="U37" s="1437"/>
      <c r="V37" s="1438"/>
      <c r="W37" s="1437"/>
      <c r="X37" s="1438"/>
      <c r="Y37" s="1437"/>
      <c r="Z37" s="1438"/>
      <c r="AA37" s="2765"/>
      <c r="AB37" s="3143">
        <f t="shared" si="3"/>
        <v>167</v>
      </c>
      <c r="AC37" s="3101"/>
      <c r="AD37" s="3393"/>
      <c r="AE37" s="3143">
        <f>+'Exhibit F'!AF32+'Exhibit G State'!AG25</f>
        <v>154.6</v>
      </c>
      <c r="AF37" s="3354"/>
      <c r="AG37" s="3354"/>
      <c r="AH37" s="1999">
        <f t="shared" si="4"/>
        <v>12.4</v>
      </c>
      <c r="AI37" s="2467"/>
      <c r="AJ37" s="1817">
        <f>ROUND(SUM(+AH37/ABS(AE37)),3)</f>
        <v>0.08</v>
      </c>
    </row>
    <row r="38" spans="1:36" ht="15.5">
      <c r="A38" s="2233" t="s">
        <v>1098</v>
      </c>
      <c r="B38" s="1438"/>
      <c r="C38" s="1437">
        <f>+'Exhibit F'!D33+'Exhibit G State'!D26</f>
        <v>0</v>
      </c>
      <c r="D38" s="1437"/>
      <c r="E38" s="1437">
        <f>+'Exhibit F'!F33+'Exhibit G State'!F26</f>
        <v>0.1</v>
      </c>
      <c r="F38" s="1437"/>
      <c r="G38" s="1437">
        <f>+'Exhibit F'!H33+'Exhibit G State'!H26</f>
        <v>0</v>
      </c>
      <c r="H38" s="1437"/>
      <c r="I38" s="1437">
        <f>+'Exhibit F'!J33+'Exhibit G State'!J26</f>
        <v>0</v>
      </c>
      <c r="J38" s="1437"/>
      <c r="K38" s="1437">
        <f>+'Exhibit F'!L33+'Exhibit G State'!L26</f>
        <v>0.1</v>
      </c>
      <c r="L38" s="1438"/>
      <c r="M38" s="1437">
        <f>+'Exhibit F'!N33+'Exhibit G State'!N26</f>
        <v>0</v>
      </c>
      <c r="N38" s="1438"/>
      <c r="O38" s="3143">
        <f>+'Exhibit F'!P33+'Exhibit G State'!P26</f>
        <v>0</v>
      </c>
      <c r="P38" s="1438"/>
      <c r="Q38" s="1437"/>
      <c r="R38" s="1438"/>
      <c r="S38" s="1437"/>
      <c r="T38" s="1438"/>
      <c r="U38" s="1437"/>
      <c r="V38" s="1438"/>
      <c r="W38" s="1437"/>
      <c r="X38" s="1438"/>
      <c r="Y38" s="1437"/>
      <c r="Z38" s="1438"/>
      <c r="AA38" s="2765"/>
      <c r="AB38" s="3143">
        <f t="shared" si="3"/>
        <v>0.2</v>
      </c>
      <c r="AC38" s="3101"/>
      <c r="AD38" s="3393"/>
      <c r="AE38" s="3143">
        <f>+'Exhibit F'!AF33+'Exhibit G State'!AG26</f>
        <v>0.3</v>
      </c>
      <c r="AF38" s="3354"/>
      <c r="AG38" s="3354"/>
      <c r="AH38" s="1999">
        <f t="shared" si="4"/>
        <v>-0.1</v>
      </c>
      <c r="AI38" s="2467"/>
      <c r="AJ38" s="1728">
        <f>ROUND(IF(AE38=0,0,AH38/ABS(AE38)),3)</f>
        <v>-0.33300000000000002</v>
      </c>
    </row>
    <row r="39" spans="1:36" ht="15.5">
      <c r="A39" s="2233" t="s">
        <v>1441</v>
      </c>
      <c r="B39" s="1438"/>
      <c r="C39" s="1437">
        <f>'Exhibit F'!D34+'Exhibit G'!D27</f>
        <v>0</v>
      </c>
      <c r="D39" s="1437"/>
      <c r="E39" s="1437">
        <f>'Exhibit F'!F34+'Exhibit G'!F27</f>
        <v>0.1</v>
      </c>
      <c r="F39" s="1437"/>
      <c r="G39" s="1437">
        <f>'Exhibit F'!H34+'Exhibit G'!H27</f>
        <v>11.700000000000001</v>
      </c>
      <c r="H39" s="1437"/>
      <c r="I39" s="1437">
        <f>'Exhibit F'!J34+'Exhibit G'!J27</f>
        <v>-0.40000000000000036</v>
      </c>
      <c r="J39" s="1437"/>
      <c r="K39" s="1437">
        <f>'Exhibit F'!L34+'Exhibit G'!L27</f>
        <v>-9.9999999999999645E-2</v>
      </c>
      <c r="L39" s="1438"/>
      <c r="M39" s="1437">
        <f>'Exhibit F'!N34+'Exhibit G'!N27</f>
        <v>7.3999999999999968</v>
      </c>
      <c r="N39" s="1438"/>
      <c r="O39" s="3143">
        <f>'Exhibit F'!P34+'Exhibit G'!P27</f>
        <v>0</v>
      </c>
      <c r="P39" s="1438"/>
      <c r="Q39" s="1437"/>
      <c r="R39" s="1438"/>
      <c r="S39" s="1437"/>
      <c r="T39" s="1438"/>
      <c r="U39" s="1437"/>
      <c r="V39" s="1438"/>
      <c r="W39" s="1437"/>
      <c r="X39" s="1438"/>
      <c r="Y39" s="1437"/>
      <c r="Z39" s="1438"/>
      <c r="AA39" s="2765"/>
      <c r="AB39" s="3143">
        <f>ROUND(SUM(C39:Y39),1)</f>
        <v>18.7</v>
      </c>
      <c r="AC39" s="3101"/>
      <c r="AD39" s="3393"/>
      <c r="AE39" s="3143">
        <f>+'Exhibit F'!AF34</f>
        <v>0</v>
      </c>
      <c r="AF39" s="3354"/>
      <c r="AG39" s="3354"/>
      <c r="AH39" s="1999">
        <f>ROUND(SUM(+AB39-AE39),1)</f>
        <v>18.7</v>
      </c>
      <c r="AI39" s="2467"/>
      <c r="AJ39" s="1728">
        <f>ROUND(IF(AE39=0,1,AH39/ABS(AE39)),3)</f>
        <v>1</v>
      </c>
    </row>
    <row r="40" spans="1:36" ht="15.5">
      <c r="A40" s="2233" t="s">
        <v>1442</v>
      </c>
      <c r="B40" s="1438"/>
      <c r="C40" s="1437">
        <f>'Exhibit F'!D35</f>
        <v>7.2</v>
      </c>
      <c r="D40" s="1437"/>
      <c r="E40" s="1437">
        <f>'Exhibit F'!F35</f>
        <v>0</v>
      </c>
      <c r="F40" s="1437"/>
      <c r="G40" s="1437">
        <f>'Exhibit F'!H35</f>
        <v>0</v>
      </c>
      <c r="H40" s="1437"/>
      <c r="I40" s="1437">
        <f>'Exhibit F'!J35</f>
        <v>8.9000000000000021</v>
      </c>
      <c r="J40" s="1437"/>
      <c r="K40" s="1437">
        <f>'Exhibit F'!L35</f>
        <v>0</v>
      </c>
      <c r="L40" s="1438"/>
      <c r="M40" s="1437">
        <f>'Exhibit F'!N35</f>
        <v>0.29999999999999716</v>
      </c>
      <c r="N40" s="1438"/>
      <c r="O40" s="3143">
        <f>'Exhibit F'!P35</f>
        <v>6.1000000000000014</v>
      </c>
      <c r="P40" s="1438"/>
      <c r="Q40" s="1437"/>
      <c r="R40" s="1438"/>
      <c r="S40" s="1437"/>
      <c r="T40" s="1438"/>
      <c r="U40" s="1437"/>
      <c r="V40" s="1438"/>
      <c r="W40" s="1437"/>
      <c r="X40" s="1438"/>
      <c r="Y40" s="1437"/>
      <c r="Z40" s="1438"/>
      <c r="AA40" s="2765"/>
      <c r="AB40" s="3143">
        <f t="shared" ref="AB40" si="5">ROUND(SUM(C40:Y40),1)</f>
        <v>22.5</v>
      </c>
      <c r="AC40" s="3101"/>
      <c r="AD40" s="3393"/>
      <c r="AE40" s="3143">
        <f>+'Exhibit F'!AF35</f>
        <v>0</v>
      </c>
      <c r="AF40" s="3354"/>
      <c r="AG40" s="3354"/>
      <c r="AH40" s="1999">
        <f t="shared" ref="AH40" si="6">ROUND(SUM(+AB40-AE40),1)</f>
        <v>22.5</v>
      </c>
      <c r="AI40" s="2467"/>
      <c r="AJ40" s="1728">
        <f>ROUND(IF(AE40=0,1,AH40/ABS(AE40)),3)</f>
        <v>1</v>
      </c>
    </row>
    <row r="41" spans="1:36" ht="15.5">
      <c r="A41" s="2472" t="s">
        <v>1092</v>
      </c>
      <c r="B41" s="1438"/>
      <c r="C41" s="2041">
        <f>ROUND(SUM(C32:C40),1)</f>
        <v>1009</v>
      </c>
      <c r="D41" s="1438"/>
      <c r="E41" s="2041">
        <f>ROUND(SUM(E32:E40),1)</f>
        <v>890.2</v>
      </c>
      <c r="F41" s="1438"/>
      <c r="G41" s="2041">
        <f>ROUND(SUM(G32:G40),1)</f>
        <v>1341.3</v>
      </c>
      <c r="H41" s="1438"/>
      <c r="I41" s="2041">
        <f>ROUND(SUM(I32:I40),1)</f>
        <v>1275.9000000000001</v>
      </c>
      <c r="J41" s="1438"/>
      <c r="K41" s="2041">
        <f>ROUND(SUM(K32:K40),1)</f>
        <v>1268.5</v>
      </c>
      <c r="L41" s="1438"/>
      <c r="M41" s="2041">
        <f>ROUND(SUM(M32:M40),1)</f>
        <v>1683.1</v>
      </c>
      <c r="N41" s="1438"/>
      <c r="O41" s="1458">
        <f>ROUND(SUM(O32:O40),1)</f>
        <v>1260.5</v>
      </c>
      <c r="P41" s="1438"/>
      <c r="Q41" s="2041">
        <f>ROUND(SUM(Q32:Q40),1)</f>
        <v>0</v>
      </c>
      <c r="R41" s="1438"/>
      <c r="S41" s="2041">
        <f>ROUND(SUM(S32:S40),1)</f>
        <v>0</v>
      </c>
      <c r="T41" s="1438"/>
      <c r="U41" s="2041">
        <f>ROUND(SUM(U32:U40),1)</f>
        <v>0</v>
      </c>
      <c r="V41" s="1438"/>
      <c r="W41" s="2041">
        <f>ROUND(SUM(W32:W40),1)</f>
        <v>0</v>
      </c>
      <c r="X41" s="1438"/>
      <c r="Y41" s="2041">
        <f>ROUND(SUM(Y32:Y40),1)</f>
        <v>0</v>
      </c>
      <c r="Z41" s="1438"/>
      <c r="AA41" s="2765"/>
      <c r="AB41" s="1458">
        <f>ROUND(SUM(AB32:AB40),1)</f>
        <v>8728.5</v>
      </c>
      <c r="AC41" s="3101"/>
      <c r="AD41" s="3393"/>
      <c r="AE41" s="1458">
        <f>ROUND(SUM(AE32:AE40),1)</f>
        <v>10188.799999999999</v>
      </c>
      <c r="AF41" s="3354"/>
      <c r="AG41" s="3354"/>
      <c r="AH41" s="1458">
        <f>ROUND(SUM(AH32:AH40),1)</f>
        <v>-1460.3</v>
      </c>
      <c r="AI41" s="3357"/>
      <c r="AJ41" s="2548">
        <f>ROUND(SUM(+AH41/ABS(AE41)),3)</f>
        <v>-0.14299999999999999</v>
      </c>
    </row>
    <row r="42" spans="1:36" ht="15.5">
      <c r="A42" s="2462" t="s">
        <v>1141</v>
      </c>
      <c r="B42" s="1438"/>
      <c r="C42" s="1438"/>
      <c r="D42" s="1438"/>
      <c r="E42" s="1438"/>
      <c r="F42" s="1438"/>
      <c r="G42" s="1438"/>
      <c r="H42" s="1438"/>
      <c r="I42" s="1438"/>
      <c r="J42" s="1438"/>
      <c r="K42" s="1438"/>
      <c r="L42" s="1438"/>
      <c r="M42" s="1438"/>
      <c r="N42" s="1438"/>
      <c r="O42" s="3101"/>
      <c r="P42" s="1438"/>
      <c r="Q42" s="1438"/>
      <c r="R42" s="1438"/>
      <c r="S42" s="1438"/>
      <c r="T42" s="1438"/>
      <c r="U42" s="1438"/>
      <c r="V42" s="1438"/>
      <c r="W42" s="1438"/>
      <c r="X42" s="1438"/>
      <c r="Y42" s="1438"/>
      <c r="Z42" s="1438"/>
      <c r="AA42" s="2765"/>
      <c r="AB42" s="3101"/>
      <c r="AC42" s="3101"/>
      <c r="AD42" s="3393"/>
      <c r="AE42" s="3143"/>
      <c r="AF42" s="3354"/>
      <c r="AG42" s="3354"/>
      <c r="AH42" s="3356"/>
      <c r="AI42" s="3101"/>
      <c r="AJ42" s="3356"/>
    </row>
    <row r="43" spans="1:36" ht="15.5">
      <c r="A43" s="2233" t="s">
        <v>1100</v>
      </c>
      <c r="B43" s="1438"/>
      <c r="C43" s="1437">
        <f>+'Exhibit F'!D38+'Exhibit G State'!D30</f>
        <v>254.4</v>
      </c>
      <c r="D43" s="1437"/>
      <c r="E43" s="1437">
        <f>+'Exhibit F'!F38+'Exhibit G State'!F30</f>
        <v>-134.69999999999999</v>
      </c>
      <c r="F43" s="1437"/>
      <c r="G43" s="1437">
        <f>+'Exhibit F'!H38+'Exhibit G State'!H30</f>
        <v>557.5</v>
      </c>
      <c r="H43" s="1437"/>
      <c r="I43" s="1437">
        <f>+'Exhibit F'!J38+'Exhibit G State'!J30</f>
        <v>563.20000000000005</v>
      </c>
      <c r="J43" s="1437"/>
      <c r="K43" s="1437">
        <f>+'Exhibit F'!L38+'Exhibit G State'!L30</f>
        <v>29.700000000000045</v>
      </c>
      <c r="L43" s="1437"/>
      <c r="M43" s="1437">
        <f>+'Exhibit F'!N38+'Exhibit G State'!N30</f>
        <v>1000.6999999999997</v>
      </c>
      <c r="N43" s="1438"/>
      <c r="O43" s="3143">
        <f>+'Exhibit F'!P38+'Exhibit G State'!P30</f>
        <v>115.00000000000023</v>
      </c>
      <c r="P43" s="1438"/>
      <c r="Q43" s="1437"/>
      <c r="R43" s="1438"/>
      <c r="S43" s="1437"/>
      <c r="T43" s="1438"/>
      <c r="U43" s="1437"/>
      <c r="V43" s="1438"/>
      <c r="W43" s="1437"/>
      <c r="X43" s="1438"/>
      <c r="Y43" s="1437"/>
      <c r="Z43" s="1438"/>
      <c r="AA43" s="2765"/>
      <c r="AB43" s="3143">
        <f>ROUND(SUM(C43:Y43),1)</f>
        <v>2385.8000000000002</v>
      </c>
      <c r="AC43" s="3101"/>
      <c r="AD43" s="3393"/>
      <c r="AE43" s="3143">
        <f>+'Exhibit F'!AF38+'Exhibit G State'!AG30</f>
        <v>2395.3000000000002</v>
      </c>
      <c r="AF43" s="3354"/>
      <c r="AG43" s="3354"/>
      <c r="AH43" s="1999">
        <f t="shared" ref="AH43:AH54" si="7">ROUND(SUM(+AB43-AE43),1)</f>
        <v>-9.5</v>
      </c>
      <c r="AI43" s="2467"/>
      <c r="AJ43" s="1817">
        <f t="shared" ref="AJ43:AJ48" si="8">ROUND(SUM(+AH43/ABS(AE43)),3)</f>
        <v>-4.0000000000000001E-3</v>
      </c>
    </row>
    <row r="44" spans="1:36" ht="15.5">
      <c r="A44" s="2233" t="s">
        <v>1101</v>
      </c>
      <c r="B44" s="1438"/>
      <c r="C44" s="1437">
        <f>+'Exhibit G State'!D31+'Exhibit F'!D39</f>
        <v>15.5</v>
      </c>
      <c r="D44" s="1437"/>
      <c r="E44" s="1437">
        <f>+'Exhibit G State'!F31+'Exhibit F'!F39</f>
        <v>-9.5000000000000018</v>
      </c>
      <c r="F44" s="1437"/>
      <c r="G44" s="1437">
        <f>+'Exhibit G State'!H31+'Exhibit F'!H39</f>
        <v>94.300000000000011</v>
      </c>
      <c r="H44" s="1437"/>
      <c r="I44" s="1437">
        <f>+'Exhibit G State'!J31+'Exhibit F'!J39</f>
        <v>29.699999999999989</v>
      </c>
      <c r="J44" s="1437"/>
      <c r="K44" s="1437">
        <f>+'Exhibit G State'!L31+'Exhibit F'!L39</f>
        <v>2.2000000000000015</v>
      </c>
      <c r="L44" s="1437"/>
      <c r="M44" s="1437">
        <f>+'Exhibit G State'!N31+'Exhibit F'!N39</f>
        <v>104.09999999999998</v>
      </c>
      <c r="N44" s="1438"/>
      <c r="O44" s="3143">
        <f>+'Exhibit G State'!P31+'Exhibit F'!P39</f>
        <v>9.5000000000000071</v>
      </c>
      <c r="P44" s="1438"/>
      <c r="Q44" s="1437"/>
      <c r="R44" s="1438"/>
      <c r="S44" s="1437"/>
      <c r="T44" s="1438"/>
      <c r="U44" s="1437"/>
      <c r="V44" s="1438"/>
      <c r="W44" s="1437"/>
      <c r="X44" s="1438"/>
      <c r="Y44" s="1437"/>
      <c r="Z44" s="1438"/>
      <c r="AA44" s="2765"/>
      <c r="AB44" s="3143">
        <f>ROUND(SUM(C44:Y44),1)</f>
        <v>245.8</v>
      </c>
      <c r="AC44" s="3101"/>
      <c r="AD44" s="3393"/>
      <c r="AE44" s="3143">
        <f>+'Exhibit G State'!AG31+'Exhibit F'!AF39</f>
        <v>288</v>
      </c>
      <c r="AF44" s="3354"/>
      <c r="AG44" s="3354"/>
      <c r="AH44" s="1999">
        <f t="shared" si="7"/>
        <v>-42.2</v>
      </c>
      <c r="AI44" s="2467"/>
      <c r="AJ44" s="1817">
        <f t="shared" si="8"/>
        <v>-0.14699999999999999</v>
      </c>
    </row>
    <row r="45" spans="1:36" ht="15.5">
      <c r="A45" s="2233" t="s">
        <v>1102</v>
      </c>
      <c r="B45" s="1438"/>
      <c r="C45" s="1437">
        <f>+'Exhibit F'!D40+'Exhibit G State'!D32</f>
        <v>70.2</v>
      </c>
      <c r="D45" s="1437"/>
      <c r="E45" s="1437">
        <f>+'Exhibit F'!F40+'Exhibit G State'!F32</f>
        <v>6.5000000000000009</v>
      </c>
      <c r="F45" s="1437"/>
      <c r="G45" s="1437">
        <f>+'Exhibit F'!H40+'Exhibit G State'!H32</f>
        <v>364</v>
      </c>
      <c r="H45" s="1437"/>
      <c r="I45" s="1437">
        <f>+'Exhibit F'!J40+'Exhibit G State'!J32</f>
        <v>33.299999999999983</v>
      </c>
      <c r="J45" s="1437"/>
      <c r="K45" s="1437">
        <f>+'Exhibit F'!L40+'Exhibit G State'!L32</f>
        <v>16.000000000000021</v>
      </c>
      <c r="L45" s="1437"/>
      <c r="M45" s="1437">
        <f>+'Exhibit F'!N40+'Exhibit G State'!N32</f>
        <v>391.7000000000001</v>
      </c>
      <c r="N45" s="1438"/>
      <c r="O45" s="3143">
        <f>+'Exhibit F'!P40+'Exhibit G State'!P32</f>
        <v>23.09999999999998</v>
      </c>
      <c r="P45" s="1438"/>
      <c r="Q45" s="1437"/>
      <c r="R45" s="1438"/>
      <c r="S45" s="1437"/>
      <c r="T45" s="1438"/>
      <c r="U45" s="1437"/>
      <c r="V45" s="1438"/>
      <c r="W45" s="1437"/>
      <c r="X45" s="1438"/>
      <c r="Y45" s="1437"/>
      <c r="Z45" s="1438"/>
      <c r="AA45" s="2765"/>
      <c r="AB45" s="3143">
        <f>ROUND(SUM(C45:Y45),1)</f>
        <v>904.8</v>
      </c>
      <c r="AC45" s="3101"/>
      <c r="AD45" s="3393"/>
      <c r="AE45" s="3143">
        <f>+'Exhibit F'!AF40+'Exhibit G State'!AG32</f>
        <v>1043.5</v>
      </c>
      <c r="AF45" s="3354"/>
      <c r="AG45" s="3354"/>
      <c r="AH45" s="1999">
        <f t="shared" si="7"/>
        <v>-138.69999999999999</v>
      </c>
      <c r="AI45" s="2467"/>
      <c r="AJ45" s="1817">
        <f t="shared" si="8"/>
        <v>-0.13300000000000001</v>
      </c>
    </row>
    <row r="46" spans="1:36" ht="15.5">
      <c r="A46" s="2233" t="s">
        <v>1103</v>
      </c>
      <c r="B46" s="1438"/>
      <c r="C46" s="1437">
        <f>+'Exhibit F'!D41+'Exhibit G State'!D33</f>
        <v>7.3999999999999995</v>
      </c>
      <c r="D46" s="1437"/>
      <c r="E46" s="1437">
        <f>+'Exhibit F'!F41+'Exhibit G State'!F33</f>
        <v>2.5999999999999996</v>
      </c>
      <c r="F46" s="1437"/>
      <c r="G46" s="1437">
        <f>+'Exhibit F'!H41+'Exhibit G State'!H33</f>
        <v>91.800000000000011</v>
      </c>
      <c r="H46" s="1437"/>
      <c r="I46" s="1437">
        <f>+'Exhibit F'!J41+'Exhibit G State'!J33</f>
        <v>0.70000000000000284</v>
      </c>
      <c r="J46" s="1437"/>
      <c r="K46" s="1437">
        <f>+'Exhibit F'!L41+'Exhibit G State'!L33</f>
        <v>46.499999999999986</v>
      </c>
      <c r="L46" s="1437"/>
      <c r="M46" s="1437">
        <f>+'Exhibit F'!N41+'Exhibit G State'!N33</f>
        <v>15.30000000000001</v>
      </c>
      <c r="N46" s="1438"/>
      <c r="O46" s="3143">
        <f>+'Exhibit F'!P41+'Exhibit G State'!P33</f>
        <v>0.40000000000000391</v>
      </c>
      <c r="P46" s="1438"/>
      <c r="Q46" s="1437"/>
      <c r="R46" s="1438"/>
      <c r="S46" s="1437"/>
      <c r="T46" s="1438"/>
      <c r="U46" s="1437"/>
      <c r="V46" s="1438"/>
      <c r="W46" s="1437"/>
      <c r="X46" s="1438"/>
      <c r="Y46" s="1437"/>
      <c r="Z46" s="1438"/>
      <c r="AA46" s="2765"/>
      <c r="AB46" s="3143">
        <f>ROUND(SUM(C46:Y46),1)</f>
        <v>164.7</v>
      </c>
      <c r="AC46" s="3101"/>
      <c r="AD46" s="3393"/>
      <c r="AE46" s="3143">
        <f>+'Exhibit F'!AF41+'Exhibit G State'!AG33</f>
        <v>-1.9000000000000004</v>
      </c>
      <c r="AF46" s="3354"/>
      <c r="AG46" s="3354"/>
      <c r="AH46" s="1999">
        <f t="shared" si="7"/>
        <v>166.6</v>
      </c>
      <c r="AI46" s="2467"/>
      <c r="AJ46" s="1828">
        <f t="shared" si="8"/>
        <v>87.683999999999997</v>
      </c>
    </row>
    <row r="47" spans="1:36" ht="15.5">
      <c r="A47" s="2233" t="s">
        <v>1104</v>
      </c>
      <c r="B47" s="1438"/>
      <c r="C47" s="1437">
        <f>+'Exhibit F'!D42+'Exhibit G State'!D34</f>
        <v>30.3</v>
      </c>
      <c r="D47" s="1437"/>
      <c r="E47" s="1437">
        <f>+'Exhibit F'!F42+'Exhibit G State'!F34</f>
        <v>17.599999999999998</v>
      </c>
      <c r="F47" s="1437"/>
      <c r="G47" s="1437">
        <f>+'Exhibit F'!H42+'Exhibit G State'!H34</f>
        <v>37.700000000000003</v>
      </c>
      <c r="H47" s="1437"/>
      <c r="I47" s="1437">
        <f>+'Exhibit F'!J42+'Exhibit G State'!J34</f>
        <v>38.800000000000011</v>
      </c>
      <c r="J47" s="1437"/>
      <c r="K47" s="1437">
        <f>+'Exhibit F'!L42+'Exhibit G State'!L34</f>
        <v>38.699999999999974</v>
      </c>
      <c r="L47" s="1437"/>
      <c r="M47" s="1437">
        <f>+'Exhibit F'!N42+'Exhibit G State'!N34</f>
        <v>43.200000000000017</v>
      </c>
      <c r="N47" s="1438"/>
      <c r="O47" s="3143">
        <f>+'Exhibit F'!P42+'Exhibit G State'!P34</f>
        <v>39.600000000000009</v>
      </c>
      <c r="P47" s="1438"/>
      <c r="Q47" s="1437"/>
      <c r="R47" s="1438"/>
      <c r="S47" s="1437"/>
      <c r="T47" s="1438"/>
      <c r="U47" s="1437"/>
      <c r="V47" s="1438"/>
      <c r="W47" s="1437"/>
      <c r="X47" s="1438"/>
      <c r="Y47" s="1437"/>
      <c r="Z47" s="1438"/>
      <c r="AA47" s="2765"/>
      <c r="AB47" s="3143">
        <f>ROUND(SUM(C47:Y47),1)</f>
        <v>245.9</v>
      </c>
      <c r="AC47" s="3101"/>
      <c r="AD47" s="3393"/>
      <c r="AE47" s="3143">
        <f>+'Exhibit F'!AF42+'Exhibit G State'!AG34</f>
        <v>312.8</v>
      </c>
      <c r="AF47" s="3354"/>
      <c r="AG47" s="3354"/>
      <c r="AH47" s="1999">
        <f t="shared" si="7"/>
        <v>-66.900000000000006</v>
      </c>
      <c r="AI47" s="2467"/>
      <c r="AJ47" s="1817">
        <f t="shared" si="8"/>
        <v>-0.214</v>
      </c>
    </row>
    <row r="48" spans="1:36" ht="15.5">
      <c r="A48" s="2472" t="s">
        <v>1099</v>
      </c>
      <c r="B48" s="1438"/>
      <c r="C48" s="2041">
        <f>ROUND(SUM(C43:C47),1)</f>
        <v>377.8</v>
      </c>
      <c r="D48" s="1438"/>
      <c r="E48" s="2041">
        <f>ROUND(SUM(E43:E47),1)</f>
        <v>-117.5</v>
      </c>
      <c r="F48" s="1438"/>
      <c r="G48" s="2041">
        <f>ROUND(SUM(G43:G47),1)</f>
        <v>1145.3</v>
      </c>
      <c r="H48" s="1438"/>
      <c r="I48" s="2041">
        <f>ROUND(SUM(I43:I47),1)</f>
        <v>665.7</v>
      </c>
      <c r="J48" s="1438"/>
      <c r="K48" s="2041">
        <f>ROUND(SUM(K43:K47),1)</f>
        <v>133.1</v>
      </c>
      <c r="L48" s="1438"/>
      <c r="M48" s="2041">
        <f>ROUND(SUM(M43:M47),1)</f>
        <v>1555</v>
      </c>
      <c r="N48" s="1438"/>
      <c r="O48" s="1458">
        <f>ROUND(SUM(O43:O47),1)</f>
        <v>187.6</v>
      </c>
      <c r="P48" s="1438"/>
      <c r="Q48" s="2041">
        <f>ROUND(SUM(Q43:Q47),1)</f>
        <v>0</v>
      </c>
      <c r="R48" s="1438"/>
      <c r="S48" s="2041">
        <f>ROUND(SUM(S43:S47),1)</f>
        <v>0</v>
      </c>
      <c r="T48" s="1438"/>
      <c r="U48" s="2041">
        <f>ROUND(SUM(U43:U47),1)</f>
        <v>0</v>
      </c>
      <c r="V48" s="1438"/>
      <c r="W48" s="2041">
        <f>ROUND(SUM(W43:W47),1)</f>
        <v>0</v>
      </c>
      <c r="X48" s="1438"/>
      <c r="Y48" s="2041">
        <f>ROUND(SUM(Y43:Y47),1)</f>
        <v>0</v>
      </c>
      <c r="Z48" s="1438"/>
      <c r="AA48" s="2765"/>
      <c r="AB48" s="1458">
        <f>ROUND(SUM(AB43:AB47),1)</f>
        <v>3947</v>
      </c>
      <c r="AC48" s="3101"/>
      <c r="AD48" s="3393"/>
      <c r="AE48" s="1458">
        <f>ROUND(SUM(AE43:AE47),1)</f>
        <v>4037.7</v>
      </c>
      <c r="AF48" s="3354"/>
      <c r="AG48" s="3354"/>
      <c r="AH48" s="1458">
        <f>ROUND(SUM(AH43:AH47),1)</f>
        <v>-90.7</v>
      </c>
      <c r="AI48" s="3357"/>
      <c r="AJ48" s="2548">
        <f t="shared" si="8"/>
        <v>-2.1999999999999999E-2</v>
      </c>
    </row>
    <row r="49" spans="1:36" ht="15.5">
      <c r="A49" s="2462" t="s">
        <v>1142</v>
      </c>
      <c r="B49" s="1438"/>
      <c r="C49" s="1438"/>
      <c r="D49" s="1438"/>
      <c r="E49" s="1438"/>
      <c r="F49" s="1438"/>
      <c r="G49" s="1438"/>
      <c r="H49" s="1438"/>
      <c r="I49" s="1438"/>
      <c r="J49" s="1438"/>
      <c r="K49" s="1438"/>
      <c r="L49" s="1438"/>
      <c r="M49" s="1438"/>
      <c r="N49" s="1438"/>
      <c r="O49" s="3101"/>
      <c r="P49" s="1438"/>
      <c r="Q49" s="1438"/>
      <c r="R49" s="1438"/>
      <c r="S49" s="1438"/>
      <c r="T49" s="1438"/>
      <c r="U49" s="1438"/>
      <c r="V49" s="1438"/>
      <c r="W49" s="1438"/>
      <c r="X49" s="1438"/>
      <c r="Y49" s="1438"/>
      <c r="Z49" s="1438"/>
      <c r="AA49" s="2765"/>
      <c r="AB49" s="3101"/>
      <c r="AC49" s="3101"/>
      <c r="AD49" s="3393"/>
      <c r="AE49" s="3143"/>
      <c r="AF49" s="3354"/>
      <c r="AG49" s="3354"/>
      <c r="AH49" s="3356"/>
      <c r="AI49" s="3101"/>
      <c r="AJ49" s="3356"/>
    </row>
    <row r="50" spans="1:36" ht="15.5">
      <c r="A50" s="2233" t="s">
        <v>1107</v>
      </c>
      <c r="B50" s="1438"/>
      <c r="C50" s="1437">
        <f>+'Exhibit F'!D45</f>
        <v>0</v>
      </c>
      <c r="D50" s="1437"/>
      <c r="E50" s="1437">
        <f>+'Exhibit F'!F45</f>
        <v>0</v>
      </c>
      <c r="F50" s="1437"/>
      <c r="G50" s="1437">
        <f>+'Exhibit F'!H45</f>
        <v>0</v>
      </c>
      <c r="H50" s="1437"/>
      <c r="I50" s="1437">
        <f>+'Exhibit F'!J45</f>
        <v>0</v>
      </c>
      <c r="J50" s="1437"/>
      <c r="K50" s="1437">
        <f>+'Exhibit F'!L45</f>
        <v>0</v>
      </c>
      <c r="L50" s="1438"/>
      <c r="M50" s="1437">
        <f>+'Exhibit F'!N45</f>
        <v>0</v>
      </c>
      <c r="N50" s="1438"/>
      <c r="O50" s="3143">
        <f>+'Exhibit F'!P45</f>
        <v>0</v>
      </c>
      <c r="P50" s="1438"/>
      <c r="Q50" s="1437"/>
      <c r="R50" s="1438"/>
      <c r="S50" s="1437"/>
      <c r="T50" s="1438"/>
      <c r="U50" s="1437"/>
      <c r="V50" s="1438"/>
      <c r="W50" s="1437"/>
      <c r="X50" s="1438"/>
      <c r="Y50" s="1437"/>
      <c r="Z50" s="1438"/>
      <c r="AA50" s="2765"/>
      <c r="AB50" s="3143">
        <f t="shared" ref="AB50:AB54" si="9">ROUND(SUM(C50:Y50),1)</f>
        <v>0</v>
      </c>
      <c r="AC50" s="3101"/>
      <c r="AD50" s="3393"/>
      <c r="AE50" s="3143">
        <f>+'Exhibit F'!AF45</f>
        <v>0</v>
      </c>
      <c r="AF50" s="3354"/>
      <c r="AG50" s="3354"/>
      <c r="AH50" s="1999">
        <f t="shared" si="7"/>
        <v>0</v>
      </c>
      <c r="AI50" s="3101"/>
      <c r="AJ50" s="1723">
        <f>ROUND(IF(AE50=0,0,AH50/ABS(AE50)),3)</f>
        <v>0</v>
      </c>
    </row>
    <row r="51" spans="1:36" ht="15.5">
      <c r="A51" s="2233" t="s">
        <v>1108</v>
      </c>
      <c r="B51" s="1438"/>
      <c r="C51" s="1437">
        <f>+'Exhibit F'!D46</f>
        <v>72.7</v>
      </c>
      <c r="D51" s="1437"/>
      <c r="E51" s="1437">
        <f>+'Exhibit F'!F46</f>
        <v>52</v>
      </c>
      <c r="F51" s="1437"/>
      <c r="G51" s="1437">
        <f>+'Exhibit F'!H46</f>
        <v>147.30000000000001</v>
      </c>
      <c r="H51" s="1437"/>
      <c r="I51" s="1437">
        <f>+'Exhibit F'!J46</f>
        <v>147.69999999999999</v>
      </c>
      <c r="J51" s="1437"/>
      <c r="K51" s="1437">
        <f>+'Exhibit F'!L46</f>
        <v>55.800000000000011</v>
      </c>
      <c r="L51" s="1438"/>
      <c r="M51" s="1437">
        <f>+'Exhibit F'!N46</f>
        <v>91.299999999999955</v>
      </c>
      <c r="N51" s="1438"/>
      <c r="O51" s="3143">
        <f>+'Exhibit F'!P46</f>
        <v>135.09999999999997</v>
      </c>
      <c r="P51" s="1438"/>
      <c r="Q51" s="1437"/>
      <c r="R51" s="1438"/>
      <c r="S51" s="1437"/>
      <c r="T51" s="1438"/>
      <c r="U51" s="1437"/>
      <c r="V51" s="1438"/>
      <c r="W51" s="1437"/>
      <c r="X51" s="1438"/>
      <c r="Y51" s="1437"/>
      <c r="Z51" s="1438"/>
      <c r="AA51" s="2765"/>
      <c r="AB51" s="3143">
        <f t="shared" si="9"/>
        <v>701.9</v>
      </c>
      <c r="AC51" s="3101"/>
      <c r="AD51" s="3393"/>
      <c r="AE51" s="3143">
        <f>+'Exhibit F'!AF46</f>
        <v>582.70000000000005</v>
      </c>
      <c r="AF51" s="3354"/>
      <c r="AG51" s="3354"/>
      <c r="AH51" s="1999">
        <f t="shared" si="7"/>
        <v>119.2</v>
      </c>
      <c r="AI51" s="3101"/>
      <c r="AJ51" s="1817">
        <f t="shared" ref="AJ51:AJ56" si="10">ROUND(SUM(+AH51/ABS(AE51)),3)</f>
        <v>0.20499999999999999</v>
      </c>
    </row>
    <row r="52" spans="1:36" ht="15.5">
      <c r="A52" s="2233" t="s">
        <v>1109</v>
      </c>
      <c r="B52" s="1438"/>
      <c r="C52" s="1437">
        <f>+'Exhibit F'!D47</f>
        <v>0.7</v>
      </c>
      <c r="D52" s="1437"/>
      <c r="E52" s="1437">
        <f>+'Exhibit F'!F47</f>
        <v>0.20000000000000007</v>
      </c>
      <c r="F52" s="1437"/>
      <c r="G52" s="1437">
        <f>+'Exhibit F'!H47</f>
        <v>0.79999999999999993</v>
      </c>
      <c r="H52" s="1437"/>
      <c r="I52" s="1437">
        <f>+'Exhibit F'!J47</f>
        <v>0.99999999999999989</v>
      </c>
      <c r="J52" s="1437"/>
      <c r="K52" s="1437">
        <f>+'Exhibit F'!L47</f>
        <v>1.3999999999999995</v>
      </c>
      <c r="L52" s="1438"/>
      <c r="M52" s="1437">
        <f>+'Exhibit F'!N47</f>
        <v>0.70000000000000018</v>
      </c>
      <c r="N52" s="1438"/>
      <c r="O52" s="3143">
        <f>+'Exhibit F'!P47</f>
        <v>1.6000000000000005</v>
      </c>
      <c r="P52" s="1438"/>
      <c r="Q52" s="1437"/>
      <c r="R52" s="1438"/>
      <c r="S52" s="1437"/>
      <c r="T52" s="1438"/>
      <c r="U52" s="1437"/>
      <c r="V52" s="1438"/>
      <c r="W52" s="1437"/>
      <c r="X52" s="1438"/>
      <c r="Y52" s="1437"/>
      <c r="Z52" s="1438"/>
      <c r="AA52" s="2765"/>
      <c r="AB52" s="3143">
        <f t="shared" si="9"/>
        <v>6.4</v>
      </c>
      <c r="AC52" s="3101"/>
      <c r="AD52" s="3393"/>
      <c r="AE52" s="3143">
        <f>+'Exhibit F'!AF47</f>
        <v>10.1</v>
      </c>
      <c r="AF52" s="3354"/>
      <c r="AG52" s="3354"/>
      <c r="AH52" s="1999">
        <f t="shared" si="7"/>
        <v>-3.7</v>
      </c>
      <c r="AI52" s="3101"/>
      <c r="AJ52" s="1817">
        <f t="shared" si="10"/>
        <v>-0.36599999999999999</v>
      </c>
    </row>
    <row r="53" spans="1:36" ht="15.5">
      <c r="A53" s="2233" t="s">
        <v>1110</v>
      </c>
      <c r="B53" s="1438"/>
      <c r="C53" s="1437">
        <f>+'Exhibit F'!D48+'Exhibit H'!B22</f>
        <v>57.2</v>
      </c>
      <c r="D53" s="1437"/>
      <c r="E53" s="1437">
        <f>+'Exhibit F'!F48+'Exhibit H'!D22</f>
        <v>48.399999999999991</v>
      </c>
      <c r="F53" s="1437"/>
      <c r="G53" s="1437">
        <f>+'Exhibit F'!H48+'Exhibit H'!F22</f>
        <v>37.900000000000006</v>
      </c>
      <c r="H53" s="1437"/>
      <c r="I53" s="3143">
        <f>+'Exhibit F'!J48+'Exhibit H'!H22</f>
        <v>53.000000000000014</v>
      </c>
      <c r="J53" s="1437"/>
      <c r="K53" s="1437">
        <f>+'Exhibit F'!L48+'Exhibit H'!J22</f>
        <v>56.399999999999991</v>
      </c>
      <c r="L53" s="1438"/>
      <c r="M53" s="1437">
        <f>+'Exhibit F'!N48+'Exhibit H'!L22</f>
        <v>70.300000000000011</v>
      </c>
      <c r="N53" s="1438"/>
      <c r="O53" s="3143">
        <f>+'Exhibit F'!P48+'Exhibit H'!N22</f>
        <v>65.800000000000011</v>
      </c>
      <c r="P53" s="1438"/>
      <c r="Q53" s="1437"/>
      <c r="R53" s="1438"/>
      <c r="S53" s="1437"/>
      <c r="T53" s="1438"/>
      <c r="U53" s="1437"/>
      <c r="V53" s="1438"/>
      <c r="W53" s="1437"/>
      <c r="X53" s="1438"/>
      <c r="Y53" s="1437"/>
      <c r="Z53" s="1438"/>
      <c r="AA53" s="2765"/>
      <c r="AB53" s="3143">
        <f t="shared" si="9"/>
        <v>389</v>
      </c>
      <c r="AC53" s="3101"/>
      <c r="AD53" s="3393"/>
      <c r="AE53" s="3143">
        <f>+'Exhibit F'!AF48+'Exhibit I State'!AG28+'Exhibit H'!AD22</f>
        <v>611.79999999999995</v>
      </c>
      <c r="AF53" s="3354"/>
      <c r="AG53" s="3354"/>
      <c r="AH53" s="1999">
        <f t="shared" si="7"/>
        <v>-222.8</v>
      </c>
      <c r="AI53" s="3101"/>
      <c r="AJ53" s="1817">
        <f t="shared" si="10"/>
        <v>-0.36399999999999999</v>
      </c>
    </row>
    <row r="54" spans="1:36" ht="15.5">
      <c r="A54" s="2233" t="s">
        <v>1111</v>
      </c>
      <c r="B54" s="1438"/>
      <c r="C54" s="1437">
        <f>+'Exhibit F'!D49</f>
        <v>0.1</v>
      </c>
      <c r="D54" s="1437"/>
      <c r="E54" s="1437">
        <f>+'Exhibit F'!F49</f>
        <v>0</v>
      </c>
      <c r="F54" s="1437"/>
      <c r="G54" s="1437">
        <f>+'Exhibit F'!H49</f>
        <v>0</v>
      </c>
      <c r="H54" s="1437"/>
      <c r="I54" s="1437">
        <f>+'Exhibit F'!J49</f>
        <v>0</v>
      </c>
      <c r="J54" s="1437"/>
      <c r="K54" s="1437">
        <f>+'Exhibit F'!L49</f>
        <v>0</v>
      </c>
      <c r="L54" s="1438"/>
      <c r="M54" s="1437">
        <f>+'Exhibit F'!N49</f>
        <v>0</v>
      </c>
      <c r="N54" s="1438"/>
      <c r="O54" s="3143">
        <f>+'Exhibit F'!P49</f>
        <v>0</v>
      </c>
      <c r="P54" s="1438"/>
      <c r="Q54" s="1437"/>
      <c r="R54" s="1438"/>
      <c r="S54" s="1437"/>
      <c r="T54" s="1438"/>
      <c r="U54" s="1437"/>
      <c r="V54" s="1438"/>
      <c r="W54" s="1437"/>
      <c r="X54" s="1438"/>
      <c r="Y54" s="1437"/>
      <c r="Z54" s="1438"/>
      <c r="AA54" s="2765"/>
      <c r="AB54" s="3143">
        <f t="shared" si="9"/>
        <v>0.1</v>
      </c>
      <c r="AC54" s="3101"/>
      <c r="AD54" s="3393"/>
      <c r="AE54" s="3143">
        <f>+'Exhibit F'!AF49</f>
        <v>1.3</v>
      </c>
      <c r="AF54" s="3354"/>
      <c r="AG54" s="3354"/>
      <c r="AH54" s="1999">
        <f t="shared" si="7"/>
        <v>-1.2</v>
      </c>
      <c r="AI54" s="3101"/>
      <c r="AJ54" s="1817">
        <f>ROUND(IF(AE54=0,0,AH54/ABS(AE54)),3)</f>
        <v>-0.92300000000000004</v>
      </c>
    </row>
    <row r="55" spans="1:36" ht="15.5">
      <c r="A55" s="2767" t="s">
        <v>1372</v>
      </c>
      <c r="B55" s="1438"/>
      <c r="C55" s="1437">
        <f>+'Exhibit F'!D50+'Exhibit H'!B23</f>
        <v>0.2</v>
      </c>
      <c r="D55" s="1437"/>
      <c r="E55" s="1437">
        <f>+'Exhibit F'!F50+'Exhibit H'!D23</f>
        <v>-0.2</v>
      </c>
      <c r="F55" s="1437"/>
      <c r="G55" s="1437">
        <f>+'Exhibit F'!H50+'Exhibit H'!F23</f>
        <v>0.2</v>
      </c>
      <c r="H55" s="1437"/>
      <c r="I55" s="1437">
        <f>+'Exhibit F'!J50+'Exhibit H'!H23</f>
        <v>0.2</v>
      </c>
      <c r="J55" s="1437"/>
      <c r="K55" s="1437">
        <f>+'Exhibit F'!L50+'Exhibit H'!J23</f>
        <v>0.19999999999999996</v>
      </c>
      <c r="L55" s="1437"/>
      <c r="M55" s="1437">
        <f>+'Exhibit F'!N50+'Exhibit H'!L23</f>
        <v>0.20000000000000012</v>
      </c>
      <c r="N55" s="1437"/>
      <c r="O55" s="3143">
        <f>+'Exhibit F'!P50+'Exhibit H'!N23</f>
        <v>0.3</v>
      </c>
      <c r="P55" s="1438"/>
      <c r="Q55" s="1437"/>
      <c r="R55" s="1438"/>
      <c r="S55" s="1437"/>
      <c r="T55" s="1438"/>
      <c r="U55" s="1437"/>
      <c r="V55" s="1438"/>
      <c r="W55" s="1437"/>
      <c r="X55" s="1438"/>
      <c r="Y55" s="1437"/>
      <c r="Z55" s="1438"/>
      <c r="AA55" s="2765"/>
      <c r="AB55" s="3143">
        <f t="shared" ref="AB55" si="11">ROUND(SUM(C55:Y55),1)</f>
        <v>1.1000000000000001</v>
      </c>
      <c r="AC55" s="3101"/>
      <c r="AD55" s="3393"/>
      <c r="AE55" s="3145">
        <f>+'Exhibit F'!AF50+'Exhibit H'!AD23</f>
        <v>0.9</v>
      </c>
      <c r="AF55" s="3354"/>
      <c r="AG55" s="3354"/>
      <c r="AH55" s="1999">
        <f t="shared" ref="AH55" si="12">ROUND(SUM(+AB55-AE55),1)</f>
        <v>0.2</v>
      </c>
      <c r="AI55" s="2467"/>
      <c r="AJ55" s="1723">
        <f>ROUND(IF(AE55=0,1,AH55/ABS(AE55)),3)</f>
        <v>0.222</v>
      </c>
    </row>
    <row r="56" spans="1:36" ht="15.5">
      <c r="A56" s="2472" t="s">
        <v>1105</v>
      </c>
      <c r="B56" s="1438"/>
      <c r="C56" s="1458">
        <f>ROUND(SUM(C50:C55),1)</f>
        <v>130.9</v>
      </c>
      <c r="D56" s="1438"/>
      <c r="E56" s="1458">
        <f>ROUND(SUM(E50:E55),1)</f>
        <v>100.4</v>
      </c>
      <c r="F56" s="1438"/>
      <c r="G56" s="1458">
        <f>ROUND(SUM(G50:G55),1)</f>
        <v>186.2</v>
      </c>
      <c r="H56" s="1438"/>
      <c r="I56" s="1458">
        <f>ROUND(SUM(I50:I55),1)</f>
        <v>201.9</v>
      </c>
      <c r="J56" s="1438"/>
      <c r="K56" s="1458">
        <f>ROUND(SUM(K50:K55),1)</f>
        <v>113.8</v>
      </c>
      <c r="L56" s="1438"/>
      <c r="M56" s="1458">
        <f>ROUND(SUM(M50:M55),1)</f>
        <v>162.5</v>
      </c>
      <c r="N56" s="1438"/>
      <c r="O56" s="1458">
        <f>ROUND(SUM(O50:O55),1)</f>
        <v>202.8</v>
      </c>
      <c r="P56" s="1438"/>
      <c r="Q56" s="1458">
        <f>ROUND(SUM(Q50:Q55),1)</f>
        <v>0</v>
      </c>
      <c r="R56" s="1438"/>
      <c r="S56" s="1458">
        <f>ROUND(SUM(S50:S55),1)</f>
        <v>0</v>
      </c>
      <c r="T56" s="1438"/>
      <c r="U56" s="1458">
        <f>ROUND(SUM(U50:U55),1)</f>
        <v>0</v>
      </c>
      <c r="V56" s="1438"/>
      <c r="W56" s="1458">
        <f>ROUND(SUM(W50:W55),1)</f>
        <v>0</v>
      </c>
      <c r="X56" s="1438"/>
      <c r="Y56" s="1458">
        <f>ROUND(SUM(Y50:Y55),1)</f>
        <v>0</v>
      </c>
      <c r="Z56" s="1438"/>
      <c r="AA56" s="2765"/>
      <c r="AB56" s="1458">
        <f>ROUND(SUM(AB50:AB55),1)</f>
        <v>1098.5</v>
      </c>
      <c r="AC56" s="3101"/>
      <c r="AD56" s="3393"/>
      <c r="AE56" s="1458">
        <f>ROUND(SUM(AE50:AE55),1)</f>
        <v>1206.8</v>
      </c>
      <c r="AF56" s="3354"/>
      <c r="AG56" s="3354"/>
      <c r="AH56" s="1458">
        <f>ROUND(SUM(AH50:AH55),1)</f>
        <v>-108.3</v>
      </c>
      <c r="AI56" s="3357"/>
      <c r="AJ56" s="1819">
        <f t="shared" si="10"/>
        <v>-0.09</v>
      </c>
    </row>
    <row r="57" spans="1:36" ht="15.5">
      <c r="A57" s="1438"/>
      <c r="B57" s="1438"/>
      <c r="C57" s="2768"/>
      <c r="D57" s="1437"/>
      <c r="E57" s="2768"/>
      <c r="F57" s="2768"/>
      <c r="G57" s="2768"/>
      <c r="H57" s="2768"/>
      <c r="I57" s="2768"/>
      <c r="J57" s="2768"/>
      <c r="K57" s="2768"/>
      <c r="L57" s="2768"/>
      <c r="M57" s="2768"/>
      <c r="N57" s="2768"/>
      <c r="O57" s="3145"/>
      <c r="P57" s="2768"/>
      <c r="Q57" s="2768"/>
      <c r="R57" s="2768"/>
      <c r="S57" s="2768"/>
      <c r="T57" s="2768"/>
      <c r="U57" s="2768"/>
      <c r="V57" s="2768"/>
      <c r="W57" s="2768"/>
      <c r="X57" s="2768"/>
      <c r="Y57" s="2768"/>
      <c r="Z57" s="1437"/>
      <c r="AA57" s="2769"/>
      <c r="AB57" s="3144"/>
      <c r="AC57" s="3143"/>
      <c r="AD57" s="3394"/>
      <c r="AE57" s="3145"/>
      <c r="AF57" s="3145"/>
      <c r="AG57" s="3145"/>
      <c r="AH57" s="3145"/>
      <c r="AI57" s="3101"/>
      <c r="AJ57" s="1820"/>
    </row>
    <row r="58" spans="1:36" ht="15.5">
      <c r="A58" s="2472" t="s">
        <v>1079</v>
      </c>
      <c r="B58" s="2021"/>
      <c r="C58" s="19">
        <f>ROUND(SUM(C56+C48+C41+C30),1)</f>
        <v>3583.9</v>
      </c>
      <c r="D58" s="2005"/>
      <c r="E58" s="19">
        <f>ROUND(SUM(E56+E48+E41+E30),1)</f>
        <v>3072.3</v>
      </c>
      <c r="F58" s="2005"/>
      <c r="G58" s="19">
        <f>ROUND(SUM(G56+G48+G41+G30),1)</f>
        <v>7041.3</v>
      </c>
      <c r="H58" s="2005"/>
      <c r="I58" s="19">
        <f>ROUND(SUM(I56+I48+I41+I30),1)</f>
        <v>12374.2</v>
      </c>
      <c r="J58" s="2005"/>
      <c r="K58" s="19">
        <f>ROUND(SUM(K56+K48+K41+K30),1)</f>
        <v>4238.3999999999996</v>
      </c>
      <c r="L58" s="2005"/>
      <c r="M58" s="19">
        <f>ROUND(SUM(M56+M48+M41+M30),1)</f>
        <v>8672</v>
      </c>
      <c r="N58" s="2005"/>
      <c r="O58" s="1651">
        <f>ROUND(SUM(O56+O48+O41+O30),1)</f>
        <v>4182.5</v>
      </c>
      <c r="P58" s="2005"/>
      <c r="Q58" s="19">
        <f>ROUND(SUM(Q56+Q48+Q41+Q30),1)</f>
        <v>0</v>
      </c>
      <c r="R58" s="2005"/>
      <c r="S58" s="19">
        <f>ROUND(SUM(S56+S48+S41+S30),1)</f>
        <v>0</v>
      </c>
      <c r="T58" s="2005"/>
      <c r="U58" s="19">
        <f>ROUND(SUM(U56+U48+U41+U30),1)</f>
        <v>0</v>
      </c>
      <c r="V58" s="2005"/>
      <c r="W58" s="19">
        <f>ROUND(SUM(W56+W48+W41+W30),1)</f>
        <v>0</v>
      </c>
      <c r="X58" s="1461"/>
      <c r="Y58" s="19">
        <f>ROUND(SUM(Y56+Y48+Y41+Y30),1)</f>
        <v>0</v>
      </c>
      <c r="Z58" s="1461"/>
      <c r="AA58" s="2042"/>
      <c r="AB58" s="3395">
        <f>ROUND(SUM(C58:Y58),1)</f>
        <v>43164.6</v>
      </c>
      <c r="AC58" s="1994"/>
      <c r="AD58" s="2038"/>
      <c r="AE58" s="1982">
        <f>ROUND(SUM(+AE30+AE41+AE48+AE56),1)</f>
        <v>45993.1</v>
      </c>
      <c r="AF58" s="1976"/>
      <c r="AG58" s="3157"/>
      <c r="AH58" s="1982">
        <f>ROUND(+AB58-AE58,1)</f>
        <v>-2828.5</v>
      </c>
      <c r="AI58" s="2040"/>
      <c r="AJ58" s="3358">
        <f>ROUND(SUM(+AH58/ABS(AE58)),3)</f>
        <v>-6.0999999999999999E-2</v>
      </c>
    </row>
    <row r="59" spans="1:36" ht="15.5">
      <c r="A59" s="1438"/>
      <c r="B59" s="1438"/>
      <c r="C59" s="1437"/>
      <c r="D59" s="1437"/>
      <c r="E59" s="1437"/>
      <c r="F59" s="1437"/>
      <c r="G59" s="1437"/>
      <c r="H59" s="1437"/>
      <c r="I59" s="1437"/>
      <c r="J59" s="1437"/>
      <c r="K59" s="1437"/>
      <c r="L59" s="1437"/>
      <c r="M59" s="1437"/>
      <c r="N59" s="1437"/>
      <c r="O59" s="3143"/>
      <c r="P59" s="1437"/>
      <c r="Q59" s="1437"/>
      <c r="R59" s="1437"/>
      <c r="S59" s="1437"/>
      <c r="T59" s="1437"/>
      <c r="U59" s="1437"/>
      <c r="V59" s="1437"/>
      <c r="W59" s="1437"/>
      <c r="X59" s="1437"/>
      <c r="Y59" s="1437"/>
      <c r="Z59" s="1437"/>
      <c r="AA59" s="2769"/>
      <c r="AB59" s="3143"/>
      <c r="AC59" s="3143"/>
      <c r="AD59" s="3394"/>
      <c r="AE59" s="3143"/>
      <c r="AF59" s="3145"/>
      <c r="AG59" s="3145"/>
      <c r="AH59" s="3143"/>
      <c r="AI59" s="3101"/>
      <c r="AJ59" s="1817"/>
    </row>
    <row r="60" spans="1:36" ht="15.5">
      <c r="A60" s="2461" t="s">
        <v>1014</v>
      </c>
      <c r="B60" s="1438"/>
      <c r="C60" s="1437"/>
      <c r="D60" s="1437"/>
      <c r="E60" s="1437"/>
      <c r="F60" s="1437"/>
      <c r="G60" s="1437"/>
      <c r="H60" s="1437"/>
      <c r="I60" s="1437"/>
      <c r="J60" s="1437"/>
      <c r="K60" s="1437"/>
      <c r="L60" s="1437"/>
      <c r="M60" s="1437"/>
      <c r="N60" s="1437"/>
      <c r="O60" s="3143"/>
      <c r="P60" s="1437"/>
      <c r="Q60" s="1437"/>
      <c r="R60" s="1437"/>
      <c r="S60" s="1437"/>
      <c r="T60" s="1437"/>
      <c r="U60" s="1437"/>
      <c r="V60" s="1437"/>
      <c r="W60" s="1437"/>
      <c r="X60" s="1437"/>
      <c r="Y60" s="1437"/>
      <c r="Z60" s="1437"/>
      <c r="AA60" s="2770"/>
      <c r="AB60" s="3143"/>
      <c r="AC60" s="3143"/>
      <c r="AD60" s="3394"/>
      <c r="AE60" s="3143"/>
      <c r="AF60" s="3145"/>
      <c r="AG60" s="3145"/>
      <c r="AH60" s="3143"/>
      <c r="AI60" s="3101"/>
      <c r="AJ60" s="1723"/>
    </row>
    <row r="61" spans="1:36" ht="15.5">
      <c r="A61" s="2484" t="s">
        <v>1133</v>
      </c>
      <c r="B61" s="1438"/>
      <c r="C61" s="1437"/>
      <c r="D61" s="1437"/>
      <c r="E61" s="1437"/>
      <c r="F61" s="1437"/>
      <c r="G61" s="1437"/>
      <c r="H61" s="1437"/>
      <c r="I61" s="1437"/>
      <c r="J61" s="1437"/>
      <c r="K61" s="1437"/>
      <c r="L61" s="1437"/>
      <c r="M61" s="1437"/>
      <c r="N61" s="1437"/>
      <c r="O61" s="3143"/>
      <c r="P61" s="1437"/>
      <c r="Q61" s="1437"/>
      <c r="R61" s="1437"/>
      <c r="S61" s="1437"/>
      <c r="T61" s="1437"/>
      <c r="U61" s="1437"/>
      <c r="V61" s="1437"/>
      <c r="W61" s="1437"/>
      <c r="X61" s="1437"/>
      <c r="Y61" s="1437"/>
      <c r="Z61" s="1437"/>
      <c r="AA61" s="2770"/>
      <c r="AB61" s="3143"/>
      <c r="AC61" s="3143"/>
      <c r="AD61" s="3394"/>
      <c r="AE61" s="3143"/>
      <c r="AF61" s="3145"/>
      <c r="AG61" s="3145"/>
      <c r="AH61" s="3143"/>
      <c r="AI61" s="3101"/>
      <c r="AJ61" s="1723"/>
    </row>
    <row r="62" spans="1:36" ht="15.5">
      <c r="A62" s="2484" t="s">
        <v>1012</v>
      </c>
      <c r="B62" s="1438"/>
      <c r="C62" s="1437">
        <f>+'Exhibit F'!D57+'Exhibit G State'!D41</f>
        <v>1.6</v>
      </c>
      <c r="D62" s="1437"/>
      <c r="E62" s="1437">
        <f>+'Exhibit F'!F57+'Exhibit G State'!F41</f>
        <v>0.69999999999999973</v>
      </c>
      <c r="F62" s="1437"/>
      <c r="G62" s="1437">
        <f>+'Exhibit F'!H57+'Exhibit G State'!H41</f>
        <v>0.80000000000000027</v>
      </c>
      <c r="H62" s="1437"/>
      <c r="I62" s="1437">
        <f>+'Exhibit F'!J57+'Exhibit G State'!J41</f>
        <v>0.89999999999999991</v>
      </c>
      <c r="J62" s="1437"/>
      <c r="K62" s="1437">
        <f>+'Exhibit F'!L57+'Exhibit G State'!L41</f>
        <v>25.900000000000002</v>
      </c>
      <c r="L62" s="1437"/>
      <c r="M62" s="1437">
        <f>+'Exhibit F'!N57+'Exhibit G State'!N41</f>
        <v>85.999999999999986</v>
      </c>
      <c r="N62" s="1437"/>
      <c r="O62" s="3143">
        <f>+'Exhibit F'!P57+'Exhibit G State'!P41</f>
        <v>11.400000000000023</v>
      </c>
      <c r="P62" s="1437"/>
      <c r="Q62" s="1437"/>
      <c r="R62" s="1437"/>
      <c r="S62" s="1437"/>
      <c r="T62" s="1437"/>
      <c r="U62" s="1437"/>
      <c r="V62" s="1437"/>
      <c r="W62" s="1437"/>
      <c r="X62" s="1437"/>
      <c r="Y62" s="1437"/>
      <c r="Z62" s="1437"/>
      <c r="AA62" s="2770"/>
      <c r="AB62" s="3143">
        <f>ROUND(SUM(C62:Y62),1)</f>
        <v>127.3</v>
      </c>
      <c r="AC62" s="3143"/>
      <c r="AD62" s="3394"/>
      <c r="AE62" s="3143">
        <f>+'Exhibit F'!AF57+'Exhibit G State'!AG41</f>
        <v>78.099999999999994</v>
      </c>
      <c r="AF62" s="3145"/>
      <c r="AG62" s="3145"/>
      <c r="AH62" s="3143">
        <f t="shared" ref="AH62:AH102" si="13">ROUND(SUM(AB62-AE62),1)</f>
        <v>49.2</v>
      </c>
      <c r="AI62" s="3101"/>
      <c r="AJ62" s="1817">
        <f>ROUND(SUM(AH62/ABS(AE62)),3)</f>
        <v>0.63</v>
      </c>
    </row>
    <row r="63" spans="1:36" ht="15.5">
      <c r="A63" s="2484" t="s">
        <v>1013</v>
      </c>
      <c r="B63" s="1438"/>
      <c r="C63" s="1437">
        <f>+'Exhibit F'!D58</f>
        <v>0.7</v>
      </c>
      <c r="D63" s="1437"/>
      <c r="E63" s="1437">
        <f>+'Exhibit F'!F58</f>
        <v>0.30000000000000004</v>
      </c>
      <c r="F63" s="1437"/>
      <c r="G63" s="1437">
        <f>+'Exhibit F'!H58</f>
        <v>20.6</v>
      </c>
      <c r="H63" s="1437"/>
      <c r="I63" s="1437">
        <f>+'Exhibit F'!J58</f>
        <v>-4.6000000000000014</v>
      </c>
      <c r="J63" s="1437"/>
      <c r="K63" s="1437">
        <f>+'Exhibit F'!L58</f>
        <v>0.1</v>
      </c>
      <c r="L63" s="1437"/>
      <c r="M63" s="1437">
        <f>+'Exhibit F'!N58</f>
        <v>43.199999999999996</v>
      </c>
      <c r="N63" s="1437"/>
      <c r="O63" s="3143">
        <f>+'Exhibit F'!P58</f>
        <v>2.1000000000000014</v>
      </c>
      <c r="P63" s="1437"/>
      <c r="Q63" s="1437"/>
      <c r="R63" s="1437"/>
      <c r="S63" s="1437"/>
      <c r="T63" s="1437"/>
      <c r="U63" s="1437"/>
      <c r="V63" s="1437"/>
      <c r="W63" s="1437"/>
      <c r="X63" s="1437"/>
      <c r="Y63" s="1437"/>
      <c r="Z63" s="1437"/>
      <c r="AA63" s="2770"/>
      <c r="AB63" s="3143">
        <f>ROUND(SUM(C63:Y63),1)</f>
        <v>62.4</v>
      </c>
      <c r="AC63" s="3143"/>
      <c r="AD63" s="3394"/>
      <c r="AE63" s="3143">
        <f>+'Exhibit F'!AF58</f>
        <v>48.5</v>
      </c>
      <c r="AF63" s="3145"/>
      <c r="AG63" s="3145"/>
      <c r="AH63" s="3143">
        <f t="shared" si="13"/>
        <v>13.9</v>
      </c>
      <c r="AI63" s="3101"/>
      <c r="AJ63" s="1817">
        <f>ROUND(SUM(AH63/ABS(AE63)),3)</f>
        <v>0.28699999999999998</v>
      </c>
    </row>
    <row r="64" spans="1:36" ht="15.5">
      <c r="A64" s="2484" t="s">
        <v>1134</v>
      </c>
      <c r="B64" s="1438"/>
      <c r="C64" s="1437"/>
      <c r="D64" s="1437"/>
      <c r="E64" s="1437"/>
      <c r="F64" s="1437"/>
      <c r="G64" s="1437"/>
      <c r="H64" s="1437"/>
      <c r="I64" s="1437"/>
      <c r="J64" s="1437"/>
      <c r="K64" s="1437"/>
      <c r="L64" s="1437"/>
      <c r="M64" s="1437"/>
      <c r="N64" s="1437"/>
      <c r="O64" s="3143"/>
      <c r="P64" s="1437"/>
      <c r="Q64" s="1437"/>
      <c r="R64" s="1437"/>
      <c r="S64" s="1437"/>
      <c r="T64" s="1437"/>
      <c r="U64" s="1437"/>
      <c r="V64" s="1437"/>
      <c r="W64" s="1437"/>
      <c r="X64" s="1437"/>
      <c r="Y64" s="1437"/>
      <c r="Z64" s="1437"/>
      <c r="AA64" s="2770"/>
      <c r="AB64" s="3143"/>
      <c r="AC64" s="3143"/>
      <c r="AD64" s="3394"/>
      <c r="AE64" s="3143"/>
      <c r="AF64" s="3145"/>
      <c r="AG64" s="3145"/>
      <c r="AH64" s="3143" t="s">
        <v>15</v>
      </c>
      <c r="AI64" s="3101" t="s">
        <v>15</v>
      </c>
      <c r="AJ64" s="1723" t="s">
        <v>15</v>
      </c>
    </row>
    <row r="65" spans="1:36" ht="15.5">
      <c r="A65" s="2484" t="s">
        <v>1017</v>
      </c>
      <c r="B65" s="1438"/>
      <c r="C65" s="1437">
        <f>+'Exhibit F'!D60+'Exhibit G State'!D43</f>
        <v>42.7</v>
      </c>
      <c r="D65" s="1437"/>
      <c r="E65" s="1437">
        <f>+'Exhibit F'!F60+'Exhibit G State'!F43</f>
        <v>21.799999999999997</v>
      </c>
      <c r="F65" s="1437"/>
      <c r="G65" s="1437">
        <f>+'Exhibit F'!H60+'Exhibit G State'!H43</f>
        <v>82.4</v>
      </c>
      <c r="H65" s="1437"/>
      <c r="I65" s="1437">
        <f>+'Exhibit F'!J60+'Exhibit G State'!J43</f>
        <v>69.799999999999983</v>
      </c>
      <c r="J65" s="1437"/>
      <c r="K65" s="1437">
        <f>+'Exhibit F'!L60+'Exhibit G State'!L43</f>
        <v>33.399999999999977</v>
      </c>
      <c r="L65" s="1437"/>
      <c r="M65" s="1437">
        <f>+'Exhibit F'!N60+'Exhibit G State'!N43</f>
        <v>65.500000000000057</v>
      </c>
      <c r="N65" s="1437"/>
      <c r="O65" s="3143">
        <f>+'Exhibit F'!P60+'Exhibit G State'!P43</f>
        <v>88.9</v>
      </c>
      <c r="P65" s="1437"/>
      <c r="Q65" s="1437"/>
      <c r="R65" s="1437"/>
      <c r="S65" s="1437"/>
      <c r="T65" s="1437"/>
      <c r="U65" s="1437"/>
      <c r="V65" s="1437"/>
      <c r="W65" s="1437"/>
      <c r="X65" s="1437"/>
      <c r="Y65" s="1437"/>
      <c r="Z65" s="1437"/>
      <c r="AA65" s="2770"/>
      <c r="AB65" s="3143">
        <f>ROUND(SUM(C65:Y65),1)</f>
        <v>404.5</v>
      </c>
      <c r="AC65" s="3143"/>
      <c r="AD65" s="3394"/>
      <c r="AE65" s="3143">
        <f>+'Exhibit F'!AF60+'Exhibit G State'!AG43</f>
        <v>423.7</v>
      </c>
      <c r="AF65" s="3145"/>
      <c r="AG65" s="3145"/>
      <c r="AH65" s="3143">
        <f t="shared" si="13"/>
        <v>-19.2</v>
      </c>
      <c r="AI65" s="3101"/>
      <c r="AJ65" s="1817">
        <f>ROUND(SUM(AH65/ABS(AE65)),3)</f>
        <v>-4.4999999999999998E-2</v>
      </c>
    </row>
    <row r="66" spans="1:36" ht="15.5">
      <c r="A66" s="2484" t="s">
        <v>1018</v>
      </c>
      <c r="B66" s="1438"/>
      <c r="C66" s="1437">
        <f>+'Exhibit F'!D61+'Exhibit G State'!D44</f>
        <v>571.19999999999993</v>
      </c>
      <c r="D66" s="1437"/>
      <c r="E66" s="1437">
        <f>+'Exhibit F'!F61+'Exhibit G State'!F44</f>
        <v>466.80000000000007</v>
      </c>
      <c r="F66" s="1437"/>
      <c r="G66" s="1437">
        <f>+'Exhibit F'!H61+'Exhibit G State'!H44</f>
        <v>506.10000000000008</v>
      </c>
      <c r="H66" s="1437"/>
      <c r="I66" s="1437">
        <f>+'Exhibit F'!J61+'Exhibit G State'!J44</f>
        <v>442.59999999999997</v>
      </c>
      <c r="J66" s="1437"/>
      <c r="K66" s="1437">
        <f>+'Exhibit F'!L61+'Exhibit G State'!L44</f>
        <v>463.5999999999998</v>
      </c>
      <c r="L66" s="1437"/>
      <c r="M66" s="1437">
        <f>+'Exhibit F'!N61+'Exhibit G State'!N44</f>
        <v>520</v>
      </c>
      <c r="N66" s="1437"/>
      <c r="O66" s="3143">
        <f>+'Exhibit F'!P61+'Exhibit G State'!P44</f>
        <v>509.00000000000006</v>
      </c>
      <c r="P66" s="1437"/>
      <c r="Q66" s="1437"/>
      <c r="R66" s="1437"/>
      <c r="S66" s="1437"/>
      <c r="T66" s="1437"/>
      <c r="U66" s="1437"/>
      <c r="V66" s="1437"/>
      <c r="W66" s="1437"/>
      <c r="X66" s="1437"/>
      <c r="Y66" s="1437"/>
      <c r="Z66" s="1437"/>
      <c r="AA66" s="2770"/>
      <c r="AB66" s="3143">
        <f>ROUND(SUM(C66:Y66),1)</f>
        <v>3479.3</v>
      </c>
      <c r="AC66" s="3143"/>
      <c r="AD66" s="3394"/>
      <c r="AE66" s="3143">
        <f>+'Exhibit F'!AF61+'Exhibit G State'!AG44+'Exhibit H'!AD30</f>
        <v>3823.7000000000003</v>
      </c>
      <c r="AF66" s="3145"/>
      <c r="AG66" s="3145"/>
      <c r="AH66" s="3143">
        <f t="shared" si="13"/>
        <v>-344.4</v>
      </c>
      <c r="AI66" s="3101"/>
      <c r="AJ66" s="1817">
        <f>ROUND(SUM(AH66/ABS(AE66)),3)</f>
        <v>-0.09</v>
      </c>
    </row>
    <row r="67" spans="1:36" ht="15.5">
      <c r="A67" s="2484" t="s">
        <v>1019</v>
      </c>
      <c r="B67" s="1438"/>
      <c r="C67" s="1437">
        <f>+'Exhibit F'!D62+'Exhibit G State'!D45</f>
        <v>0.1</v>
      </c>
      <c r="D67" s="1437"/>
      <c r="E67" s="1437">
        <f>+'Exhibit F'!F62+'Exhibit G State'!F45</f>
        <v>0</v>
      </c>
      <c r="F67" s="1437"/>
      <c r="G67" s="1437">
        <f>+'Exhibit F'!H62+'Exhibit G State'!H45</f>
        <v>0.4</v>
      </c>
      <c r="H67" s="1437"/>
      <c r="I67" s="1437">
        <f>+'Exhibit F'!J62+'Exhibit G State'!J45</f>
        <v>4.4000000000000004</v>
      </c>
      <c r="J67" s="1437"/>
      <c r="K67" s="1437">
        <f>+'Exhibit F'!L62+'Exhibit G State'!L45</f>
        <v>0.39999999999999947</v>
      </c>
      <c r="L67" s="1437"/>
      <c r="M67" s="1437">
        <f>+'Exhibit F'!N62+'Exhibit G State'!N45</f>
        <v>45.400000000000006</v>
      </c>
      <c r="N67" s="1437"/>
      <c r="O67" s="3143">
        <f>+'Exhibit F'!P62+'Exhibit G State'!P45</f>
        <v>-10.100000000000001</v>
      </c>
      <c r="P67" s="1437"/>
      <c r="Q67" s="1437"/>
      <c r="R67" s="1437"/>
      <c r="S67" s="1437"/>
      <c r="T67" s="1437"/>
      <c r="U67" s="1437"/>
      <c r="V67" s="1437"/>
      <c r="W67" s="1437"/>
      <c r="X67" s="1437"/>
      <c r="Y67" s="1437"/>
      <c r="Z67" s="1437"/>
      <c r="AA67" s="2770"/>
      <c r="AB67" s="3143">
        <f>ROUND(SUM(C67:Y67),1)</f>
        <v>40.6</v>
      </c>
      <c r="AC67" s="3143"/>
      <c r="AD67" s="3394"/>
      <c r="AE67" s="3143">
        <f>+'Exhibit F'!AF62+'Exhibit G State'!AG45</f>
        <v>44.9</v>
      </c>
      <c r="AF67" s="3145"/>
      <c r="AG67" s="3145"/>
      <c r="AH67" s="3143">
        <f t="shared" si="13"/>
        <v>-4.3</v>
      </c>
      <c r="AI67" s="3101"/>
      <c r="AJ67" s="1723">
        <f>ROUND(IF(AE67=0,0,AH67/ABS(AE67)),3)</f>
        <v>-9.6000000000000002E-2</v>
      </c>
    </row>
    <row r="68" spans="1:36" ht="15.5">
      <c r="A68" s="2484" t="s">
        <v>1020</v>
      </c>
      <c r="B68" s="1438"/>
      <c r="C68" s="1437">
        <f>+'Exhibit F'!D63+'Exhibit G State'!D46</f>
        <v>0</v>
      </c>
      <c r="D68" s="1437"/>
      <c r="E68" s="1437">
        <f>+'Exhibit F'!F63+'Exhibit G State'!F46</f>
        <v>0.1</v>
      </c>
      <c r="F68" s="1437"/>
      <c r="G68" s="1437">
        <f>+'Exhibit F'!H63+'Exhibit G State'!H46</f>
        <v>0</v>
      </c>
      <c r="H68" s="1437"/>
      <c r="I68" s="1437">
        <f>+'Exhibit F'!J63+'Exhibit G State'!J46</f>
        <v>0</v>
      </c>
      <c r="J68" s="1437"/>
      <c r="K68" s="1437">
        <f>+'Exhibit F'!L63+'Exhibit G State'!L46</f>
        <v>0</v>
      </c>
      <c r="L68" s="1437"/>
      <c r="M68" s="1437">
        <f>+'Exhibit F'!N63+'Exhibit G State'!N46</f>
        <v>0</v>
      </c>
      <c r="N68" s="1437"/>
      <c r="O68" s="3143">
        <f>+'Exhibit F'!P63+'Exhibit G State'!P46</f>
        <v>0</v>
      </c>
      <c r="P68" s="1437"/>
      <c r="Q68" s="1437"/>
      <c r="R68" s="1437"/>
      <c r="S68" s="1437"/>
      <c r="T68" s="1437"/>
      <c r="U68" s="1437"/>
      <c r="V68" s="1437"/>
      <c r="W68" s="1437"/>
      <c r="X68" s="1437"/>
      <c r="Y68" s="1437"/>
      <c r="Z68" s="1437"/>
      <c r="AA68" s="2770"/>
      <c r="AB68" s="3143">
        <f>ROUND(SUM(C68:Y68),1)</f>
        <v>0.1</v>
      </c>
      <c r="AC68" s="3143"/>
      <c r="AD68" s="3394"/>
      <c r="AE68" s="3143">
        <f>+'Exhibit F'!AF63+'Exhibit G State'!AG46</f>
        <v>0.5</v>
      </c>
      <c r="AF68" s="3145"/>
      <c r="AG68" s="3145"/>
      <c r="AH68" s="3143">
        <f t="shared" si="13"/>
        <v>-0.4</v>
      </c>
      <c r="AI68" s="3101"/>
      <c r="AJ68" s="1723">
        <f>ROUND(IF(AE68=0,0,AH68/ABS(AE68)),3)</f>
        <v>-0.8</v>
      </c>
    </row>
    <row r="69" spans="1:36" ht="15.5">
      <c r="A69" s="2484" t="s">
        <v>1139</v>
      </c>
      <c r="B69" s="1438"/>
      <c r="C69" s="1437"/>
      <c r="D69" s="1437"/>
      <c r="E69" s="1437"/>
      <c r="F69" s="1437"/>
      <c r="G69" s="1437"/>
      <c r="H69" s="1437"/>
      <c r="I69" s="1437"/>
      <c r="J69" s="1437"/>
      <c r="K69" s="1437"/>
      <c r="L69" s="1437"/>
      <c r="M69" s="1437"/>
      <c r="N69" s="1437"/>
      <c r="O69" s="3143"/>
      <c r="P69" s="1437"/>
      <c r="Q69" s="1437"/>
      <c r="R69" s="1437"/>
      <c r="S69" s="1437"/>
      <c r="T69" s="1437"/>
      <c r="U69" s="1437"/>
      <c r="V69" s="1437"/>
      <c r="W69" s="1437"/>
      <c r="X69" s="1437"/>
      <c r="Y69" s="1437"/>
      <c r="Z69" s="1437"/>
      <c r="AA69" s="2770"/>
      <c r="AB69" s="3143"/>
      <c r="AC69" s="3143"/>
      <c r="AD69" s="3394"/>
      <c r="AE69" s="3143"/>
      <c r="AF69" s="3145"/>
      <c r="AG69" s="3145"/>
      <c r="AH69" s="3143"/>
      <c r="AI69" s="3101"/>
      <c r="AJ69" s="1723"/>
    </row>
    <row r="70" spans="1:36" ht="15.5">
      <c r="A70" s="2484" t="s">
        <v>1021</v>
      </c>
      <c r="B70" s="1438"/>
      <c r="C70" s="1437">
        <f>+'Exhibit F'!D65+'Exhibit H'!B32</f>
        <v>2.2000000000000002</v>
      </c>
      <c r="D70" s="1437"/>
      <c r="E70" s="1437">
        <f>+'Exhibit F'!F65+'Exhibit H'!D32</f>
        <v>2.8999999999999995</v>
      </c>
      <c r="F70" s="1437"/>
      <c r="G70" s="1437">
        <f>+'Exhibit F'!H65+'Exhibit H'!F32</f>
        <v>2.9000000000000004</v>
      </c>
      <c r="H70" s="1437"/>
      <c r="I70" s="1437">
        <f>+'Exhibit F'!J65+'Exhibit H'!H32</f>
        <v>4.8999999999999995</v>
      </c>
      <c r="J70" s="1437"/>
      <c r="K70" s="1437">
        <f>+'Exhibit F'!L65+'Exhibit H'!J32</f>
        <v>4.8000000000000016</v>
      </c>
      <c r="L70" s="1437"/>
      <c r="M70" s="1437">
        <f>+'Exhibit F'!N65+'Exhibit H'!L32</f>
        <v>5.4000000000000012</v>
      </c>
      <c r="N70" s="1437"/>
      <c r="O70" s="3143">
        <f>+'Exhibit F'!P65+'Exhibit H'!N32</f>
        <v>5.0000000000000009</v>
      </c>
      <c r="P70" s="1437"/>
      <c r="Q70" s="1437"/>
      <c r="R70" s="1437"/>
      <c r="S70" s="1437"/>
      <c r="T70" s="1437"/>
      <c r="U70" s="1437"/>
      <c r="V70" s="1437"/>
      <c r="W70" s="1437"/>
      <c r="X70" s="1437"/>
      <c r="Y70" s="1437"/>
      <c r="Z70" s="1437"/>
      <c r="AA70" s="2770"/>
      <c r="AB70" s="3143">
        <f t="shared" ref="AB70:AB77" si="14">ROUND(SUM(C70:Y70),1)</f>
        <v>28.1</v>
      </c>
      <c r="AC70" s="3143"/>
      <c r="AD70" s="3394"/>
      <c r="AE70" s="3143">
        <f>+'Exhibit F'!AF65+'Exhibit H'!AD32</f>
        <v>44.4</v>
      </c>
      <c r="AF70" s="3145"/>
      <c r="AG70" s="3145"/>
      <c r="AH70" s="3143">
        <f t="shared" si="13"/>
        <v>-16.3</v>
      </c>
      <c r="AI70" s="3101"/>
      <c r="AJ70" s="1817">
        <f>ROUND(SUM(AH70/ABS(AE70)),3)</f>
        <v>-0.36699999999999999</v>
      </c>
    </row>
    <row r="71" spans="1:36" ht="15.5">
      <c r="A71" s="2484" t="s">
        <v>1232</v>
      </c>
      <c r="B71" s="1438"/>
      <c r="C71" s="1437">
        <f>'Exhibit G State'!D48</f>
        <v>0</v>
      </c>
      <c r="D71" s="1437" t="s">
        <v>15</v>
      </c>
      <c r="E71" s="1437">
        <f>'Exhibit G State'!F48</f>
        <v>0</v>
      </c>
      <c r="F71" s="1437"/>
      <c r="G71" s="1437">
        <f>'Exhibit G State'!H48</f>
        <v>0.1</v>
      </c>
      <c r="H71" s="1437"/>
      <c r="I71" s="1437">
        <f>'Exhibit G State'!J48</f>
        <v>0.19999999999999998</v>
      </c>
      <c r="J71" s="1437"/>
      <c r="K71" s="1437">
        <f>'Exhibit G State'!L48</f>
        <v>0.70000000000000007</v>
      </c>
      <c r="L71" s="1437"/>
      <c r="M71" s="1437">
        <f>'Exhibit G State'!N48</f>
        <v>0.69999999999999984</v>
      </c>
      <c r="N71" s="1437"/>
      <c r="O71" s="3143">
        <f>'Exhibit G State'!P48</f>
        <v>0.10000000000000009</v>
      </c>
      <c r="P71" s="1437"/>
      <c r="Q71" s="1437"/>
      <c r="R71" s="1437"/>
      <c r="S71" s="1437"/>
      <c r="T71" s="1437"/>
      <c r="U71" s="1437"/>
      <c r="V71" s="1437"/>
      <c r="W71" s="1437"/>
      <c r="X71" s="1437"/>
      <c r="Y71" s="1437"/>
      <c r="Z71" s="1437"/>
      <c r="AA71" s="2769"/>
      <c r="AB71" s="3143">
        <f t="shared" si="14"/>
        <v>1.8</v>
      </c>
      <c r="AC71" s="3143"/>
      <c r="AD71" s="3394"/>
      <c r="AE71" s="3143">
        <f>'Exhibit G State'!AG48</f>
        <v>2.6</v>
      </c>
      <c r="AF71" s="3145"/>
      <c r="AG71" s="3145"/>
      <c r="AH71" s="3143">
        <f t="shared" si="13"/>
        <v>-0.8</v>
      </c>
      <c r="AI71" s="3101"/>
      <c r="AJ71" s="1723">
        <f>ROUND(IF(AE71=0,0,AH71/ABS(AE71)),3)</f>
        <v>-0.308</v>
      </c>
    </row>
    <row r="72" spans="1:36" ht="15.5">
      <c r="A72" s="2484" t="s">
        <v>1022</v>
      </c>
      <c r="B72" s="1438"/>
      <c r="C72" s="1437">
        <f>+'Exhibit F'!D67+'Exhibit G State'!D49+'Exhibit H'!B33</f>
        <v>67.2</v>
      </c>
      <c r="D72" s="1437"/>
      <c r="E72" s="1437">
        <f>+'Exhibit F'!F67+'Exhibit G State'!F49+'Exhibit H'!D33</f>
        <v>69.799999999999983</v>
      </c>
      <c r="F72" s="1437"/>
      <c r="G72" s="1437">
        <f>+'Exhibit F'!H67+'Exhibit G State'!H49+'Exhibit H'!F33</f>
        <v>114.39999999999998</v>
      </c>
      <c r="H72" s="1437"/>
      <c r="I72" s="1437">
        <f>+'Exhibit F'!J67+'Exhibit G State'!J49+'Exhibit H'!H33</f>
        <v>54.300000000000011</v>
      </c>
      <c r="J72" s="1437"/>
      <c r="K72" s="1437">
        <f>+'Exhibit F'!L67+'Exhibit G State'!L49+'Exhibit H'!J33</f>
        <v>46.000000000000028</v>
      </c>
      <c r="L72" s="1437"/>
      <c r="M72" s="1437">
        <f>+'Exhibit F'!N67+'Exhibit G State'!N49+'Exhibit H'!L33</f>
        <v>125.5</v>
      </c>
      <c r="N72" s="1437"/>
      <c r="O72" s="3143">
        <f>+'Exhibit F'!P67+'Exhibit G State'!P49+'Exhibit H'!N33</f>
        <v>64</v>
      </c>
      <c r="P72" s="1437"/>
      <c r="Q72" s="1437"/>
      <c r="R72" s="1437"/>
      <c r="S72" s="1437"/>
      <c r="T72" s="1437"/>
      <c r="U72" s="1437"/>
      <c r="V72" s="1437"/>
      <c r="W72" s="1437"/>
      <c r="X72" s="1437"/>
      <c r="Y72" s="1437"/>
      <c r="Z72" s="1437"/>
      <c r="AA72" s="2770"/>
      <c r="AB72" s="3143">
        <f t="shared" si="14"/>
        <v>541.20000000000005</v>
      </c>
      <c r="AC72" s="3143"/>
      <c r="AD72" s="3394"/>
      <c r="AE72" s="3143">
        <f>+'Exhibit F'!AF67+'Exhibit G State'!AG49+'Exhibit H'!AD33</f>
        <v>551.6</v>
      </c>
      <c r="AF72" s="3145"/>
      <c r="AG72" s="3145"/>
      <c r="AH72" s="3143">
        <f t="shared" si="13"/>
        <v>-10.4</v>
      </c>
      <c r="AI72" s="3101"/>
      <c r="AJ72" s="1817">
        <f>ROUND(SUM(AH72/AE72),3)</f>
        <v>-1.9E-2</v>
      </c>
    </row>
    <row r="73" spans="1:36" ht="15.5">
      <c r="A73" s="2484" t="s">
        <v>1023</v>
      </c>
      <c r="B73" s="1438"/>
      <c r="C73" s="1437">
        <f>+'Exhibit F'!D68+'Exhibit G State'!D50+'Exhibit H'!B34</f>
        <v>4.3000000000000007</v>
      </c>
      <c r="D73" s="1437"/>
      <c r="E73" s="1437">
        <f>+'Exhibit F'!F68+'Exhibit G State'!F50+'Exhibit H'!D34</f>
        <v>3.2999999999999994</v>
      </c>
      <c r="F73" s="1437"/>
      <c r="G73" s="1437">
        <f>+'Exhibit F'!H68+'Exhibit G State'!H50+'Exhibit H'!F34</f>
        <v>5.5</v>
      </c>
      <c r="H73" s="1437"/>
      <c r="I73" s="1437">
        <f>+'Exhibit F'!J68+'Exhibit G State'!J50+'Exhibit H'!H34</f>
        <v>3.0999999999999996</v>
      </c>
      <c r="J73" s="1437"/>
      <c r="K73" s="1437">
        <f>+'Exhibit F'!L68+'Exhibit G State'!L50+'Exhibit H'!J34</f>
        <v>88.799999999999983</v>
      </c>
      <c r="L73" s="1437"/>
      <c r="M73" s="1437">
        <f>+'Exhibit F'!N68+'Exhibit G State'!N50+'Exhibit H'!L34</f>
        <v>-9.8000000000000007</v>
      </c>
      <c r="N73" s="1437"/>
      <c r="O73" s="3143">
        <f>+'Exhibit F'!P68+'Exhibit G State'!P50+'Exhibit H'!N34</f>
        <v>14.600000000000003</v>
      </c>
      <c r="P73" s="1437"/>
      <c r="Q73" s="1437"/>
      <c r="R73" s="1437"/>
      <c r="S73" s="1437"/>
      <c r="T73" s="1437"/>
      <c r="U73" s="1437"/>
      <c r="V73" s="1437"/>
      <c r="W73" s="1437"/>
      <c r="X73" s="1437"/>
      <c r="Y73" s="1437"/>
      <c r="Z73" s="1437"/>
      <c r="AA73" s="2770"/>
      <c r="AB73" s="3143">
        <f t="shared" si="14"/>
        <v>109.8</v>
      </c>
      <c r="AC73" s="3143"/>
      <c r="AD73" s="3394"/>
      <c r="AE73" s="3143">
        <f>+'Exhibit F'!AF68+'Exhibit G State'!AG50+'Exhibit H'!AD34</f>
        <v>164.89999999999998</v>
      </c>
      <c r="AF73" s="3145"/>
      <c r="AG73" s="3145"/>
      <c r="AH73" s="3143">
        <f t="shared" si="13"/>
        <v>-55.1</v>
      </c>
      <c r="AI73" s="3101"/>
      <c r="AJ73" s="1817">
        <f>ROUND(SUM(AH73/ABS(AE73)),3)</f>
        <v>-0.33400000000000002</v>
      </c>
    </row>
    <row r="74" spans="1:36" ht="15.5">
      <c r="A74" s="2484" t="s">
        <v>1024</v>
      </c>
      <c r="B74" s="1438"/>
      <c r="C74" s="1437">
        <f>+'Exhibit F'!D69+'Exhibit G State'!D51+'Exhibit H'!B35</f>
        <v>0.6</v>
      </c>
      <c r="D74" s="1437"/>
      <c r="E74" s="1437">
        <f>+'Exhibit F'!F69+'Exhibit G State'!F51+'Exhibit H'!D35</f>
        <v>0.4</v>
      </c>
      <c r="F74" s="1437"/>
      <c r="G74" s="1437">
        <f>+'Exhibit F'!H69+'Exhibit G State'!H51+'Exhibit H'!F35</f>
        <v>0.19999999999999996</v>
      </c>
      <c r="H74" s="1437"/>
      <c r="I74" s="1437">
        <f>+'Exhibit F'!J69+'Exhibit G State'!J51+'Exhibit H'!H35</f>
        <v>1.6</v>
      </c>
      <c r="J74" s="1437"/>
      <c r="K74" s="1437">
        <f>+'Exhibit F'!L69+'Exhibit G State'!L51+'Exhibit H'!J35</f>
        <v>0</v>
      </c>
      <c r="L74" s="1437"/>
      <c r="M74" s="1437">
        <f>+'Exhibit F'!N69+'Exhibit G State'!N51+'Exhibit H'!L35</f>
        <v>0.19999999999999998</v>
      </c>
      <c r="N74" s="1437"/>
      <c r="O74" s="3143">
        <f>+'Exhibit F'!P69+'Exhibit G State'!P51+'Exhibit H'!N35</f>
        <v>0.49999999999999989</v>
      </c>
      <c r="P74" s="1437"/>
      <c r="Q74" s="1437"/>
      <c r="R74" s="1437"/>
      <c r="S74" s="1437"/>
      <c r="T74" s="1437"/>
      <c r="U74" s="1437"/>
      <c r="V74" s="1437"/>
      <c r="W74" s="1437"/>
      <c r="X74" s="1437"/>
      <c r="Y74" s="1437"/>
      <c r="Z74" s="1437"/>
      <c r="AA74" s="2770"/>
      <c r="AB74" s="3143">
        <f t="shared" si="14"/>
        <v>3.5</v>
      </c>
      <c r="AC74" s="3143"/>
      <c r="AD74" s="3394"/>
      <c r="AE74" s="3143">
        <f>+'Exhibit F'!AF69+'Exhibit G State'!AG51+'Exhibit H'!AD35</f>
        <v>4.8</v>
      </c>
      <c r="AF74" s="3145"/>
      <c r="AG74" s="3145"/>
      <c r="AH74" s="3143">
        <f t="shared" si="13"/>
        <v>-1.3</v>
      </c>
      <c r="AI74" s="3101"/>
      <c r="AJ74" s="1817">
        <f>ROUND(SUM(AH74/ABS(AE74)),3)</f>
        <v>-0.27100000000000002</v>
      </c>
    </row>
    <row r="75" spans="1:36" ht="15.5">
      <c r="A75" s="2484" t="s">
        <v>1025</v>
      </c>
      <c r="B75" s="1438"/>
      <c r="C75" s="1437">
        <f>+'Exhibit F'!D70+'Exhibit G State'!D52+'Exhibit H'!B36</f>
        <v>-82</v>
      </c>
      <c r="D75" s="1437"/>
      <c r="E75" s="1437">
        <f>+'Exhibit F'!F70+'Exhibit G State'!F52+'Exhibit H'!D36</f>
        <v>-33.199999999999996</v>
      </c>
      <c r="F75" s="1437"/>
      <c r="G75" s="1437">
        <f>+'Exhibit F'!H70+'Exhibit G State'!H52+'Exhibit H'!F36</f>
        <v>144.19999999999999</v>
      </c>
      <c r="H75" s="1437"/>
      <c r="I75" s="1437">
        <f>+'Exhibit F'!J70+'Exhibit G State'!J52+'Exhibit H'!H36</f>
        <v>140.30000000000001</v>
      </c>
      <c r="J75" s="1437"/>
      <c r="K75" s="1437">
        <f>+'Exhibit F'!L70+'Exhibit G State'!L52+'Exhibit H'!J36</f>
        <v>40.200000000000017</v>
      </c>
      <c r="L75" s="1437"/>
      <c r="M75" s="1437">
        <f>+'Exhibit F'!N70+'Exhibit G State'!N52+'Exhibit H'!L36</f>
        <v>71.499999999999986</v>
      </c>
      <c r="N75" s="1437"/>
      <c r="O75" s="3143">
        <f>+'Exhibit F'!P70+'Exhibit G State'!P52+'Exhibit H'!N36</f>
        <v>44.300000000000011</v>
      </c>
      <c r="P75" s="1437"/>
      <c r="Q75" s="1437"/>
      <c r="R75" s="1437"/>
      <c r="S75" s="1437"/>
      <c r="T75" s="1437"/>
      <c r="U75" s="1437"/>
      <c r="V75" s="1437"/>
      <c r="W75" s="1437"/>
      <c r="X75" s="1437"/>
      <c r="Y75" s="1437"/>
      <c r="Z75" s="1437"/>
      <c r="AA75" s="2770"/>
      <c r="AB75" s="3143">
        <f t="shared" si="14"/>
        <v>325.3</v>
      </c>
      <c r="AC75" s="3143"/>
      <c r="AD75" s="3394"/>
      <c r="AE75" s="3143">
        <f>+'Exhibit F'!AF70+'Exhibit G State'!AG52+'Exhibit H'!AD36</f>
        <v>366</v>
      </c>
      <c r="AF75" s="3145"/>
      <c r="AG75" s="3145"/>
      <c r="AH75" s="3143">
        <f t="shared" si="13"/>
        <v>-40.700000000000003</v>
      </c>
      <c r="AI75" s="3101"/>
      <c r="AJ75" s="1723">
        <f>ROUND(IF(AE75=0,0,AH75/ABS(AE75)),3)</f>
        <v>-0.111</v>
      </c>
    </row>
    <row r="76" spans="1:36" ht="15.5">
      <c r="A76" s="2484" t="s">
        <v>1026</v>
      </c>
      <c r="B76" s="1438"/>
      <c r="C76" s="1437">
        <f>+'Exhibit F'!D71+'Exhibit G State'!D53+'Exhibit H'!B37</f>
        <v>43</v>
      </c>
      <c r="D76" s="1437"/>
      <c r="E76" s="1437">
        <f>+'Exhibit F'!F71+'Exhibit G State'!F53+'Exhibit H'!D37</f>
        <v>0</v>
      </c>
      <c r="F76" s="1437"/>
      <c r="G76" s="1437">
        <f>+'Exhibit F'!H71+'Exhibit G State'!H53+'Exhibit H'!F37</f>
        <v>36.1</v>
      </c>
      <c r="H76" s="1437"/>
      <c r="I76" s="1437">
        <f>+'Exhibit F'!J71+'Exhibit G State'!J53+'Exhibit H'!H37</f>
        <v>34.199999999999996</v>
      </c>
      <c r="J76" s="1437"/>
      <c r="K76" s="1437">
        <f>+'Exhibit F'!L71+'Exhibit G State'!L53+'Exhibit H'!J37</f>
        <v>32.299999999999997</v>
      </c>
      <c r="L76" s="1437"/>
      <c r="M76" s="1437">
        <f>+'Exhibit F'!N71+'Exhibit G State'!N53+'Exhibit H'!L37</f>
        <v>147.29999999999995</v>
      </c>
      <c r="N76" s="1437"/>
      <c r="O76" s="3143">
        <f>+'Exhibit F'!P71+'Exhibit G State'!P53+'Exhibit H'!N37</f>
        <v>85.200000000000017</v>
      </c>
      <c r="P76" s="1437"/>
      <c r="Q76" s="1437"/>
      <c r="R76" s="1437"/>
      <c r="S76" s="1437"/>
      <c r="T76" s="1437"/>
      <c r="U76" s="1437"/>
      <c r="V76" s="1437"/>
      <c r="W76" s="1437"/>
      <c r="X76" s="1437"/>
      <c r="Y76" s="1437"/>
      <c r="Z76" s="1437"/>
      <c r="AA76" s="2770"/>
      <c r="AB76" s="3143">
        <f t="shared" si="14"/>
        <v>378.1</v>
      </c>
      <c r="AC76" s="3143"/>
      <c r="AD76" s="3394"/>
      <c r="AE76" s="3143">
        <f>+'Exhibit F'!AF71+'Exhibit G State'!AG53+'Exhibit H'!AD37</f>
        <v>521.70000000000005</v>
      </c>
      <c r="AF76" s="3145"/>
      <c r="AG76" s="3145"/>
      <c r="AH76" s="3143">
        <f t="shared" si="13"/>
        <v>-143.6</v>
      </c>
      <c r="AI76" s="3101"/>
      <c r="AJ76" s="1817">
        <f>ROUND(SUM(AH76/ABS(AE76)),3)</f>
        <v>-0.27500000000000002</v>
      </c>
    </row>
    <row r="77" spans="1:36" ht="15.5">
      <c r="A77" s="2484" t="s">
        <v>1015</v>
      </c>
      <c r="B77" s="1438"/>
      <c r="C77" s="1437">
        <f>+'Exhibit F'!D72+'Exhibit G State'!D54</f>
        <v>98.600000000000009</v>
      </c>
      <c r="D77" s="1437"/>
      <c r="E77" s="1437">
        <f>+'Exhibit F'!F72+'Exhibit G State'!F54</f>
        <v>231.59999999999997</v>
      </c>
      <c r="F77" s="1437"/>
      <c r="G77" s="1437">
        <f>+'Exhibit F'!H72+'Exhibit G State'!H54</f>
        <v>16.100000000000044</v>
      </c>
      <c r="H77" s="1437"/>
      <c r="I77" s="1437">
        <f>+'Exhibit F'!J72+'Exhibit G State'!J54</f>
        <v>199.90000000000006</v>
      </c>
      <c r="J77" s="1437"/>
      <c r="K77" s="1437">
        <f>+'Exhibit F'!L72+'Exhibit G State'!L54</f>
        <v>3.4999999999999991</v>
      </c>
      <c r="L77" s="1437"/>
      <c r="M77" s="1437">
        <f>+'Exhibit F'!N72+'Exhibit G State'!N54</f>
        <v>13.799999999999997</v>
      </c>
      <c r="N77" s="1437"/>
      <c r="O77" s="3143">
        <f>+'Exhibit F'!P72+'Exhibit G State'!P54</f>
        <v>78.099999999999937</v>
      </c>
      <c r="P77" s="1437"/>
      <c r="Q77" s="1437"/>
      <c r="R77" s="1437"/>
      <c r="S77" s="1437"/>
      <c r="T77" s="1437"/>
      <c r="U77" s="1437"/>
      <c r="V77" s="1437"/>
      <c r="W77" s="1437"/>
      <c r="X77" s="1437"/>
      <c r="Y77" s="1437"/>
      <c r="Z77" s="1437"/>
      <c r="AA77" s="2770"/>
      <c r="AB77" s="3143">
        <f t="shared" si="14"/>
        <v>641.6</v>
      </c>
      <c r="AC77" s="3143"/>
      <c r="AD77" s="3394"/>
      <c r="AE77" s="3143">
        <f>+'Exhibit F'!AF72+'Exhibit G State'!AG54</f>
        <v>1181.3</v>
      </c>
      <c r="AF77" s="3145"/>
      <c r="AG77" s="3145"/>
      <c r="AH77" s="3143">
        <f t="shared" si="13"/>
        <v>-539.70000000000005</v>
      </c>
      <c r="AI77" s="3101"/>
      <c r="AJ77" s="1817">
        <f>ROUND(SUM(AH77/ABS(AE77)),3)</f>
        <v>-0.45700000000000002</v>
      </c>
    </row>
    <row r="78" spans="1:36" ht="15.5">
      <c r="A78" s="2484" t="s">
        <v>1136</v>
      </c>
      <c r="B78" s="1438"/>
      <c r="C78" s="1437"/>
      <c r="D78" s="1437"/>
      <c r="E78" s="1437"/>
      <c r="F78" s="1437"/>
      <c r="G78" s="1437"/>
      <c r="H78" s="1437"/>
      <c r="I78" s="1437"/>
      <c r="J78" s="1437"/>
      <c r="K78" s="1437"/>
      <c r="L78" s="1437"/>
      <c r="M78" s="1437"/>
      <c r="N78" s="1437"/>
      <c r="O78" s="3143"/>
      <c r="P78" s="1437"/>
      <c r="Q78" s="1437"/>
      <c r="R78" s="1437"/>
      <c r="S78" s="1437"/>
      <c r="T78" s="1437"/>
      <c r="U78" s="1437"/>
      <c r="V78" s="1437"/>
      <c r="W78" s="1437"/>
      <c r="X78" s="1437"/>
      <c r="Y78" s="1437"/>
      <c r="Z78" s="1437"/>
      <c r="AA78" s="2770"/>
      <c r="AB78" s="3143"/>
      <c r="AC78" s="3143"/>
      <c r="AD78" s="3394"/>
      <c r="AE78" s="3143"/>
      <c r="AF78" s="3145"/>
      <c r="AG78" s="3145"/>
      <c r="AH78" s="3143"/>
      <c r="AI78" s="3101"/>
      <c r="AJ78" s="1817" t="s">
        <v>15</v>
      </c>
    </row>
    <row r="79" spans="1:36" ht="15.5">
      <c r="A79" s="2484" t="s">
        <v>1027</v>
      </c>
      <c r="B79" s="1438"/>
      <c r="C79" s="1437">
        <f>+'Exhibit G State'!D56</f>
        <v>0</v>
      </c>
      <c r="D79" s="1437"/>
      <c r="E79" s="1437">
        <f>+'Exhibit G State'!F56</f>
        <v>0</v>
      </c>
      <c r="F79" s="1437"/>
      <c r="G79" s="1437">
        <f>+'Exhibit G State'!H56</f>
        <v>0</v>
      </c>
      <c r="H79" s="1437"/>
      <c r="I79" s="1437">
        <f>+'Exhibit G State'!J56</f>
        <v>20.8</v>
      </c>
      <c r="J79" s="1437"/>
      <c r="K79" s="1437">
        <f>+'Exhibit G State'!L56</f>
        <v>0</v>
      </c>
      <c r="L79" s="1437"/>
      <c r="M79" s="1437">
        <f>+'Exhibit G State'!N56</f>
        <v>8</v>
      </c>
      <c r="N79" s="1437"/>
      <c r="O79" s="3143">
        <f>+'Exhibit G State'!P56</f>
        <v>33.400000000000006</v>
      </c>
      <c r="P79" s="1437"/>
      <c r="Q79" s="1437"/>
      <c r="R79" s="1437"/>
      <c r="S79" s="1437"/>
      <c r="T79" s="1437"/>
      <c r="U79" s="1437"/>
      <c r="V79" s="1437"/>
      <c r="W79" s="1437"/>
      <c r="X79" s="1437"/>
      <c r="Y79" s="1437"/>
      <c r="Z79" s="1437"/>
      <c r="AA79" s="2770"/>
      <c r="AB79" s="3143">
        <f>ROUND(SUM(C79:Y79),1)</f>
        <v>62.2</v>
      </c>
      <c r="AC79" s="3143"/>
      <c r="AD79" s="3394"/>
      <c r="AE79" s="3143">
        <f>+'Exhibit G State'!AG56</f>
        <v>179.7</v>
      </c>
      <c r="AF79" s="3145"/>
      <c r="AG79" s="3145"/>
      <c r="AH79" s="3143">
        <f t="shared" si="13"/>
        <v>-117.5</v>
      </c>
      <c r="AI79" s="3101"/>
      <c r="AJ79" s="1828">
        <f>ROUND(SUM(AH79/ABS(AE79)),3)</f>
        <v>-0.65400000000000003</v>
      </c>
    </row>
    <row r="80" spans="1:36" ht="15.5">
      <c r="A80" s="2484" t="s">
        <v>1028</v>
      </c>
      <c r="B80" s="1438"/>
      <c r="C80" s="1437">
        <f>+'Exhibit G State'!D57</f>
        <v>157</v>
      </c>
      <c r="D80" s="1437"/>
      <c r="E80" s="1437">
        <f>+'Exhibit G State'!F57</f>
        <v>142.10000000000002</v>
      </c>
      <c r="F80" s="1437"/>
      <c r="G80" s="1437">
        <f>+'Exhibit G State'!H57</f>
        <v>173.79999999999995</v>
      </c>
      <c r="H80" s="1437"/>
      <c r="I80" s="1437">
        <f>+'Exhibit G State'!J57</f>
        <v>202.20000000000005</v>
      </c>
      <c r="J80" s="1437"/>
      <c r="K80" s="1437">
        <f>+'Exhibit G State'!L57</f>
        <v>195.89999999999998</v>
      </c>
      <c r="L80" s="1437"/>
      <c r="M80" s="1437">
        <f>+'Exhibit G State'!N57</f>
        <v>199.29999999999995</v>
      </c>
      <c r="N80" s="1437"/>
      <c r="O80" s="3143">
        <f>+'Exhibit G State'!P57</f>
        <v>168.29999999999995</v>
      </c>
      <c r="P80" s="1437"/>
      <c r="Q80" s="1437"/>
      <c r="R80" s="1437"/>
      <c r="S80" s="1437"/>
      <c r="T80" s="1437"/>
      <c r="U80" s="1437"/>
      <c r="V80" s="1437"/>
      <c r="W80" s="1437"/>
      <c r="X80" s="1437"/>
      <c r="Y80" s="1437"/>
      <c r="Z80" s="1437"/>
      <c r="AA80" s="2770"/>
      <c r="AB80" s="3143">
        <f>ROUND(SUM(C80:Y80),1)</f>
        <v>1238.5999999999999</v>
      </c>
      <c r="AC80" s="3143"/>
      <c r="AD80" s="3394"/>
      <c r="AE80" s="3143">
        <f>+'Exhibit G State'!AG57</f>
        <v>1475</v>
      </c>
      <c r="AF80" s="3145"/>
      <c r="AG80" s="3145"/>
      <c r="AH80" s="3143">
        <f t="shared" si="13"/>
        <v>-236.4</v>
      </c>
      <c r="AI80" s="3101"/>
      <c r="AJ80" s="1828">
        <f>ROUND(SUM(AH80/ABS(AE80)),3)</f>
        <v>-0.16</v>
      </c>
    </row>
    <row r="81" spans="1:36" ht="15.5">
      <c r="A81" s="2484" t="s">
        <v>1029</v>
      </c>
      <c r="B81" s="1438"/>
      <c r="C81" s="1437">
        <f>+'Exhibit G State'!D58</f>
        <v>0</v>
      </c>
      <c r="D81" s="1437"/>
      <c r="E81" s="1437">
        <f>+'Exhibit G State'!F58</f>
        <v>0.6</v>
      </c>
      <c r="F81" s="1437"/>
      <c r="G81" s="1437">
        <f>+'Exhibit G State'!H58</f>
        <v>0</v>
      </c>
      <c r="H81" s="1437"/>
      <c r="I81" s="1437">
        <f>+'Exhibit G State'!J58</f>
        <v>-0.39999999999999997</v>
      </c>
      <c r="J81" s="1437"/>
      <c r="K81" s="1437">
        <f>+'Exhibit G State'!L58</f>
        <v>0</v>
      </c>
      <c r="L81" s="1437"/>
      <c r="M81" s="1437">
        <f>+'Exhibit G State'!N58</f>
        <v>33.799999999999997</v>
      </c>
      <c r="N81" s="1437"/>
      <c r="O81" s="3143">
        <f>+'Exhibit G State'!P58</f>
        <v>59.600000000000009</v>
      </c>
      <c r="P81" s="1437"/>
      <c r="Q81" s="1437"/>
      <c r="R81" s="1437"/>
      <c r="S81" s="1437"/>
      <c r="T81" s="1437"/>
      <c r="U81" s="1437"/>
      <c r="V81" s="1437"/>
      <c r="W81" s="1437"/>
      <c r="X81" s="1437"/>
      <c r="Y81" s="1437"/>
      <c r="Z81" s="1437"/>
      <c r="AA81" s="2770"/>
      <c r="AB81" s="3143">
        <f>ROUND(SUM(C81:Y81),1)</f>
        <v>93.6</v>
      </c>
      <c r="AC81" s="3143"/>
      <c r="AD81" s="3394"/>
      <c r="AE81" s="3143">
        <f>+'Exhibit G State'!AG58</f>
        <v>566.4</v>
      </c>
      <c r="AF81" s="3145"/>
      <c r="AG81" s="3145"/>
      <c r="AH81" s="3143">
        <f t="shared" si="13"/>
        <v>-472.8</v>
      </c>
      <c r="AI81" s="3101"/>
      <c r="AJ81" s="1828">
        <f>ROUND(SUM(AH81/ABS(AE81)),3)</f>
        <v>-0.83499999999999996</v>
      </c>
    </row>
    <row r="82" spans="1:36" ht="15.5">
      <c r="A82" s="2484" t="s">
        <v>1016</v>
      </c>
      <c r="B82" s="1438"/>
      <c r="C82" s="1437">
        <f>+'Exhibit F'!D73+'Exhibit H'!B38+'Exhibit G State'!D59</f>
        <v>29.2</v>
      </c>
      <c r="D82" s="1437"/>
      <c r="E82" s="1437">
        <f>+'Exhibit F'!F73+'Exhibit H'!D38+'Exhibit G State'!F59</f>
        <v>13.8</v>
      </c>
      <c r="F82" s="1437"/>
      <c r="G82" s="1437">
        <f>+'Exhibit F'!H73+'Exhibit H'!F38+'Exhibit G State'!H59</f>
        <v>7.6999999999999993</v>
      </c>
      <c r="H82" s="1437"/>
      <c r="I82" s="1437">
        <f>+'Exhibit F'!J73+'Exhibit H'!H38+'Exhibit G State'!J59</f>
        <v>4.3000000000000007</v>
      </c>
      <c r="J82" s="1437"/>
      <c r="K82" s="1437">
        <f>+'Exhibit F'!L73+'Exhibit H'!J38+'Exhibit G State'!L59</f>
        <v>5.399999999999995</v>
      </c>
      <c r="L82" s="1437"/>
      <c r="M82" s="1437">
        <f>+'Exhibit F'!N73+'Exhibit H'!L38+'Exhibit G State'!N59</f>
        <v>5.3000000000000078</v>
      </c>
      <c r="N82" s="1437"/>
      <c r="O82" s="3143">
        <f>+'Exhibit F'!P73+'Exhibit H'!N38+'Exhibit G State'!P59</f>
        <v>4.9999999999999964</v>
      </c>
      <c r="P82" s="1437"/>
      <c r="Q82" s="1437"/>
      <c r="R82" s="1437"/>
      <c r="S82" s="1437"/>
      <c r="T82" s="1437"/>
      <c r="U82" s="1437"/>
      <c r="V82" s="1437"/>
      <c r="W82" s="1437"/>
      <c r="X82" s="1437"/>
      <c r="Y82" s="1437"/>
      <c r="Z82" s="1437"/>
      <c r="AA82" s="2770"/>
      <c r="AB82" s="3143">
        <f>ROUND(SUM(C82:Y82),1)</f>
        <v>70.7</v>
      </c>
      <c r="AC82" s="3143"/>
      <c r="AD82" s="3394"/>
      <c r="AE82" s="3143">
        <f>+'Exhibit F'!AF73+'Exhibit H'!AD38+'Exhibit G State'!AG59</f>
        <v>252.2</v>
      </c>
      <c r="AF82" s="3145"/>
      <c r="AG82" s="3145"/>
      <c r="AH82" s="3143">
        <f t="shared" si="13"/>
        <v>-181.5</v>
      </c>
      <c r="AI82" s="3101"/>
      <c r="AJ82" s="1828">
        <f>ROUND(SUM(AH82/ABS(AE82)),3)</f>
        <v>-0.72</v>
      </c>
    </row>
    <row r="83" spans="1:36" ht="15.5">
      <c r="A83" s="2484" t="s">
        <v>1137</v>
      </c>
      <c r="B83" s="1438"/>
      <c r="C83" s="1437"/>
      <c r="D83" s="1437"/>
      <c r="E83" s="1437"/>
      <c r="F83" s="1437"/>
      <c r="G83" s="1437"/>
      <c r="H83" s="1437"/>
      <c r="I83" s="1437"/>
      <c r="J83" s="1437"/>
      <c r="K83" s="1437"/>
      <c r="L83" s="1437"/>
      <c r="M83" s="1437"/>
      <c r="N83" s="1437"/>
      <c r="O83" s="3143"/>
      <c r="P83" s="1437"/>
      <c r="Q83" s="1437"/>
      <c r="R83" s="1437"/>
      <c r="S83" s="1437"/>
      <c r="T83" s="1437"/>
      <c r="U83" s="1437"/>
      <c r="V83" s="1437"/>
      <c r="W83" s="1437"/>
      <c r="X83" s="1437"/>
      <c r="Y83" s="1437"/>
      <c r="Z83" s="1437"/>
      <c r="AA83" s="2770"/>
      <c r="AB83" s="3143"/>
      <c r="AC83" s="3143"/>
      <c r="AD83" s="3394"/>
      <c r="AE83" s="3143"/>
      <c r="AF83" s="3145"/>
      <c r="AG83" s="3145"/>
      <c r="AH83" s="3143"/>
      <c r="AI83" s="3101"/>
      <c r="AJ83" s="1723"/>
    </row>
    <row r="84" spans="1:36" ht="15.5">
      <c r="A84" s="2484" t="s">
        <v>1030</v>
      </c>
      <c r="B84" s="1438"/>
      <c r="C84" s="1437">
        <f>+'Exhibit G State'!D61</f>
        <v>0</v>
      </c>
      <c r="D84" s="1437"/>
      <c r="E84" s="1437">
        <f>+'Exhibit G State'!F61+'Exhibit F'!F75</f>
        <v>1000</v>
      </c>
      <c r="F84" s="1437"/>
      <c r="G84" s="1437">
        <f>+'Exhibit G State'!H61+'Exhibit F'!H75</f>
        <v>3500</v>
      </c>
      <c r="H84" s="1437"/>
      <c r="I84" s="1437">
        <f>+'Exhibit G State'!J61+'Exhibit F'!J75</f>
        <v>0</v>
      </c>
      <c r="J84" s="1437"/>
      <c r="K84" s="1437">
        <f>+'Exhibit G State'!L61+'Exhibit F'!L75</f>
        <v>0</v>
      </c>
      <c r="L84" s="1437"/>
      <c r="M84" s="1437">
        <f>+'Exhibit G State'!N61+'Exhibit F'!N75</f>
        <v>0</v>
      </c>
      <c r="N84" s="1437"/>
      <c r="O84" s="3143">
        <f>+'Exhibit G State'!P61+'Exhibit F'!P75</f>
        <v>0</v>
      </c>
      <c r="P84" s="1437"/>
      <c r="Q84" s="1437"/>
      <c r="R84" s="1437"/>
      <c r="S84" s="1437"/>
      <c r="T84" s="1437"/>
      <c r="U84" s="1437"/>
      <c r="V84" s="1437"/>
      <c r="W84" s="1437"/>
      <c r="X84" s="1437"/>
      <c r="Y84" s="1437"/>
      <c r="Z84" s="1437"/>
      <c r="AA84" s="2770"/>
      <c r="AB84" s="3143">
        <f t="shared" ref="AB84:AB89" si="15">ROUND(SUM(C84:Y84),1)</f>
        <v>4500</v>
      </c>
      <c r="AC84" s="3143"/>
      <c r="AD84" s="3394"/>
      <c r="AE84" s="3143">
        <f>+'Exhibit G State'!AG61</f>
        <v>0</v>
      </c>
      <c r="AF84" s="3145"/>
      <c r="AG84" s="3145"/>
      <c r="AH84" s="3143">
        <f t="shared" si="13"/>
        <v>4500</v>
      </c>
      <c r="AI84" s="3101"/>
      <c r="AJ84" s="1723">
        <f>ROUND(IF(AE84=0,1,AH84/ABS(AE84)),3)</f>
        <v>1</v>
      </c>
    </row>
    <row r="85" spans="1:36" ht="15.5">
      <c r="A85" s="2484" t="s">
        <v>1031</v>
      </c>
      <c r="B85" s="1438"/>
      <c r="C85" s="1437">
        <f>+'Exhibit F'!D76+'Exhibit G State'!D62</f>
        <v>0</v>
      </c>
      <c r="D85" s="1437"/>
      <c r="E85" s="1437">
        <f>+'Exhibit F'!F76+'Exhibit G State'!F62</f>
        <v>0</v>
      </c>
      <c r="F85" s="1437"/>
      <c r="G85" s="1437">
        <f>+'Exhibit F'!H76+'Exhibit G State'!H62</f>
        <v>0</v>
      </c>
      <c r="H85" s="1437"/>
      <c r="I85" s="1437">
        <f>+'Exhibit F'!J76+'Exhibit G State'!J62</f>
        <v>0</v>
      </c>
      <c r="J85" s="1437"/>
      <c r="K85" s="1437">
        <f>+'Exhibit F'!L76+'Exhibit G State'!L62</f>
        <v>0</v>
      </c>
      <c r="L85" s="1437"/>
      <c r="M85" s="1437">
        <f>+'Exhibit F'!N76+'Exhibit G State'!N62</f>
        <v>0</v>
      </c>
      <c r="N85" s="1437"/>
      <c r="O85" s="3143">
        <f>+'Exhibit F'!P76+'Exhibit G State'!P62</f>
        <v>8.9</v>
      </c>
      <c r="P85" s="1437"/>
      <c r="Q85" s="1437"/>
      <c r="R85" s="1437"/>
      <c r="S85" s="1437"/>
      <c r="T85" s="1437"/>
      <c r="U85" s="1437"/>
      <c r="V85" s="1437"/>
      <c r="W85" s="1437"/>
      <c r="X85" s="1437"/>
      <c r="Y85" s="1437"/>
      <c r="Z85" s="1437"/>
      <c r="AA85" s="2770"/>
      <c r="AB85" s="3143">
        <f t="shared" si="15"/>
        <v>8.9</v>
      </c>
      <c r="AC85" s="3143"/>
      <c r="AD85" s="3394"/>
      <c r="AE85" s="3143">
        <f>+'Exhibit F'!AF76+'Exhibit G State'!AG62</f>
        <v>46.7</v>
      </c>
      <c r="AF85" s="3145"/>
      <c r="AG85" s="3145"/>
      <c r="AH85" s="3143">
        <f t="shared" si="13"/>
        <v>-37.799999999999997</v>
      </c>
      <c r="AI85" s="3101"/>
      <c r="AJ85" s="1817">
        <f>ROUND(IF(AE85=0,0,AH85/ABS(AE85)),3)</f>
        <v>-0.80900000000000005</v>
      </c>
    </row>
    <row r="86" spans="1:36" ht="15.5">
      <c r="A86" s="2484" t="s">
        <v>1032</v>
      </c>
      <c r="B86" s="1438"/>
      <c r="C86" s="1437">
        <f>+'Exhibit F'!D77+'Exhibit G State'!D63</f>
        <v>0.5</v>
      </c>
      <c r="D86" s="1437"/>
      <c r="E86" s="1437">
        <f>+'Exhibit F'!F77+'Exhibit G State'!F63</f>
        <v>1.4</v>
      </c>
      <c r="F86" s="1437"/>
      <c r="G86" s="1437">
        <f>+'Exhibit F'!H77+'Exhibit G State'!H63</f>
        <v>25.5</v>
      </c>
      <c r="H86" s="1437"/>
      <c r="I86" s="1437">
        <f>+'Exhibit F'!J77+'Exhibit G State'!J63</f>
        <v>24.7</v>
      </c>
      <c r="J86" s="1437"/>
      <c r="K86" s="1437">
        <f>+'Exhibit F'!L77+'Exhibit G State'!L63</f>
        <v>0</v>
      </c>
      <c r="L86" s="1437"/>
      <c r="M86" s="1437">
        <f>+'Exhibit F'!N77+'Exhibit G State'!N63</f>
        <v>1.8000000000000043</v>
      </c>
      <c r="N86" s="1437"/>
      <c r="O86" s="3143">
        <f>+'Exhibit F'!P77+'Exhibit G State'!P63</f>
        <v>30.199999999999996</v>
      </c>
      <c r="P86" s="1437"/>
      <c r="Q86" s="1437"/>
      <c r="R86" s="1437"/>
      <c r="S86" s="1437"/>
      <c r="T86" s="1437"/>
      <c r="U86" s="1437"/>
      <c r="V86" s="1437"/>
      <c r="W86" s="1437"/>
      <c r="X86" s="1437"/>
      <c r="Y86" s="1437"/>
      <c r="Z86" s="1437"/>
      <c r="AA86" s="2770"/>
      <c r="AB86" s="3143">
        <f t="shared" si="15"/>
        <v>84.1</v>
      </c>
      <c r="AC86" s="3143"/>
      <c r="AD86" s="3394"/>
      <c r="AE86" s="3143">
        <f>+'Exhibit F'!AF77+'Exhibit G State'!AG63</f>
        <v>40.700000000000003</v>
      </c>
      <c r="AF86" s="3145"/>
      <c r="AG86" s="3145"/>
      <c r="AH86" s="3143">
        <f t="shared" si="13"/>
        <v>43.4</v>
      </c>
      <c r="AI86" s="3101"/>
      <c r="AJ86" s="1828">
        <f>ROUND(SUM(AH86/ABS(AE86)),3)</f>
        <v>1.0660000000000001</v>
      </c>
    </row>
    <row r="87" spans="1:36" ht="15.5">
      <c r="A87" s="2484" t="s">
        <v>1033</v>
      </c>
      <c r="B87" s="1438"/>
      <c r="C87" s="1437">
        <f>+'Exhibit F'!D78+'Exhibit G State'!D64</f>
        <v>8.9</v>
      </c>
      <c r="D87" s="1437"/>
      <c r="E87" s="1437">
        <f>+'Exhibit F'!F78+'Exhibit G State'!F64</f>
        <v>0.29999999999999893</v>
      </c>
      <c r="F87" s="1437"/>
      <c r="G87" s="1437">
        <f>+'Exhibit F'!H78+'Exhibit G State'!H64</f>
        <v>0</v>
      </c>
      <c r="H87" s="1437"/>
      <c r="I87" s="1437">
        <f>+'Exhibit F'!J78+'Exhibit G State'!J64</f>
        <v>4.2000000000000011</v>
      </c>
      <c r="J87" s="1437"/>
      <c r="K87" s="1437">
        <f>+'Exhibit F'!L78+'Exhibit G State'!L64</f>
        <v>1.7999999999999989</v>
      </c>
      <c r="L87" s="1437"/>
      <c r="M87" s="1437">
        <f>+'Exhibit F'!N78+'Exhibit G State'!N64</f>
        <v>0</v>
      </c>
      <c r="N87" s="1437"/>
      <c r="O87" s="3143">
        <f>+'Exhibit F'!P78+'Exhibit G State'!P64</f>
        <v>0.40000000000000036</v>
      </c>
      <c r="P87" s="1437"/>
      <c r="Q87" s="1437"/>
      <c r="R87" s="1437"/>
      <c r="S87" s="1437"/>
      <c r="T87" s="1437"/>
      <c r="U87" s="1437"/>
      <c r="V87" s="1437"/>
      <c r="W87" s="1437"/>
      <c r="X87" s="1437"/>
      <c r="Y87" s="1437"/>
      <c r="Z87" s="1437"/>
      <c r="AA87" s="2770"/>
      <c r="AB87" s="3143">
        <f t="shared" si="15"/>
        <v>15.6</v>
      </c>
      <c r="AC87" s="3143"/>
      <c r="AD87" s="3394"/>
      <c r="AE87" s="3143">
        <f>+'Exhibit F'!AF78+'Exhibit G State'!AG64</f>
        <v>54.4</v>
      </c>
      <c r="AF87" s="3145"/>
      <c r="AG87" s="3145"/>
      <c r="AH87" s="3143">
        <f t="shared" si="13"/>
        <v>-38.799999999999997</v>
      </c>
      <c r="AI87" s="3101"/>
      <c r="AJ87" s="1828">
        <f>ROUND(SUM(AH87/ABS(AE87)),3)</f>
        <v>-0.71299999999999997</v>
      </c>
    </row>
    <row r="88" spans="1:36" ht="15.5">
      <c r="A88" s="2484" t="s">
        <v>1034</v>
      </c>
      <c r="B88" s="1438"/>
      <c r="C88" s="1437">
        <f>+'Exhibit F'!D79+'Exhibit H'!B39+'Exhibit G State'!D65</f>
        <v>9.2999999999999989</v>
      </c>
      <c r="D88" s="1437"/>
      <c r="E88" s="1437">
        <f>+'Exhibit F'!F79+'Exhibit H'!D39+'Exhibit G State'!F65</f>
        <v>2.5000000000000009</v>
      </c>
      <c r="F88" s="1437"/>
      <c r="G88" s="1437">
        <f>+'Exhibit F'!H79+'Exhibit H'!F39+'Exhibit G State'!H65</f>
        <v>3.7999999999999994</v>
      </c>
      <c r="H88" s="1437"/>
      <c r="I88" s="1437">
        <f>+'Exhibit F'!J79+'Exhibit H'!H39+'Exhibit G State'!J65</f>
        <v>3.7999999999999994</v>
      </c>
      <c r="J88" s="1437"/>
      <c r="K88" s="1437">
        <f>+'Exhibit F'!L79+'Exhibit H'!J39+'Exhibit G State'!L65</f>
        <v>1.7000000000000015</v>
      </c>
      <c r="L88" s="1437"/>
      <c r="M88" s="1437">
        <f>+'Exhibit F'!N79+'Exhibit H'!L39+'Exhibit G State'!N65</f>
        <v>4.6999999999999993</v>
      </c>
      <c r="N88" s="1437"/>
      <c r="O88" s="3143">
        <f>+'Exhibit F'!P79+'Exhibit H'!N39+'Exhibit G State'!P65</f>
        <v>3.4000000000000021</v>
      </c>
      <c r="P88" s="1437"/>
      <c r="Q88" s="1437"/>
      <c r="R88" s="1437"/>
      <c r="S88" s="1437"/>
      <c r="T88" s="1437"/>
      <c r="U88" s="1437"/>
      <c r="V88" s="1437"/>
      <c r="W88" s="1437"/>
      <c r="X88" s="1437"/>
      <c r="Y88" s="1437"/>
      <c r="Z88" s="1437"/>
      <c r="AA88" s="2770"/>
      <c r="AB88" s="3143">
        <f t="shared" si="15"/>
        <v>29.2</v>
      </c>
      <c r="AC88" s="3143"/>
      <c r="AD88" s="3394"/>
      <c r="AE88" s="3143">
        <f>+'Exhibit F'!AF79+'Exhibit H'!AD39+'Exhibit G State'!AG65</f>
        <v>52.6</v>
      </c>
      <c r="AF88" s="3145"/>
      <c r="AG88" s="3145"/>
      <c r="AH88" s="3143">
        <f t="shared" si="13"/>
        <v>-23.4</v>
      </c>
      <c r="AI88" s="3101"/>
      <c r="AJ88" s="1828">
        <f>ROUND(SUM(AH88/ABS(AE88)),3)</f>
        <v>-0.44500000000000001</v>
      </c>
    </row>
    <row r="89" spans="1:36" ht="15.5">
      <c r="A89" s="2484" t="s">
        <v>1035</v>
      </c>
      <c r="B89" s="1438"/>
      <c r="C89" s="1437">
        <f>+'Exhibit F'!D80+'Exhibit H'!B40+'Exhibit G State'!D66</f>
        <v>-5.0999999999999996</v>
      </c>
      <c r="D89" s="1437"/>
      <c r="E89" s="1437">
        <f>+'Exhibit F'!F80+'Exhibit H'!D40+'Exhibit G State'!F66</f>
        <v>-42.800000000000004</v>
      </c>
      <c r="F89" s="1437"/>
      <c r="G89" s="1437">
        <f>+'Exhibit F'!H80+'Exhibit H'!F40+'Exhibit G State'!H66</f>
        <v>-0.29999999999999855</v>
      </c>
      <c r="H89" s="1437"/>
      <c r="I89" s="1437">
        <f>+'Exhibit F'!J80+'Exhibit H'!H40+'Exhibit G State'!J66</f>
        <v>1.9999999999999987</v>
      </c>
      <c r="J89" s="1437"/>
      <c r="K89" s="1437">
        <f>+'Exhibit F'!L80+'Exhibit H'!J40+'Exhibit G State'!L66</f>
        <v>4.0000000000000044</v>
      </c>
      <c r="L89" s="1437"/>
      <c r="M89" s="1437">
        <f>+'Exhibit F'!N80+'Exhibit H'!L40+'Exhibit G State'!N66</f>
        <v>34.700000000000003</v>
      </c>
      <c r="N89" s="1437"/>
      <c r="O89" s="3143">
        <f>+'Exhibit F'!P80+'Exhibit H'!N40+'Exhibit G State'!P66</f>
        <v>60.999999999999993</v>
      </c>
      <c r="P89" s="1437"/>
      <c r="Q89" s="1437"/>
      <c r="R89" s="1437"/>
      <c r="S89" s="1437"/>
      <c r="T89" s="1437"/>
      <c r="U89" s="1437"/>
      <c r="V89" s="1437"/>
      <c r="W89" s="1437"/>
      <c r="X89" s="1437"/>
      <c r="Y89" s="1437"/>
      <c r="Z89" s="1437"/>
      <c r="AA89" s="2770"/>
      <c r="AB89" s="3143">
        <f t="shared" si="15"/>
        <v>53.5</v>
      </c>
      <c r="AC89" s="3143"/>
      <c r="AD89" s="3394"/>
      <c r="AE89" s="3143">
        <f>+'Exhibit F'!AF80+'Exhibit H'!AD40+'Exhibit G State'!AG66</f>
        <v>173.20000000000002</v>
      </c>
      <c r="AF89" s="3145"/>
      <c r="AG89" s="3145"/>
      <c r="AH89" s="3143">
        <f t="shared" si="13"/>
        <v>-119.7</v>
      </c>
      <c r="AI89" s="3101"/>
      <c r="AJ89" s="1828">
        <f>ROUND(SUM(AH89/ABS(AE89)),3)</f>
        <v>-0.69099999999999995</v>
      </c>
    </row>
    <row r="90" spans="1:36" ht="15.5">
      <c r="A90" s="2484" t="s">
        <v>1138</v>
      </c>
      <c r="B90" s="1438"/>
      <c r="C90" s="1437"/>
      <c r="D90" s="1437"/>
      <c r="E90" s="1437"/>
      <c r="F90" s="1437"/>
      <c r="G90" s="1437"/>
      <c r="H90" s="1437"/>
      <c r="I90" s="1437"/>
      <c r="J90" s="1437"/>
      <c r="K90" s="1437"/>
      <c r="L90" s="1437"/>
      <c r="M90" s="1437"/>
      <c r="N90" s="1437"/>
      <c r="O90" s="3143"/>
      <c r="P90" s="1437"/>
      <c r="Q90" s="1437"/>
      <c r="R90" s="1437"/>
      <c r="S90" s="1437"/>
      <c r="T90" s="1437"/>
      <c r="U90" s="1437"/>
      <c r="V90" s="1437"/>
      <c r="W90" s="1437"/>
      <c r="X90" s="1437"/>
      <c r="Y90" s="1437"/>
      <c r="Z90" s="1437"/>
      <c r="AA90" s="2770"/>
      <c r="AB90" s="3143"/>
      <c r="AC90" s="3143"/>
      <c r="AD90" s="3394"/>
      <c r="AE90" s="3143"/>
      <c r="AF90" s="3145"/>
      <c r="AG90" s="3145"/>
      <c r="AH90" s="3143"/>
      <c r="AI90" s="3101"/>
      <c r="AJ90" s="1723"/>
    </row>
    <row r="91" spans="1:36" ht="15.5">
      <c r="A91" s="2484" t="s">
        <v>1036</v>
      </c>
      <c r="B91" s="1438"/>
      <c r="C91" s="1437">
        <f>+'Exhibit F'!D82+'Exhibit G State'!D68</f>
        <v>25</v>
      </c>
      <c r="D91" s="1437"/>
      <c r="E91" s="1437">
        <f>+'Exhibit F'!F82+'Exhibit G State'!F68</f>
        <v>8.8000000000000007</v>
      </c>
      <c r="F91" s="1437"/>
      <c r="G91" s="1437">
        <f>+'Exhibit F'!H82+'Exhibit G State'!H68</f>
        <v>25.399999999999995</v>
      </c>
      <c r="H91" s="1437"/>
      <c r="I91" s="1437">
        <f>+'Exhibit F'!J82+'Exhibit G State'!J68</f>
        <v>9.100000000000005</v>
      </c>
      <c r="J91" s="1437"/>
      <c r="K91" s="1437">
        <f>+'Exhibit F'!L82+'Exhibit G State'!L68</f>
        <v>8.8999999999999968</v>
      </c>
      <c r="L91" s="1437"/>
      <c r="M91" s="1437">
        <f>+'Exhibit F'!N82+'Exhibit G State'!N68</f>
        <v>25.600000000000009</v>
      </c>
      <c r="N91" s="1437"/>
      <c r="O91" s="3143">
        <f>+'Exhibit F'!P82+'Exhibit G State'!P68</f>
        <v>24.5</v>
      </c>
      <c r="P91" s="1437"/>
      <c r="Q91" s="1437"/>
      <c r="R91" s="1437"/>
      <c r="S91" s="1437"/>
      <c r="T91" s="1437"/>
      <c r="U91" s="1437"/>
      <c r="V91" s="1437"/>
      <c r="W91" s="1437"/>
      <c r="X91" s="1437"/>
      <c r="Y91" s="1437"/>
      <c r="Z91" s="1437"/>
      <c r="AA91" s="2770"/>
      <c r="AB91" s="3143">
        <f t="shared" ref="AB91:AB102" si="16">ROUND(SUM(C91:Y91),1)</f>
        <v>127.3</v>
      </c>
      <c r="AC91" s="3143"/>
      <c r="AD91" s="3394"/>
      <c r="AE91" s="3143">
        <f>+'Exhibit F'!AF82+'Exhibit G State'!AG68</f>
        <v>100.30000000000001</v>
      </c>
      <c r="AF91" s="3145"/>
      <c r="AG91" s="3145"/>
      <c r="AH91" s="3143">
        <f t="shared" si="13"/>
        <v>27</v>
      </c>
      <c r="AI91" s="3101"/>
      <c r="AJ91" s="1828">
        <f>ROUND(SUM(AH91/ABS(AE91)),3)</f>
        <v>0.26900000000000002</v>
      </c>
    </row>
    <row r="92" spans="1:36" ht="15.5">
      <c r="A92" s="2484" t="s">
        <v>1037</v>
      </c>
      <c r="B92" s="1438"/>
      <c r="C92" s="1437">
        <f>+'Exhibit G State'!D69+'Exhibit F'!D83</f>
        <v>0.60000000000000009</v>
      </c>
      <c r="D92" s="1437"/>
      <c r="E92" s="1437">
        <f>+'Exhibit G State'!F69+'Exhibit F'!F83</f>
        <v>-0.30000000000000004</v>
      </c>
      <c r="F92" s="1437"/>
      <c r="G92" s="1437">
        <f>+'Exhibit G State'!H69+'Exhibit F'!H83</f>
        <v>0.2</v>
      </c>
      <c r="H92" s="1437"/>
      <c r="I92" s="1437">
        <f>+'Exhibit G State'!J69+'Exhibit F'!J83</f>
        <v>0.19999999999999785</v>
      </c>
      <c r="J92" s="1437"/>
      <c r="K92" s="1437">
        <f>ROUND(SUM(+'Exhibit G State'!L69+'Exhibit F'!L83),0)</f>
        <v>0</v>
      </c>
      <c r="L92" s="1437"/>
      <c r="M92" s="1437">
        <f>+'Exhibit G State'!N69+'Exhibit F'!N83</f>
        <v>1.3000000000000007</v>
      </c>
      <c r="N92" s="1437"/>
      <c r="O92" s="3143">
        <f>+'Exhibit G State'!P69+'Exhibit F'!P83</f>
        <v>0.19999999999999174</v>
      </c>
      <c r="P92" s="1437"/>
      <c r="Q92" s="1437"/>
      <c r="R92" s="1437"/>
      <c r="S92" s="1437"/>
      <c r="T92" s="1437"/>
      <c r="U92" s="1437"/>
      <c r="V92" s="1437"/>
      <c r="W92" s="1437"/>
      <c r="X92" s="1437"/>
      <c r="Y92" s="1437"/>
      <c r="Z92" s="1437"/>
      <c r="AA92" s="2770"/>
      <c r="AB92" s="3143">
        <f t="shared" si="16"/>
        <v>2.2000000000000002</v>
      </c>
      <c r="AC92" s="3143"/>
      <c r="AD92" s="3394"/>
      <c r="AE92" s="3143">
        <f>+'Exhibit G State'!AG69+'Exhibit F'!AF83</f>
        <v>4.0999999999999996</v>
      </c>
      <c r="AF92" s="3145"/>
      <c r="AG92" s="3145"/>
      <c r="AH92" s="3143">
        <f t="shared" si="13"/>
        <v>-1.9</v>
      </c>
      <c r="AI92" s="3101"/>
      <c r="AJ92" s="1728">
        <f>ROUND(IF(AE92=0,1,AH92/ABS(AE92)),3)</f>
        <v>-0.46300000000000002</v>
      </c>
    </row>
    <row r="93" spans="1:36" ht="15.5">
      <c r="A93" s="890" t="s">
        <v>1375</v>
      </c>
      <c r="B93" s="1438"/>
      <c r="C93" s="1437">
        <v>0</v>
      </c>
      <c r="D93" s="1437"/>
      <c r="E93" s="1437">
        <v>0</v>
      </c>
      <c r="F93" s="1437"/>
      <c r="G93" s="1437">
        <v>0</v>
      </c>
      <c r="H93" s="1437"/>
      <c r="I93" s="1437">
        <v>0</v>
      </c>
      <c r="J93" s="1437"/>
      <c r="K93" s="1437">
        <v>0</v>
      </c>
      <c r="L93" s="1437"/>
      <c r="M93" s="1437">
        <v>0</v>
      </c>
      <c r="N93" s="1437"/>
      <c r="O93" s="3143">
        <v>0</v>
      </c>
      <c r="P93" s="1437"/>
      <c r="Q93" s="1437"/>
      <c r="R93" s="1437"/>
      <c r="S93" s="1437"/>
      <c r="T93" s="1437"/>
      <c r="U93" s="1437"/>
      <c r="V93" s="1437"/>
      <c r="W93" s="1437"/>
      <c r="X93" s="1437"/>
      <c r="Y93" s="1437"/>
      <c r="Z93" s="1437"/>
      <c r="AA93" s="2770"/>
      <c r="AB93" s="3143">
        <f t="shared" si="16"/>
        <v>0</v>
      </c>
      <c r="AC93" s="3143"/>
      <c r="AD93" s="3394"/>
      <c r="AE93" s="3143">
        <f>+'Exhibit G State'!AG70</f>
        <v>0</v>
      </c>
      <c r="AF93" s="3145"/>
      <c r="AG93" s="3145"/>
      <c r="AH93" s="3143">
        <f t="shared" ref="AH93" si="17">ROUND(SUM(AB93-AE93),1)</f>
        <v>0</v>
      </c>
      <c r="AI93" s="3101"/>
      <c r="AJ93" s="1723">
        <f>ROUND(IF(AE93=0,0,AH93/ABS(AE93)),3)</f>
        <v>0</v>
      </c>
    </row>
    <row r="94" spans="1:36" ht="15.5">
      <c r="A94" s="2484" t="s">
        <v>1038</v>
      </c>
      <c r="B94" s="1438"/>
      <c r="C94" s="1437">
        <f>+'Exhibit F'!D84+'Exhibit G State'!D71</f>
        <v>0.6</v>
      </c>
      <c r="D94" s="1437"/>
      <c r="E94" s="1437">
        <f>+'Exhibit F'!F84+'Exhibit G State'!F71</f>
        <v>1.5</v>
      </c>
      <c r="F94" s="1437"/>
      <c r="G94" s="1437">
        <f>+'Exhibit F'!H84+'Exhibit G State'!H71</f>
        <v>22.099999999999998</v>
      </c>
      <c r="H94" s="1437"/>
      <c r="I94" s="1437">
        <f>+'Exhibit F'!J84+'Exhibit G State'!J71</f>
        <v>0.69999999999999929</v>
      </c>
      <c r="J94" s="1437"/>
      <c r="K94" s="1437">
        <f>+'Exhibit F'!L84+'Exhibit G State'!L71</f>
        <v>0.60000000000000142</v>
      </c>
      <c r="L94" s="1437"/>
      <c r="M94" s="1437">
        <f>+'Exhibit F'!N84+'Exhibit G State'!N71</f>
        <v>0.5</v>
      </c>
      <c r="N94" s="1437"/>
      <c r="O94" s="3143">
        <f>+'Exhibit F'!P84+'Exhibit G State'!P71</f>
        <v>5.1000000000000014</v>
      </c>
      <c r="P94" s="1437"/>
      <c r="Q94" s="1437"/>
      <c r="R94" s="1437"/>
      <c r="S94" s="1437"/>
      <c r="T94" s="1437"/>
      <c r="U94" s="1437"/>
      <c r="V94" s="1437"/>
      <c r="W94" s="1437"/>
      <c r="X94" s="1437"/>
      <c r="Y94" s="1437"/>
      <c r="Z94" s="1437"/>
      <c r="AA94" s="2770"/>
      <c r="AB94" s="3143">
        <f t="shared" si="16"/>
        <v>31.1</v>
      </c>
      <c r="AC94" s="3143"/>
      <c r="AD94" s="3394"/>
      <c r="AE94" s="3143">
        <f>+'Exhibit F'!AF84+'Exhibit G State'!AG71</f>
        <v>5.8</v>
      </c>
      <c r="AF94" s="3145"/>
      <c r="AG94" s="3145"/>
      <c r="AH94" s="3143">
        <f t="shared" si="13"/>
        <v>25.3</v>
      </c>
      <c r="AI94" s="3101"/>
      <c r="AJ94" s="1828">
        <f t="shared" ref="AJ94:AJ101" si="18">ROUND(SUM(AH94/ABS(AE94)),3)</f>
        <v>4.3620000000000001</v>
      </c>
    </row>
    <row r="95" spans="1:36" ht="15.5">
      <c r="A95" s="2484" t="s">
        <v>1039</v>
      </c>
      <c r="B95" s="1438"/>
      <c r="C95" s="1437">
        <f>+'Exhibit F'!D85+'Exhibit G State'!D72</f>
        <v>5.5</v>
      </c>
      <c r="D95" s="1437"/>
      <c r="E95" s="1437">
        <f>+'Exhibit F'!F85+'Exhibit G State'!F72</f>
        <v>5.4</v>
      </c>
      <c r="F95" s="1437"/>
      <c r="G95" s="1437">
        <f>+'Exhibit F'!H85+'Exhibit G State'!H72</f>
        <v>7.4</v>
      </c>
      <c r="H95" s="1437"/>
      <c r="I95" s="1437">
        <f>+'Exhibit F'!J85+'Exhibit G State'!J72</f>
        <v>5.8999999999999986</v>
      </c>
      <c r="J95" s="1437"/>
      <c r="K95" s="1437">
        <f>+'Exhibit F'!L85+'Exhibit G State'!L72</f>
        <v>6.1</v>
      </c>
      <c r="L95" s="1437"/>
      <c r="M95" s="1437">
        <f>+'Exhibit F'!N85+'Exhibit G State'!N72</f>
        <v>5.7000000000000046</v>
      </c>
      <c r="N95" s="1437"/>
      <c r="O95" s="3143">
        <f>+'Exhibit F'!P85+'Exhibit G State'!P72</f>
        <v>5</v>
      </c>
      <c r="P95" s="1437"/>
      <c r="Q95" s="1437"/>
      <c r="R95" s="1437"/>
      <c r="S95" s="1437"/>
      <c r="T95" s="1437"/>
      <c r="U95" s="1437"/>
      <c r="V95" s="1437"/>
      <c r="W95" s="1437"/>
      <c r="X95" s="1437"/>
      <c r="Y95" s="1437"/>
      <c r="Z95" s="1437"/>
      <c r="AA95" s="2770"/>
      <c r="AB95" s="3143">
        <f t="shared" si="16"/>
        <v>41</v>
      </c>
      <c r="AC95" s="3143"/>
      <c r="AD95" s="3394"/>
      <c r="AE95" s="3143">
        <f>+'Exhibit F'!AF85+'Exhibit G State'!AG72</f>
        <v>48.699999999999996</v>
      </c>
      <c r="AF95" s="3145"/>
      <c r="AG95" s="3145"/>
      <c r="AH95" s="3143">
        <f t="shared" si="13"/>
        <v>-7.7</v>
      </c>
      <c r="AI95" s="3101"/>
      <c r="AJ95" s="1817">
        <f t="shared" si="18"/>
        <v>-0.158</v>
      </c>
    </row>
    <row r="96" spans="1:36" ht="15.5">
      <c r="A96" s="2484" t="s">
        <v>1040</v>
      </c>
      <c r="B96" s="1438"/>
      <c r="C96" s="1437">
        <f>+'Exhibit F'!D86+'Exhibit H'!B42+'Exhibit G State'!D73</f>
        <v>526.5</v>
      </c>
      <c r="D96" s="1437"/>
      <c r="E96" s="1437">
        <f>+'Exhibit F'!F86+'Exhibit H'!D42+'Exhibit G State'!F73</f>
        <v>372.80000000000007</v>
      </c>
      <c r="F96" s="1437"/>
      <c r="G96" s="1437">
        <f>+'Exhibit F'!H86+'Exhibit H'!F42+'Exhibit G State'!H73</f>
        <v>350.59999999999997</v>
      </c>
      <c r="H96" s="1437"/>
      <c r="I96" s="1437">
        <f>+'Exhibit F'!J86+'Exhibit H'!H42+'Exhibit G State'!J73</f>
        <v>227.49999999999994</v>
      </c>
      <c r="J96" s="1437"/>
      <c r="K96" s="1437">
        <f>+'Exhibit F'!L86+'Exhibit H'!J42+'Exhibit G State'!L73</f>
        <v>221.80000000000007</v>
      </c>
      <c r="L96" s="1437"/>
      <c r="M96" s="1437">
        <f>+'Exhibit F'!N86+'Exhibit H'!L42+'Exhibit G State'!N73</f>
        <v>78.999999999999915</v>
      </c>
      <c r="N96" s="1437"/>
      <c r="O96" s="3143">
        <f>+'Exhibit F'!P86+'Exhibit H'!N42+'Exhibit G State'!P73</f>
        <v>291.40000000000009</v>
      </c>
      <c r="P96" s="1437"/>
      <c r="Q96" s="1437"/>
      <c r="R96" s="1437"/>
      <c r="S96" s="1437"/>
      <c r="T96" s="1437"/>
      <c r="U96" s="1437"/>
      <c r="V96" s="1437"/>
      <c r="W96" s="1437"/>
      <c r="X96" s="1437"/>
      <c r="Y96" s="1437"/>
      <c r="Z96" s="1437"/>
      <c r="AA96" s="2770"/>
      <c r="AB96" s="3143">
        <f t="shared" si="16"/>
        <v>2069.6</v>
      </c>
      <c r="AC96" s="3143"/>
      <c r="AD96" s="3394"/>
      <c r="AE96" s="3143">
        <f>+'Exhibit F'!AF86+'Exhibit H'!AD42+'Exhibit G State'!AG73</f>
        <v>1554.1000000000001</v>
      </c>
      <c r="AF96" s="3145"/>
      <c r="AG96" s="3145"/>
      <c r="AH96" s="3143">
        <f t="shared" si="13"/>
        <v>515.5</v>
      </c>
      <c r="AI96" s="3101"/>
      <c r="AJ96" s="1817">
        <f t="shared" si="18"/>
        <v>0.33200000000000002</v>
      </c>
    </row>
    <row r="97" spans="1:45" ht="15.5">
      <c r="A97" s="2484" t="s">
        <v>1041</v>
      </c>
      <c r="B97" s="1438"/>
      <c r="C97" s="1437">
        <f>+'Exhibit G State'!D74+'Exhibit F'!D87</f>
        <v>0.1</v>
      </c>
      <c r="D97" s="1437"/>
      <c r="E97" s="1437">
        <f>+'Exhibit G State'!F74+'Exhibit F'!F87</f>
        <v>6.6000000000000005</v>
      </c>
      <c r="F97" s="1437"/>
      <c r="G97" s="1437">
        <f>+'Exhibit G State'!H74+'Exhibit F'!H87</f>
        <v>5.6999999999999993</v>
      </c>
      <c r="H97" s="1437"/>
      <c r="I97" s="1437">
        <f>+'Exhibit G State'!J74+'Exhibit F'!J87</f>
        <v>10.199999999999998</v>
      </c>
      <c r="J97" s="1437"/>
      <c r="K97" s="1437">
        <f>+'Exhibit G State'!L74+'Exhibit F'!L87</f>
        <v>5.3000000000000007</v>
      </c>
      <c r="L97" s="1437"/>
      <c r="M97" s="1437">
        <f>+'Exhibit G State'!N74+'Exhibit F'!N87</f>
        <v>4.9999999999999982</v>
      </c>
      <c r="N97" s="1437"/>
      <c r="O97" s="3143">
        <f>+'Exhibit G State'!P74+'Exhibit F'!P87</f>
        <v>2.3000000000000003</v>
      </c>
      <c r="P97" s="1437"/>
      <c r="Q97" s="1437"/>
      <c r="R97" s="1437"/>
      <c r="S97" s="1437"/>
      <c r="T97" s="1437"/>
      <c r="U97" s="1437"/>
      <c r="V97" s="1437"/>
      <c r="W97" s="1437"/>
      <c r="X97" s="1437"/>
      <c r="Y97" s="1437"/>
      <c r="Z97" s="1437"/>
      <c r="AA97" s="2770"/>
      <c r="AB97" s="3143">
        <f t="shared" si="16"/>
        <v>35.200000000000003</v>
      </c>
      <c r="AC97" s="3143"/>
      <c r="AD97" s="3394"/>
      <c r="AE97" s="3143">
        <f>+'Exhibit G State'!AG74+'Exhibit F'!AF87</f>
        <v>43.8</v>
      </c>
      <c r="AF97" s="3145"/>
      <c r="AG97" s="3145"/>
      <c r="AH97" s="3143">
        <f t="shared" si="13"/>
        <v>-8.6</v>
      </c>
      <c r="AI97" s="3101"/>
      <c r="AJ97" s="1817">
        <f t="shared" si="18"/>
        <v>-0.19600000000000001</v>
      </c>
    </row>
    <row r="98" spans="1:45" ht="15.5">
      <c r="A98" s="2484" t="s">
        <v>1042</v>
      </c>
      <c r="B98" s="1438"/>
      <c r="C98" s="1437">
        <f>+'Exhibit F'!D88+'Exhibit G State'!D75</f>
        <v>3.9000000000000004</v>
      </c>
      <c r="D98" s="1437"/>
      <c r="E98" s="1437">
        <f>+'Exhibit F'!F88+'Exhibit G State'!F75</f>
        <v>0.39999999999999947</v>
      </c>
      <c r="F98" s="1437"/>
      <c r="G98" s="1437">
        <f>+'Exhibit F'!H88+'Exhibit G State'!H75</f>
        <v>0.60000000000000053</v>
      </c>
      <c r="H98" s="1437"/>
      <c r="I98" s="1437">
        <f>+'Exhibit F'!J88+'Exhibit G State'!J75</f>
        <v>0.19999999999999962</v>
      </c>
      <c r="J98" s="1437"/>
      <c r="K98" s="1437">
        <f>+'Exhibit F'!L88+'Exhibit G State'!L75</f>
        <v>41.8</v>
      </c>
      <c r="L98" s="1437"/>
      <c r="M98" s="1437">
        <f>+'Exhibit F'!N88+'Exhibit G State'!N75</f>
        <v>3.8999999999999986</v>
      </c>
      <c r="N98" s="1437"/>
      <c r="O98" s="3143">
        <f>+'Exhibit F'!P88+'Exhibit G State'!P75</f>
        <v>0.29999999999999716</v>
      </c>
      <c r="P98" s="1437"/>
      <c r="Q98" s="1437"/>
      <c r="R98" s="1437"/>
      <c r="S98" s="1437"/>
      <c r="T98" s="1437"/>
      <c r="U98" s="1437"/>
      <c r="V98" s="1437"/>
      <c r="W98" s="1437"/>
      <c r="X98" s="1437"/>
      <c r="Y98" s="1437"/>
      <c r="Z98" s="1437"/>
      <c r="AA98" s="2770"/>
      <c r="AB98" s="3143">
        <f t="shared" si="16"/>
        <v>51.1</v>
      </c>
      <c r="AC98" s="3143"/>
      <c r="AD98" s="3394"/>
      <c r="AE98" s="3143">
        <f>+'Exhibit F'!AF88+'Exhibit G State'!AG75</f>
        <v>17.7</v>
      </c>
      <c r="AF98" s="3145"/>
      <c r="AG98" s="3145"/>
      <c r="AH98" s="3143">
        <f t="shared" si="13"/>
        <v>33.4</v>
      </c>
      <c r="AI98" s="3101"/>
      <c r="AJ98" s="1828">
        <f t="shared" si="18"/>
        <v>1.887</v>
      </c>
    </row>
    <row r="99" spans="1:45" ht="15.5">
      <c r="A99" s="2484" t="s">
        <v>1043</v>
      </c>
      <c r="B99" s="1438"/>
      <c r="C99" s="1437">
        <f>+'Exhibit F'!D89+'Exhibit G State'!D76</f>
        <v>6.1</v>
      </c>
      <c r="D99" s="1437"/>
      <c r="E99" s="1437">
        <f>+'Exhibit F'!F89+'Exhibit G State'!F76</f>
        <v>1.4000000000000004</v>
      </c>
      <c r="F99" s="1437"/>
      <c r="G99" s="1437">
        <f>+'Exhibit F'!H89+'Exhibit G State'!H76</f>
        <v>3.1999999999999993</v>
      </c>
      <c r="H99" s="1437"/>
      <c r="I99" s="1437">
        <f>+'Exhibit F'!J89+'Exhibit G State'!J76</f>
        <v>6.4000000000000021</v>
      </c>
      <c r="J99" s="1437"/>
      <c r="K99" s="1437">
        <f>+'Exhibit F'!L89+'Exhibit G State'!L76</f>
        <v>6.7999999999999972</v>
      </c>
      <c r="L99" s="1437"/>
      <c r="M99" s="1437">
        <f>+'Exhibit F'!N89+'Exhibit G State'!N76</f>
        <v>3.7000000000000028</v>
      </c>
      <c r="N99" s="1437"/>
      <c r="O99" s="3143">
        <f>+'Exhibit F'!P89+'Exhibit G State'!P76</f>
        <v>6</v>
      </c>
      <c r="P99" s="1437"/>
      <c r="Q99" s="1437"/>
      <c r="R99" s="1437"/>
      <c r="S99" s="1437"/>
      <c r="T99" s="1437"/>
      <c r="U99" s="1437"/>
      <c r="V99" s="1437"/>
      <c r="W99" s="1437"/>
      <c r="X99" s="1437"/>
      <c r="Y99" s="1437"/>
      <c r="Z99" s="1437"/>
      <c r="AA99" s="2770"/>
      <c r="AB99" s="3143">
        <f t="shared" si="16"/>
        <v>33.6</v>
      </c>
      <c r="AC99" s="3143"/>
      <c r="AD99" s="3394"/>
      <c r="AE99" s="3143">
        <f>+'Exhibit F'!AF89+'Exhibit G State'!AG76</f>
        <v>41.5</v>
      </c>
      <c r="AF99" s="3145"/>
      <c r="AG99" s="3145"/>
      <c r="AH99" s="3143">
        <f t="shared" si="13"/>
        <v>-7.9</v>
      </c>
      <c r="AI99" s="3101"/>
      <c r="AJ99" s="1817">
        <f t="shared" si="18"/>
        <v>-0.19</v>
      </c>
    </row>
    <row r="100" spans="1:45" ht="15.5">
      <c r="A100" s="2484" t="s">
        <v>1044</v>
      </c>
      <c r="B100" s="1438"/>
      <c r="C100" s="1437">
        <f>+'Exhibit F'!D90+'Exhibit G State'!D77+'Exhibit H'!B43</f>
        <v>-20.099999999999998</v>
      </c>
      <c r="D100" s="1437"/>
      <c r="E100" s="1437">
        <f>+'Exhibit F'!F90+'Exhibit G State'!F77+'Exhibit H'!D43</f>
        <v>8.5999999999999979</v>
      </c>
      <c r="F100" s="1437"/>
      <c r="G100" s="1437">
        <f>+'Exhibit F'!H90+'Exhibit G State'!H77+'Exhibit H'!F43</f>
        <v>18</v>
      </c>
      <c r="H100" s="1437"/>
      <c r="I100" s="1437">
        <f>+'Exhibit F'!J90+'Exhibit G State'!J77+'Exhibit H'!H43</f>
        <v>75.3</v>
      </c>
      <c r="J100" s="1437"/>
      <c r="K100" s="1437">
        <f>+'Exhibit F'!L90+'Exhibit G State'!L77+'Exhibit H'!J43</f>
        <v>45.500000000000014</v>
      </c>
      <c r="L100" s="1437"/>
      <c r="M100" s="1437">
        <f>+'Exhibit F'!N90+'Exhibit G State'!N77+'Exhibit H'!L43</f>
        <v>51.900000000000006</v>
      </c>
      <c r="N100" s="1437"/>
      <c r="O100" s="3143">
        <f>+'Exhibit F'!P90+'Exhibit G State'!P77+'Exhibit H'!N43</f>
        <v>70.900000000000006</v>
      </c>
      <c r="P100" s="1437"/>
      <c r="Q100" s="1437"/>
      <c r="R100" s="1437"/>
      <c r="S100" s="1437"/>
      <c r="T100" s="1437"/>
      <c r="U100" s="1437"/>
      <c r="V100" s="1437"/>
      <c r="W100" s="1437"/>
      <c r="X100" s="1437"/>
      <c r="Y100" s="1437"/>
      <c r="Z100" s="1437"/>
      <c r="AA100" s="2770"/>
      <c r="AB100" s="3143">
        <f t="shared" si="16"/>
        <v>250.1</v>
      </c>
      <c r="AC100" s="3143"/>
      <c r="AD100" s="3394"/>
      <c r="AE100" s="3143">
        <f>+'Exhibit F'!AF90+'Exhibit G State'!AG77+'Exhibit H'!AD43</f>
        <v>371.50000000000006</v>
      </c>
      <c r="AF100" s="3145"/>
      <c r="AG100" s="3145"/>
      <c r="AH100" s="3143">
        <f t="shared" si="13"/>
        <v>-121.4</v>
      </c>
      <c r="AI100" s="3101"/>
      <c r="AJ100" s="1817">
        <f t="shared" si="18"/>
        <v>-0.32700000000000001</v>
      </c>
    </row>
    <row r="101" spans="1:45" ht="15.5">
      <c r="A101" s="2484" t="s">
        <v>1045</v>
      </c>
      <c r="B101" s="1438"/>
      <c r="C101" s="1437">
        <f>+'Exhibit F'!D91+'Exhibit G State'!D78+'Exhibit H'!B44</f>
        <v>0.5</v>
      </c>
      <c r="D101" s="1437"/>
      <c r="E101" s="1437">
        <f>+'Exhibit F'!F91+'Exhibit G State'!F78+'Exhibit H'!D44</f>
        <v>0.60000000000000009</v>
      </c>
      <c r="F101" s="1437"/>
      <c r="G101" s="1437">
        <f>+'Exhibit F'!H91+'Exhibit G State'!H78+'Exhibit H'!F44</f>
        <v>2.5999999999999996</v>
      </c>
      <c r="H101" s="1437"/>
      <c r="I101" s="1437">
        <f>+'Exhibit F'!J91+'Exhibit G State'!J78+'Exhibit H'!H44</f>
        <v>3</v>
      </c>
      <c r="J101" s="1437"/>
      <c r="K101" s="1437">
        <f>+'Exhibit F'!L91+'Exhibit G State'!L78+'Exhibit H'!J44</f>
        <v>0.5</v>
      </c>
      <c r="L101" s="1437"/>
      <c r="M101" s="1437">
        <f>+'Exhibit F'!N91+'Exhibit G State'!N78+'Exhibit H'!L44</f>
        <v>0.60000000000000009</v>
      </c>
      <c r="N101" s="1437"/>
      <c r="O101" s="3143">
        <f>+'Exhibit F'!P91+'Exhibit G State'!P78+'Exhibit H'!N44</f>
        <v>1.7999999999999998</v>
      </c>
      <c r="P101" s="1437"/>
      <c r="Q101" s="1437"/>
      <c r="R101" s="1437"/>
      <c r="S101" s="1437"/>
      <c r="T101" s="1437"/>
      <c r="U101" s="1437"/>
      <c r="V101" s="1437"/>
      <c r="W101" s="1437"/>
      <c r="X101" s="1437"/>
      <c r="Y101" s="1437"/>
      <c r="Z101" s="1437"/>
      <c r="AA101" s="2770"/>
      <c r="AB101" s="3143">
        <f t="shared" si="16"/>
        <v>9.6</v>
      </c>
      <c r="AC101" s="3143"/>
      <c r="AD101" s="3394"/>
      <c r="AE101" s="3143">
        <f>+'Exhibit F'!AF91+'Exhibit G State'!AG78+'Exhibit H'!AD44</f>
        <v>10.7</v>
      </c>
      <c r="AF101" s="3145"/>
      <c r="AG101" s="3145"/>
      <c r="AH101" s="3143">
        <f t="shared" si="13"/>
        <v>-1.1000000000000001</v>
      </c>
      <c r="AI101" s="3101"/>
      <c r="AJ101" s="1817">
        <f t="shared" si="18"/>
        <v>-0.10299999999999999</v>
      </c>
    </row>
    <row r="102" spans="1:45" ht="15.5">
      <c r="A102" s="2484" t="s">
        <v>1046</v>
      </c>
      <c r="B102" s="1438"/>
      <c r="C102" s="1437">
        <f>+'Exhibit G State'!D79</f>
        <v>-67.5</v>
      </c>
      <c r="D102" s="1437"/>
      <c r="E102" s="1437">
        <f>+'Exhibit G State'!F79</f>
        <v>33.6</v>
      </c>
      <c r="F102" s="1437"/>
      <c r="G102" s="1437">
        <f>+'Exhibit G State'!H79</f>
        <v>56.9</v>
      </c>
      <c r="H102" s="1437"/>
      <c r="I102" s="1437">
        <f>+'Exhibit G State'!J79</f>
        <v>50.900000000000013</v>
      </c>
      <c r="J102" s="1437"/>
      <c r="K102" s="1437">
        <f>+'Exhibit G State'!L79</f>
        <v>113.29999999999998</v>
      </c>
      <c r="L102" s="1437"/>
      <c r="M102" s="1437">
        <f>+'Exhibit G State'!N79</f>
        <v>375.69999999999993</v>
      </c>
      <c r="N102" s="1437"/>
      <c r="O102" s="3143">
        <f>+'Exhibit G State'!P79</f>
        <v>172.80000000000018</v>
      </c>
      <c r="P102" s="1437"/>
      <c r="Q102" s="1437"/>
      <c r="R102" s="1437"/>
      <c r="S102" s="1437"/>
      <c r="T102" s="1437"/>
      <c r="U102" s="1437"/>
      <c r="V102" s="1437"/>
      <c r="W102" s="1437"/>
      <c r="X102" s="1437"/>
      <c r="Y102" s="1437"/>
      <c r="Z102" s="1437"/>
      <c r="AA102" s="2770"/>
      <c r="AB102" s="3143">
        <f t="shared" si="16"/>
        <v>735.7</v>
      </c>
      <c r="AC102" s="3143"/>
      <c r="AD102" s="3394"/>
      <c r="AE102" s="3143">
        <f>+'Exhibit G State'!AG79</f>
        <v>867.4</v>
      </c>
      <c r="AF102" s="3145"/>
      <c r="AG102" s="3145"/>
      <c r="AH102" s="3143">
        <f t="shared" si="13"/>
        <v>-131.69999999999999</v>
      </c>
      <c r="AI102" s="3101"/>
      <c r="AJ102" s="1817">
        <f>ROUND(SUM(AH102/ABS(AE102)),3)</f>
        <v>-0.152</v>
      </c>
    </row>
    <row r="103" spans="1:45" ht="15.5">
      <c r="A103" s="2472" t="s">
        <v>1080</v>
      </c>
      <c r="B103" s="2427"/>
      <c r="C103" s="2041">
        <f>ROUND(SUM(C62:C102),1)</f>
        <v>1431.2</v>
      </c>
      <c r="D103" s="2488"/>
      <c r="E103" s="2041">
        <f>ROUND(SUM(E62:E102),1)</f>
        <v>2321.8000000000002</v>
      </c>
      <c r="F103" s="2488"/>
      <c r="G103" s="2041">
        <f>ROUND(SUM(G62:G102),1)</f>
        <v>5133</v>
      </c>
      <c r="H103" s="1459"/>
      <c r="I103" s="2041">
        <f>ROUND(SUM(I62:I102),1)</f>
        <v>1602.6</v>
      </c>
      <c r="J103" s="1459"/>
      <c r="K103" s="2041">
        <f>ROUND(SUM(K62:K102),1)</f>
        <v>1399.1</v>
      </c>
      <c r="L103" s="1459"/>
      <c r="M103" s="2041">
        <f>ROUND(SUM(M62:M102),1)</f>
        <v>1955.2</v>
      </c>
      <c r="N103" s="1459"/>
      <c r="O103" s="1458">
        <f>ROUND(SUM(O62:O102),1)</f>
        <v>1843.6</v>
      </c>
      <c r="P103" s="1459"/>
      <c r="Q103" s="2041">
        <f>ROUND(SUM(Q62:Q102),1)</f>
        <v>0</v>
      </c>
      <c r="R103" s="1459"/>
      <c r="S103" s="2041">
        <f>ROUND(SUM(S62:S102),1)</f>
        <v>0</v>
      </c>
      <c r="T103" s="1459"/>
      <c r="U103" s="2041">
        <f>ROUND(SUM(U62:U102),1)</f>
        <v>0</v>
      </c>
      <c r="V103" s="1459"/>
      <c r="W103" s="2041">
        <f>ROUND(SUM(W62:W102),1)</f>
        <v>0</v>
      </c>
      <c r="X103" s="2009"/>
      <c r="Y103" s="2041">
        <f>ROUND(SUM(Y62:Y102),1)</f>
        <v>0</v>
      </c>
      <c r="Z103" s="2009"/>
      <c r="AA103" s="2044"/>
      <c r="AB103" s="1458">
        <f>ROUND(SUM(AB62:AB102),1)</f>
        <v>15686.5</v>
      </c>
      <c r="AC103" s="2049"/>
      <c r="AD103" s="2553"/>
      <c r="AE103" s="1458">
        <f>ROUND(SUM(AE62:AE102),1)</f>
        <v>13163.2</v>
      </c>
      <c r="AF103" s="1460"/>
      <c r="AG103" s="3359"/>
      <c r="AH103" s="1458">
        <f>ROUND(SUM(AH62:AH102),1)</f>
        <v>2523.3000000000002</v>
      </c>
      <c r="AI103" s="1460"/>
      <c r="AJ103" s="1819">
        <f>ROUND(SUM(+AH103/ABS(AE103)),3)</f>
        <v>0.192</v>
      </c>
    </row>
    <row r="104" spans="1:45" ht="15.5">
      <c r="A104" s="1438"/>
      <c r="B104" s="1438"/>
      <c r="C104" s="1437"/>
      <c r="D104" s="1437"/>
      <c r="E104" s="1437"/>
      <c r="F104" s="1437"/>
      <c r="G104" s="1437"/>
      <c r="H104" s="1437"/>
      <c r="I104" s="1437"/>
      <c r="J104" s="1437"/>
      <c r="K104" s="1437"/>
      <c r="L104" s="1437"/>
      <c r="M104" s="1437"/>
      <c r="N104" s="1437"/>
      <c r="O104" s="3143"/>
      <c r="P104" s="1437"/>
      <c r="Q104" s="1437"/>
      <c r="R104" s="1437"/>
      <c r="S104" s="1437"/>
      <c r="T104" s="1437"/>
      <c r="U104" s="1437"/>
      <c r="V104" s="1437"/>
      <c r="W104" s="1437"/>
      <c r="X104" s="1437"/>
      <c r="Y104" s="1437"/>
      <c r="Z104" s="1437"/>
      <c r="AA104" s="2769"/>
      <c r="AB104" s="3143"/>
      <c r="AC104" s="3145"/>
      <c r="AD104" s="3396"/>
      <c r="AE104" s="3143"/>
      <c r="AF104" s="3145"/>
      <c r="AG104" s="3145"/>
      <c r="AH104" s="3143"/>
      <c r="AI104" s="3101"/>
      <c r="AJ104" s="1817"/>
    </row>
    <row r="105" spans="1:45" ht="15.5">
      <c r="A105" s="1438" t="s">
        <v>21</v>
      </c>
      <c r="B105" s="1438"/>
      <c r="C105" s="2771">
        <f>+'Exhibit F'!D94+'Exhibit G State'!D82+'Exhibit H'!B47</f>
        <v>0</v>
      </c>
      <c r="D105" s="1437"/>
      <c r="E105" s="2771">
        <f>+'Exhibit F'!F94+'Exhibit G State'!F82+'Exhibit H'!D47</f>
        <v>0</v>
      </c>
      <c r="F105" s="1437"/>
      <c r="G105" s="2771">
        <f>+'Exhibit F'!H94+'Exhibit G State'!H82+'Exhibit H'!F47</f>
        <v>4.0999999999999996</v>
      </c>
      <c r="H105" s="1437"/>
      <c r="I105" s="2771">
        <f>+'Exhibit F'!J94+'Exhibit G State'!J82+'Exhibit H'!H47</f>
        <v>-4.0999999999999996</v>
      </c>
      <c r="J105" s="1437"/>
      <c r="K105" s="2771">
        <f>+'Exhibit F'!L94+'Exhibit G State'!L82+'Exhibit H'!J47</f>
        <v>2.5</v>
      </c>
      <c r="L105" s="1437"/>
      <c r="M105" s="2771">
        <f>+'Exhibit F'!N94+'Exhibit G State'!N82+'Exhibit H'!L47</f>
        <v>49.9</v>
      </c>
      <c r="N105" s="1437"/>
      <c r="O105" s="3146">
        <f>+'Exhibit F'!P94+'Exhibit G State'!P82+'Exhibit H'!N47</f>
        <v>12.899999999999999</v>
      </c>
      <c r="P105" s="1437"/>
      <c r="Q105" s="2771"/>
      <c r="R105" s="1437"/>
      <c r="S105" s="2771"/>
      <c r="T105" s="1437"/>
      <c r="U105" s="2771"/>
      <c r="V105" s="1437"/>
      <c r="W105" s="2771"/>
      <c r="X105" s="1437"/>
      <c r="Y105" s="2771"/>
      <c r="Z105" s="1437"/>
      <c r="AA105" s="2770"/>
      <c r="AB105" s="3146">
        <f>ROUND(SUM(C105:Y105),1)</f>
        <v>65.3</v>
      </c>
      <c r="AC105" s="3143"/>
      <c r="AD105" s="3394"/>
      <c r="AE105" s="3146">
        <f>'Exhibit F'!AF94+'Exhibit G State'!AG82+'Exhibit H'!AD47</f>
        <v>54.8</v>
      </c>
      <c r="AF105" s="3145"/>
      <c r="AG105" s="3145"/>
      <c r="AH105" s="3146">
        <f>ROUND(SUM(AB105-AE105),1)</f>
        <v>10.5</v>
      </c>
      <c r="AI105" s="3101"/>
      <c r="AJ105" s="3360">
        <f>ROUND(IF(AE105=0,0,AH105/ABS(AE105)),3)</f>
        <v>0.192</v>
      </c>
    </row>
    <row r="106" spans="1:45" ht="15.5">
      <c r="A106" s="1438"/>
      <c r="B106" s="1438"/>
      <c r="C106" s="1437"/>
      <c r="D106" s="1437"/>
      <c r="E106" s="1437"/>
      <c r="F106" s="1437"/>
      <c r="G106" s="1437"/>
      <c r="H106" s="1437"/>
      <c r="I106" s="1437"/>
      <c r="J106" s="1437"/>
      <c r="K106" s="1437"/>
      <c r="L106" s="1437"/>
      <c r="M106" s="1437"/>
      <c r="N106" s="1437"/>
      <c r="O106" s="3143"/>
      <c r="P106" s="1437"/>
      <c r="Q106" s="1437"/>
      <c r="R106" s="1437"/>
      <c r="S106" s="1437"/>
      <c r="T106" s="1437"/>
      <c r="U106" s="1437"/>
      <c r="V106" s="1437"/>
      <c r="W106" s="1437"/>
      <c r="X106" s="1437"/>
      <c r="Y106" s="1437"/>
      <c r="Z106" s="1437"/>
      <c r="AA106" s="2770"/>
      <c r="AB106" s="3143"/>
      <c r="AC106" s="3143"/>
      <c r="AD106" s="3394"/>
      <c r="AE106" s="3143"/>
      <c r="AF106" s="3145"/>
      <c r="AG106" s="3145"/>
      <c r="AH106" s="3143"/>
      <c r="AI106" s="3101"/>
      <c r="AJ106" s="3361"/>
    </row>
    <row r="107" spans="1:45" ht="15.5">
      <c r="A107" s="2426" t="s">
        <v>150</v>
      </c>
      <c r="B107" s="2021"/>
      <c r="C107" s="2019">
        <f>ROUND(SUM(C105+C103+C58),1)</f>
        <v>5015.1000000000004</v>
      </c>
      <c r="D107" s="1459"/>
      <c r="E107" s="2019">
        <f>ROUND(SUM(E105+E103+E58),1)</f>
        <v>5394.1</v>
      </c>
      <c r="F107" s="1459"/>
      <c r="G107" s="2019">
        <f>ROUND(SUM(G105+G103+G58),1)</f>
        <v>12178.4</v>
      </c>
      <c r="H107" s="1459"/>
      <c r="I107" s="2019">
        <f>ROUND(SUM(I105+I103+I58),1)</f>
        <v>13972.7</v>
      </c>
      <c r="J107" s="1459"/>
      <c r="K107" s="2019">
        <f>ROUND(SUM(K105+K103+K58),1)</f>
        <v>5640</v>
      </c>
      <c r="L107" s="1459"/>
      <c r="M107" s="2019">
        <f>ROUND(SUM(M105+M103+M58),1)</f>
        <v>10677.1</v>
      </c>
      <c r="N107" s="1459"/>
      <c r="O107" s="1558">
        <f>ROUND(SUM(O105+O103+O58),1)</f>
        <v>6039</v>
      </c>
      <c r="P107" s="1459"/>
      <c r="Q107" s="2019">
        <f>ROUND(SUM(Q105+Q103+Q58),1)</f>
        <v>0</v>
      </c>
      <c r="R107" s="1459"/>
      <c r="S107" s="2019">
        <f>ROUND(SUM(S105+S103+S58),1)</f>
        <v>0</v>
      </c>
      <c r="T107" s="1459"/>
      <c r="U107" s="2019">
        <f>ROUND(SUM(U105+U103+U58),1)</f>
        <v>0</v>
      </c>
      <c r="V107" s="1459"/>
      <c r="W107" s="2019">
        <f>ROUND(SUM(W105+W103+W58),1)</f>
        <v>0</v>
      </c>
      <c r="X107" s="2009"/>
      <c r="Y107" s="2019">
        <f>ROUND(SUM(Y105+Y103+Y58),1)</f>
        <v>0</v>
      </c>
      <c r="Z107" s="2772"/>
      <c r="AA107" s="2435"/>
      <c r="AB107" s="1558">
        <f>ROUND(SUM(AB105+AB103+AB58),1)</f>
        <v>58916.4</v>
      </c>
      <c r="AC107" s="2049"/>
      <c r="AD107" s="2553"/>
      <c r="AE107" s="1558">
        <f>ROUND(SUM(AE105+AE103+AE58),1)</f>
        <v>59211.1</v>
      </c>
      <c r="AF107" s="1460"/>
      <c r="AG107" s="3359"/>
      <c r="AH107" s="1558">
        <f>ROUND(SUM(AH105+AH103+AH58),1)</f>
        <v>-294.7</v>
      </c>
      <c r="AI107" s="1460"/>
      <c r="AJ107" s="3358">
        <f>ROUND(SUM(+AH107/ABS(AE107)),3)</f>
        <v>-5.0000000000000001E-3</v>
      </c>
      <c r="AK107" s="2764"/>
      <c r="AL107" s="2764"/>
      <c r="AM107" s="2764"/>
      <c r="AN107" s="2764"/>
      <c r="AO107" s="2764"/>
      <c r="AP107" s="2764"/>
      <c r="AQ107" s="2764"/>
      <c r="AR107" s="2764"/>
      <c r="AS107" s="2764"/>
    </row>
    <row r="108" spans="1:45" ht="15.5">
      <c r="A108" s="2009"/>
      <c r="B108" s="1438"/>
      <c r="C108" s="2773"/>
      <c r="D108" s="1437"/>
      <c r="E108" s="2773"/>
      <c r="F108" s="1437"/>
      <c r="G108" s="2773"/>
      <c r="H108" s="1437"/>
      <c r="I108" s="2773"/>
      <c r="J108" s="1437"/>
      <c r="K108" s="2773"/>
      <c r="L108" s="1437"/>
      <c r="M108" s="2773"/>
      <c r="N108" s="1437"/>
      <c r="O108" s="2559"/>
      <c r="P108" s="1437"/>
      <c r="Q108" s="2773"/>
      <c r="R108" s="1437"/>
      <c r="S108" s="2773"/>
      <c r="T108" s="1437"/>
      <c r="U108" s="2773"/>
      <c r="V108" s="1437"/>
      <c r="W108" s="2773"/>
      <c r="X108" s="1437"/>
      <c r="Y108" s="2773"/>
      <c r="Z108" s="1437"/>
      <c r="AA108" s="2770"/>
      <c r="AB108" s="2559"/>
      <c r="AC108" s="3143"/>
      <c r="AD108" s="3394"/>
      <c r="AE108" s="2559"/>
      <c r="AF108" s="3145"/>
      <c r="AG108" s="3145"/>
      <c r="AH108" s="1999"/>
      <c r="AI108" s="3101"/>
      <c r="AJ108" s="3356"/>
    </row>
    <row r="109" spans="1:45" ht="15.5">
      <c r="A109" s="2009" t="s">
        <v>23</v>
      </c>
      <c r="B109" s="1438"/>
      <c r="C109" s="2768"/>
      <c r="D109" s="1437"/>
      <c r="E109" s="2768"/>
      <c r="F109" s="1437"/>
      <c r="G109" s="2768"/>
      <c r="H109" s="1437"/>
      <c r="I109" s="2768"/>
      <c r="J109" s="1437"/>
      <c r="K109" s="2768"/>
      <c r="L109" s="1437"/>
      <c r="M109" s="2768"/>
      <c r="N109" s="1437"/>
      <c r="O109" s="3145"/>
      <c r="P109" s="1437"/>
      <c r="Q109" s="2768"/>
      <c r="R109" s="1437"/>
      <c r="S109" s="2768"/>
      <c r="T109" s="1437"/>
      <c r="U109" s="2768"/>
      <c r="V109" s="1437"/>
      <c r="W109" s="2768"/>
      <c r="X109" s="1437"/>
      <c r="Y109" s="2768"/>
      <c r="Z109" s="1437"/>
      <c r="AA109" s="2770"/>
      <c r="AB109" s="3145"/>
      <c r="AC109" s="3143"/>
      <c r="AD109" s="3394"/>
      <c r="AE109" s="3145"/>
      <c r="AF109" s="3145"/>
      <c r="AG109" s="3145"/>
      <c r="AH109" s="1999"/>
      <c r="AI109" s="3101"/>
      <c r="AJ109" s="3356"/>
    </row>
    <row r="110" spans="1:45" ht="15.5">
      <c r="A110" s="1438" t="s">
        <v>137</v>
      </c>
      <c r="B110" s="1438"/>
      <c r="C110" s="1437"/>
      <c r="D110" s="1437"/>
      <c r="E110" s="1437"/>
      <c r="F110" s="1437"/>
      <c r="G110" s="1437"/>
      <c r="H110" s="1437"/>
      <c r="I110" s="1437"/>
      <c r="J110" s="1437"/>
      <c r="K110" s="1437"/>
      <c r="L110" s="1437"/>
      <c r="M110" s="1437"/>
      <c r="N110" s="1437"/>
      <c r="O110" s="3143"/>
      <c r="P110" s="1437"/>
      <c r="Q110" s="1437"/>
      <c r="R110" s="1437"/>
      <c r="S110" s="1437"/>
      <c r="T110" s="1437"/>
      <c r="U110" s="1437"/>
      <c r="V110" s="1437"/>
      <c r="W110" s="1437"/>
      <c r="X110" s="1437"/>
      <c r="Y110" s="1437"/>
      <c r="Z110" s="1437"/>
      <c r="AA110" s="2770"/>
      <c r="AB110" s="3143"/>
      <c r="AC110" s="3143"/>
      <c r="AD110" s="3394"/>
      <c r="AE110" s="1999"/>
      <c r="AF110" s="3145"/>
      <c r="AG110" s="3145"/>
      <c r="AH110" s="3143"/>
      <c r="AI110" s="3101"/>
      <c r="AJ110" s="1817"/>
    </row>
    <row r="111" spans="1:45" ht="15.5">
      <c r="A111" s="2774" t="s">
        <v>25</v>
      </c>
      <c r="B111" s="1438"/>
      <c r="C111" s="1437">
        <f>+'Exhibit F'!D100+'Exhibit G State'!D88</f>
        <v>754.30000000000007</v>
      </c>
      <c r="D111" s="1437"/>
      <c r="E111" s="1437">
        <f>+'Exhibit F'!F100+'Exhibit G State'!F88</f>
        <v>4065.1000000000004</v>
      </c>
      <c r="F111" s="1437"/>
      <c r="G111" s="1437">
        <f>+'Exhibit F'!H100+'Exhibit G State'!H88</f>
        <v>3409.0999999999995</v>
      </c>
      <c r="H111" s="1437"/>
      <c r="I111" s="1437">
        <f>+'Exhibit F'!J100+'Exhibit G State'!J88</f>
        <v>563.60000000000105</v>
      </c>
      <c r="J111" s="1437"/>
      <c r="K111" s="1437">
        <f>+'Exhibit F'!L100+'Exhibit G State'!L88</f>
        <v>856.2</v>
      </c>
      <c r="L111" s="1437"/>
      <c r="M111" s="1437">
        <f>+'Exhibit F'!N100+'Exhibit G State'!N88</f>
        <v>3861.7999999999984</v>
      </c>
      <c r="N111" s="1437"/>
      <c r="O111" s="3143">
        <f>+'Exhibit F'!P100+'Exhibit G State'!P88</f>
        <v>1200.2000000000005</v>
      </c>
      <c r="P111" s="1437"/>
      <c r="Q111" s="1437"/>
      <c r="R111" s="1437"/>
      <c r="S111" s="1437"/>
      <c r="T111" s="1437"/>
      <c r="U111" s="1437"/>
      <c r="V111" s="1437"/>
      <c r="W111" s="1437"/>
      <c r="X111" s="1437"/>
      <c r="Y111" s="1437"/>
      <c r="Z111" s="1437"/>
      <c r="AA111" s="2770"/>
      <c r="AB111" s="1999">
        <f>ROUND(SUM(C111:Y111),1)</f>
        <v>14710.3</v>
      </c>
      <c r="AC111" s="3143"/>
      <c r="AD111" s="3394"/>
      <c r="AE111" s="1999">
        <f>+'Exhibit F'!AF100+'Exhibit G State'!AG88</f>
        <v>15813.4</v>
      </c>
      <c r="AF111" s="3145"/>
      <c r="AG111" s="3145"/>
      <c r="AH111" s="3143">
        <f>ROUND(SUM(AB111-AE111),1)</f>
        <v>-1103.0999999999999</v>
      </c>
      <c r="AI111" s="3101"/>
      <c r="AJ111" s="1817">
        <f>ROUND(SUM(AH111/ABS(AE111)),3)</f>
        <v>-7.0000000000000007E-2</v>
      </c>
    </row>
    <row r="112" spans="1:45" ht="15.5">
      <c r="A112" s="2774" t="s">
        <v>26</v>
      </c>
      <c r="B112" s="1438"/>
      <c r="C112" s="1437">
        <f>+'Exhibit F'!D101+'Exhibit G State'!D89</f>
        <v>0.1</v>
      </c>
      <c r="D112" s="1437"/>
      <c r="E112" s="1437">
        <f>+'Exhibit F'!F101+'Exhibit G State'!F89</f>
        <v>0.3</v>
      </c>
      <c r="F112" s="1437"/>
      <c r="G112" s="1437">
        <f>+'Exhibit F'!H101+'Exhibit G State'!H89</f>
        <v>0</v>
      </c>
      <c r="H112" s="1437"/>
      <c r="I112" s="1437">
        <f>+'Exhibit F'!J101+'Exhibit G State'!J89</f>
        <v>0.2</v>
      </c>
      <c r="J112" s="1437"/>
      <c r="K112" s="1437">
        <f>+'Exhibit F'!L101+'Exhibit G State'!L89</f>
        <v>-0.1</v>
      </c>
      <c r="L112" s="1437"/>
      <c r="M112" s="1437">
        <f>+'Exhibit F'!N101+'Exhibit G State'!N89</f>
        <v>0.40000000000000008</v>
      </c>
      <c r="N112" s="1437"/>
      <c r="O112" s="3143">
        <f>+'Exhibit F'!P101+'Exhibit G State'!P89</f>
        <v>0.7</v>
      </c>
      <c r="P112" s="1437"/>
      <c r="Q112" s="1437"/>
      <c r="R112" s="1437"/>
      <c r="S112" s="1437"/>
      <c r="T112" s="1437"/>
      <c r="U112" s="1437"/>
      <c r="V112" s="1437"/>
      <c r="W112" s="1437"/>
      <c r="X112" s="1437"/>
      <c r="Y112" s="1437"/>
      <c r="Z112" s="1437"/>
      <c r="AA112" s="2770"/>
      <c r="AB112" s="1999">
        <f t="shared" ref="AB112:AB119" si="19">ROUND(SUM(C112:Y112),1)</f>
        <v>1.6</v>
      </c>
      <c r="AC112" s="3143"/>
      <c r="AD112" s="3394"/>
      <c r="AE112" s="1999">
        <f>+'Exhibit F'!AF101+'Exhibit G State'!AG89</f>
        <v>2.8</v>
      </c>
      <c r="AF112" s="3145"/>
      <c r="AG112" s="3145"/>
      <c r="AH112" s="3143">
        <f t="shared" ref="AH112:AH119" si="20">ROUND(SUM(AB112-AE112),1)</f>
        <v>-1.2</v>
      </c>
      <c r="AI112" s="3101"/>
      <c r="AJ112" s="1817">
        <f>ROUND(IF(AE112=0,1,AH112/ABS(AE112)),3)</f>
        <v>-0.42899999999999999</v>
      </c>
    </row>
    <row r="113" spans="1:38" ht="15.5">
      <c r="A113" s="2774" t="s">
        <v>27</v>
      </c>
      <c r="B113" s="1438"/>
      <c r="C113" s="1437">
        <f>+'Exhibit F'!D102+'Exhibit G State'!D90</f>
        <v>16.100000000000001</v>
      </c>
      <c r="D113" s="1437"/>
      <c r="E113" s="1437">
        <f>+'Exhibit F'!F102+'Exhibit G State'!F90</f>
        <v>4.5999999999999988</v>
      </c>
      <c r="F113" s="1437"/>
      <c r="G113" s="1437">
        <f>+'Exhibit F'!H102+'Exhibit G State'!H90</f>
        <v>500</v>
      </c>
      <c r="H113" s="1437"/>
      <c r="I113" s="1437">
        <f>+'Exhibit F'!J102+'Exhibit G State'!J90</f>
        <v>20.400000000000034</v>
      </c>
      <c r="J113" s="1437"/>
      <c r="K113" s="1437">
        <f>+'Exhibit F'!L102+'Exhibit G State'!L90</f>
        <v>33.6</v>
      </c>
      <c r="L113" s="1437"/>
      <c r="M113" s="1437">
        <f>+'Exhibit F'!N102+'Exhibit G State'!N90</f>
        <v>62.49999999999995</v>
      </c>
      <c r="N113" s="1437"/>
      <c r="O113" s="3143">
        <f>+'Exhibit F'!P102+'Exhibit G State'!P90</f>
        <v>77.699999999999989</v>
      </c>
      <c r="P113" s="1437"/>
      <c r="Q113" s="1437"/>
      <c r="R113" s="1437"/>
      <c r="S113" s="1437"/>
      <c r="T113" s="1437"/>
      <c r="U113" s="1437"/>
      <c r="V113" s="1437"/>
      <c r="W113" s="1437"/>
      <c r="X113" s="1437"/>
      <c r="Y113" s="1437"/>
      <c r="Z113" s="1437"/>
      <c r="AA113" s="2770"/>
      <c r="AB113" s="1999">
        <f t="shared" si="19"/>
        <v>714.9</v>
      </c>
      <c r="AC113" s="3143"/>
      <c r="AD113" s="3394"/>
      <c r="AE113" s="1999">
        <f>+'Exhibit F'!AF102+'Exhibit G State'!AG90</f>
        <v>823</v>
      </c>
      <c r="AF113" s="3145"/>
      <c r="AG113" s="3145"/>
      <c r="AH113" s="3143">
        <f t="shared" si="20"/>
        <v>-108.1</v>
      </c>
      <c r="AI113" s="3101"/>
      <c r="AJ113" s="1817">
        <f>ROUND(SUM(AH113/ABS(AE113)),3)</f>
        <v>-0.13100000000000001</v>
      </c>
    </row>
    <row r="114" spans="1:38" ht="15.5">
      <c r="A114" s="2774" t="s">
        <v>28</v>
      </c>
      <c r="B114" s="1438"/>
      <c r="C114" s="1437"/>
      <c r="D114" s="1437"/>
      <c r="E114" s="1437"/>
      <c r="F114" s="1437"/>
      <c r="G114" s="1437"/>
      <c r="H114" s="1437"/>
      <c r="I114" s="1437"/>
      <c r="J114" s="1437"/>
      <c r="K114" s="1437"/>
      <c r="L114" s="1437"/>
      <c r="M114" s="1437"/>
      <c r="N114" s="1437"/>
      <c r="O114" s="3143"/>
      <c r="P114" s="1437"/>
      <c r="Q114" s="1437"/>
      <c r="R114" s="1437"/>
      <c r="S114" s="1437"/>
      <c r="T114" s="1437"/>
      <c r="U114" s="1437"/>
      <c r="V114" s="1437"/>
      <c r="W114" s="1437"/>
      <c r="X114" s="1437"/>
      <c r="Y114" s="1437"/>
      <c r="Z114" s="1437"/>
      <c r="AA114" s="2770"/>
      <c r="AB114" s="1999"/>
      <c r="AC114" s="3143"/>
      <c r="AD114" s="3394"/>
      <c r="AE114" s="2608"/>
      <c r="AF114" s="3145"/>
      <c r="AG114" s="3145"/>
      <c r="AH114" s="3143" t="s">
        <v>15</v>
      </c>
      <c r="AI114" s="3101"/>
      <c r="AJ114" s="1817"/>
    </row>
    <row r="115" spans="1:38" ht="15.5">
      <c r="A115" s="2775" t="s">
        <v>29</v>
      </c>
      <c r="B115" s="1438"/>
      <c r="C115" s="1437">
        <f>+'Exhibit F'!D104+'Exhibit G State'!D92</f>
        <v>757.69999999999993</v>
      </c>
      <c r="D115" s="1437"/>
      <c r="E115" s="1437">
        <f>+'Exhibit F'!F104+'Exhibit G State'!F92</f>
        <v>1757.8</v>
      </c>
      <c r="F115" s="1437"/>
      <c r="G115" s="1437">
        <f>+'Exhibit F'!H104+'Exhibit G State'!H92</f>
        <v>2497.4</v>
      </c>
      <c r="H115" s="1437"/>
      <c r="I115" s="1437">
        <f>+'Exhibit F'!J104+'Exhibit G State'!J92</f>
        <v>2043.9</v>
      </c>
      <c r="J115" s="1437"/>
      <c r="K115" s="1437">
        <f>+'Exhibit F'!L104+'Exhibit G State'!L92</f>
        <v>1856.5</v>
      </c>
      <c r="L115" s="1437"/>
      <c r="M115" s="1437">
        <f>+'Exhibit F'!N104+'Exhibit G State'!N92</f>
        <v>2135.5</v>
      </c>
      <c r="N115" s="1437"/>
      <c r="O115" s="3143">
        <f>+'Exhibit F'!P104+'Exhibit G State'!P92</f>
        <v>1416.5000000000002</v>
      </c>
      <c r="P115" s="1437"/>
      <c r="Q115" s="1437"/>
      <c r="R115" s="1437"/>
      <c r="S115" s="1437"/>
      <c r="T115" s="1437"/>
      <c r="U115" s="1437"/>
      <c r="V115" s="1437"/>
      <c r="W115" s="1437"/>
      <c r="X115" s="1437"/>
      <c r="Y115" s="1437"/>
      <c r="Z115" s="1437"/>
      <c r="AA115" s="2770"/>
      <c r="AB115" s="1999">
        <f t="shared" si="19"/>
        <v>12465.3</v>
      </c>
      <c r="AC115" s="3143"/>
      <c r="AD115" s="3394"/>
      <c r="AE115" s="1999">
        <f>+'Exhibit F'!AF104+'Exhibit G State'!AG92</f>
        <v>15223.7</v>
      </c>
      <c r="AF115" s="3145"/>
      <c r="AG115" s="3145"/>
      <c r="AH115" s="3143">
        <f t="shared" si="20"/>
        <v>-2758.4</v>
      </c>
      <c r="AI115" s="3101"/>
      <c r="AJ115" s="1817">
        <f t="shared" ref="AJ115:AJ121" si="21">ROUND(SUM(AH115/ABS(AE115)),3)</f>
        <v>-0.18099999999999999</v>
      </c>
      <c r="AK115" s="2776"/>
    </row>
    <row r="116" spans="1:38" ht="15.5">
      <c r="A116" s="2774" t="s">
        <v>30</v>
      </c>
      <c r="B116" s="1438"/>
      <c r="C116" s="1437">
        <f>+'Exhibit F'!D105+'Exhibit G State'!D93</f>
        <v>93.5</v>
      </c>
      <c r="D116" s="1437"/>
      <c r="E116" s="1437">
        <f>+'Exhibit F'!F105+'Exhibit G State'!F93</f>
        <v>72.800000000000011</v>
      </c>
      <c r="F116" s="1437"/>
      <c r="G116" s="1437">
        <f>+'Exhibit F'!H105+'Exhibit G State'!H93</f>
        <v>307.20000000000005</v>
      </c>
      <c r="H116" s="1437"/>
      <c r="I116" s="1437">
        <f>+'Exhibit F'!J105+'Exhibit G State'!J93</f>
        <v>486.1</v>
      </c>
      <c r="J116" s="1437"/>
      <c r="K116" s="1437">
        <f>+'Exhibit F'!L105+'Exhibit G State'!L93</f>
        <v>118.00000000000003</v>
      </c>
      <c r="L116" s="1437"/>
      <c r="M116" s="1437">
        <f>+'Exhibit F'!N105+'Exhibit G State'!N93</f>
        <v>438.09999999999974</v>
      </c>
      <c r="N116" s="1437"/>
      <c r="O116" s="3143">
        <f>+'Exhibit F'!P105+'Exhibit G State'!P93</f>
        <v>249.00000000000026</v>
      </c>
      <c r="P116" s="1437"/>
      <c r="Q116" s="1437"/>
      <c r="R116" s="1437"/>
      <c r="S116" s="1437"/>
      <c r="T116" s="1437"/>
      <c r="U116" s="1437"/>
      <c r="V116" s="1437"/>
      <c r="W116" s="1437"/>
      <c r="X116" s="1437"/>
      <c r="Y116" s="1437"/>
      <c r="Z116" s="1437"/>
      <c r="AA116" s="2770"/>
      <c r="AB116" s="1999">
        <f t="shared" si="19"/>
        <v>1764.7</v>
      </c>
      <c r="AC116" s="3397"/>
      <c r="AD116" s="3143"/>
      <c r="AE116" s="1999">
        <f>+'Exhibit F'!AF105+'Exhibit G State'!AG93</f>
        <v>1886.5</v>
      </c>
      <c r="AF116" s="3145"/>
      <c r="AG116" s="3145"/>
      <c r="AH116" s="3143">
        <f t="shared" si="20"/>
        <v>-121.8</v>
      </c>
      <c r="AI116" s="3101"/>
      <c r="AJ116" s="1817">
        <f t="shared" si="21"/>
        <v>-6.5000000000000002E-2</v>
      </c>
    </row>
    <row r="117" spans="1:38" ht="15.5">
      <c r="A117" s="2774" t="s">
        <v>31</v>
      </c>
      <c r="B117" s="1438"/>
      <c r="C117" s="1437">
        <f>+'Exhibit F'!D106+'Exhibit G State'!D94</f>
        <v>20.9</v>
      </c>
      <c r="D117" s="1437"/>
      <c r="E117" s="1437">
        <f>+'Exhibit F'!F106+'Exhibit G State'!F94</f>
        <v>11.1</v>
      </c>
      <c r="F117" s="1437"/>
      <c r="G117" s="1437">
        <f>+'Exhibit F'!H106+'Exhibit G State'!H94</f>
        <v>4.4999999999999991</v>
      </c>
      <c r="H117" s="1437"/>
      <c r="I117" s="1437">
        <f>+'Exhibit F'!J106+'Exhibit G State'!J94</f>
        <v>16.900000000000002</v>
      </c>
      <c r="J117" s="1437"/>
      <c r="K117" s="1437">
        <f>+'Exhibit F'!L106+'Exhibit G State'!L94</f>
        <v>29.399999999999984</v>
      </c>
      <c r="L117" s="1437"/>
      <c r="M117" s="1437">
        <f>+'Exhibit F'!N106+'Exhibit G State'!N94</f>
        <v>34.600000000000009</v>
      </c>
      <c r="N117" s="1437"/>
      <c r="O117" s="3143">
        <f>+'Exhibit F'!P106+'Exhibit G State'!P94</f>
        <v>17.300000000000004</v>
      </c>
      <c r="P117" s="1437"/>
      <c r="Q117" s="1437"/>
      <c r="R117" s="1437"/>
      <c r="S117" s="1437"/>
      <c r="T117" s="1437"/>
      <c r="U117" s="1437"/>
      <c r="V117" s="1437"/>
      <c r="W117" s="1437"/>
      <c r="X117" s="1437"/>
      <c r="Y117" s="1437"/>
      <c r="Z117" s="1437"/>
      <c r="AA117" s="2770"/>
      <c r="AB117" s="1999">
        <f t="shared" si="19"/>
        <v>134.69999999999999</v>
      </c>
      <c r="AC117" s="3398"/>
      <c r="AD117" s="3394"/>
      <c r="AE117" s="1999">
        <f>+'Exhibit F'!AF106+'Exhibit G State'!AG94</f>
        <v>218.4</v>
      </c>
      <c r="AF117" s="3145"/>
      <c r="AG117" s="3145"/>
      <c r="AH117" s="3143">
        <f t="shared" si="20"/>
        <v>-83.7</v>
      </c>
      <c r="AI117" s="3101"/>
      <c r="AJ117" s="1817">
        <f t="shared" si="21"/>
        <v>-0.38300000000000001</v>
      </c>
    </row>
    <row r="118" spans="1:38" ht="15.5">
      <c r="A118" s="2774" t="s">
        <v>32</v>
      </c>
      <c r="B118" s="1438"/>
      <c r="C118" s="1437">
        <f>+'Exhibit F'!D107+'Exhibit G State'!D95</f>
        <v>77</v>
      </c>
      <c r="D118" s="1437"/>
      <c r="E118" s="1437">
        <f>+'Exhibit F'!F107+'Exhibit G State'!F95</f>
        <v>158.19999999999999</v>
      </c>
      <c r="F118" s="1437"/>
      <c r="G118" s="1437">
        <f>+'Exhibit F'!H107+'Exhibit G State'!H95</f>
        <v>61.400000000000006</v>
      </c>
      <c r="H118" s="1437"/>
      <c r="I118" s="1437">
        <f>+'Exhibit F'!J107+'Exhibit G State'!J95</f>
        <v>578.1</v>
      </c>
      <c r="J118" s="1437"/>
      <c r="K118" s="1437">
        <f>+'Exhibit F'!L107+'Exhibit G State'!L95</f>
        <v>57.100000000000023</v>
      </c>
      <c r="L118" s="1437"/>
      <c r="M118" s="1437">
        <f>+'Exhibit F'!N107+'Exhibit G State'!N95</f>
        <v>426.79999999999973</v>
      </c>
      <c r="N118" s="1437"/>
      <c r="O118" s="3143">
        <f>+'Exhibit F'!P107+'Exhibit G State'!P95</f>
        <v>70.300000000000182</v>
      </c>
      <c r="P118" s="1437"/>
      <c r="Q118" s="1437"/>
      <c r="R118" s="1437"/>
      <c r="S118" s="1437"/>
      <c r="T118" s="1437"/>
      <c r="U118" s="1437"/>
      <c r="V118" s="1437"/>
      <c r="W118" s="1437"/>
      <c r="X118" s="1437"/>
      <c r="Y118" s="1437"/>
      <c r="Z118" s="1437"/>
      <c r="AA118" s="2770"/>
      <c r="AB118" s="1999">
        <f t="shared" si="19"/>
        <v>1428.9</v>
      </c>
      <c r="AC118" s="3398"/>
      <c r="AD118" s="3394"/>
      <c r="AE118" s="1999">
        <f>+'Exhibit F'!AF107+'Exhibit G State'!AG95</f>
        <v>1259.8</v>
      </c>
      <c r="AF118" s="3145"/>
      <c r="AG118" s="3145"/>
      <c r="AH118" s="3143">
        <f t="shared" si="20"/>
        <v>169.1</v>
      </c>
      <c r="AI118" s="3101"/>
      <c r="AJ118" s="1817">
        <f t="shared" si="21"/>
        <v>0.13400000000000001</v>
      </c>
    </row>
    <row r="119" spans="1:38" ht="15.5">
      <c r="A119" s="2774" t="s">
        <v>33</v>
      </c>
      <c r="B119" s="1438"/>
      <c r="C119" s="1437">
        <f>+'Exhibit F'!D108+'Exhibit G State'!D96</f>
        <v>4.6000000000000005</v>
      </c>
      <c r="D119" s="1437"/>
      <c r="E119" s="1437">
        <f>+'Exhibit F'!F108+'Exhibit G State'!F96</f>
        <v>7.1000000000000005</v>
      </c>
      <c r="F119" s="1437"/>
      <c r="G119" s="1437">
        <f>+'Exhibit F'!H108+'Exhibit G State'!H96</f>
        <v>9</v>
      </c>
      <c r="H119" s="1437"/>
      <c r="I119" s="1437">
        <f>+'Exhibit F'!J108+'Exhibit G State'!J96</f>
        <v>5.3999999999999986</v>
      </c>
      <c r="J119" s="1437"/>
      <c r="K119" s="1437">
        <f>+'Exhibit F'!L108+'Exhibit G State'!L96</f>
        <v>11</v>
      </c>
      <c r="L119" s="1437"/>
      <c r="M119" s="1437">
        <f>+'Exhibit F'!N108+'Exhibit G State'!N96</f>
        <v>10.900000000000002</v>
      </c>
      <c r="N119" s="1437"/>
      <c r="O119" s="3143">
        <f>+'Exhibit F'!P108+'Exhibit G State'!P96</f>
        <v>9.7000000000000028</v>
      </c>
      <c r="P119" s="1437"/>
      <c r="Q119" s="1437"/>
      <c r="R119" s="1437"/>
      <c r="S119" s="1437"/>
      <c r="T119" s="1437"/>
      <c r="U119" s="1437"/>
      <c r="V119" s="1437"/>
      <c r="W119" s="1437"/>
      <c r="X119" s="1437"/>
      <c r="Y119" s="1437"/>
      <c r="Z119" s="1437"/>
      <c r="AA119" s="2770"/>
      <c r="AB119" s="1999">
        <f t="shared" si="19"/>
        <v>57.7</v>
      </c>
      <c r="AC119" s="3398"/>
      <c r="AD119" s="3394"/>
      <c r="AE119" s="1999">
        <f>+'Exhibit F'!AF108+'Exhibit G State'!AG96</f>
        <v>114.9</v>
      </c>
      <c r="AF119" s="3145"/>
      <c r="AG119" s="3145"/>
      <c r="AH119" s="3143">
        <f t="shared" si="20"/>
        <v>-57.2</v>
      </c>
      <c r="AI119" s="3101"/>
      <c r="AJ119" s="1817">
        <f t="shared" si="21"/>
        <v>-0.498</v>
      </c>
    </row>
    <row r="120" spans="1:38" ht="15.5">
      <c r="A120" s="2774" t="s">
        <v>34</v>
      </c>
      <c r="B120" s="1438"/>
      <c r="C120" s="1437">
        <f>+'Exhibit F'!D109+'Exhibit G State'!D97</f>
        <v>61.7</v>
      </c>
      <c r="D120" s="1437"/>
      <c r="E120" s="1437">
        <f>+'Exhibit F'!F109+'Exhibit G State'!F97</f>
        <v>41.699999999999996</v>
      </c>
      <c r="F120" s="1437"/>
      <c r="G120" s="1437">
        <f>+'Exhibit F'!H109+'Exhibit G State'!H97</f>
        <v>18.5</v>
      </c>
      <c r="H120" s="1437"/>
      <c r="I120" s="1437">
        <f>+'Exhibit F'!J109+'Exhibit G State'!J97</f>
        <v>726.3</v>
      </c>
      <c r="J120" s="1437"/>
      <c r="K120" s="1437">
        <f>+'Exhibit F'!L109+'Exhibit G State'!L97</f>
        <v>357.90000000000003</v>
      </c>
      <c r="L120" s="1437"/>
      <c r="M120" s="1437">
        <f>+'Exhibit F'!N109+'Exhibit G State'!N97</f>
        <v>243.10000000000014</v>
      </c>
      <c r="N120" s="1437"/>
      <c r="O120" s="3143">
        <f>+'Exhibit F'!P109+'Exhibit G State'!P97</f>
        <v>256.39999999999998</v>
      </c>
      <c r="P120" s="1437"/>
      <c r="Q120" s="1437"/>
      <c r="R120" s="1437"/>
      <c r="S120" s="1437"/>
      <c r="T120" s="1437"/>
      <c r="U120" s="1437"/>
      <c r="V120" s="1437"/>
      <c r="W120" s="1437"/>
      <c r="X120" s="1437"/>
      <c r="Y120" s="1437"/>
      <c r="Z120" s="1437"/>
      <c r="AA120" s="2770"/>
      <c r="AB120" s="3143">
        <f>ROUND(SUM(C120:Y120),1)</f>
        <v>1705.6</v>
      </c>
      <c r="AC120" s="3398"/>
      <c r="AD120" s="3394"/>
      <c r="AE120" s="1999">
        <f>+'Exhibit F'!AF109+'Exhibit G State'!AG97</f>
        <v>2043.9</v>
      </c>
      <c r="AF120" s="3145"/>
      <c r="AG120" s="3145"/>
      <c r="AH120" s="3143">
        <f>ROUND(SUM(AB120-AE120),1)</f>
        <v>-338.3</v>
      </c>
      <c r="AI120" s="3101"/>
      <c r="AJ120" s="1446">
        <f t="shared" si="21"/>
        <v>-0.16600000000000001</v>
      </c>
    </row>
    <row r="121" spans="1:38" ht="15.5">
      <c r="A121" s="1438" t="s">
        <v>35</v>
      </c>
      <c r="B121" s="1438"/>
      <c r="C121" s="2777">
        <f>ROUND(SUM(C111:C120),1)</f>
        <v>1785.9</v>
      </c>
      <c r="D121" s="2778"/>
      <c r="E121" s="2777">
        <f>ROUND(SUM(E111:E120),1)</f>
        <v>6118.7</v>
      </c>
      <c r="F121" s="2778"/>
      <c r="G121" s="2777">
        <f>ROUND(SUM(G111:G120),1)</f>
        <v>6807.1</v>
      </c>
      <c r="H121" s="2778"/>
      <c r="I121" s="2777">
        <f>ROUND(SUM(I111:I120),1)</f>
        <v>4440.8999999999996</v>
      </c>
      <c r="J121" s="2778"/>
      <c r="K121" s="2777">
        <f>ROUND(SUM(K111:K120),1)</f>
        <v>3319.6</v>
      </c>
      <c r="L121" s="2778"/>
      <c r="M121" s="2777">
        <f>ROUND(SUM(M111:M120),1)</f>
        <v>7213.7</v>
      </c>
      <c r="N121" s="2778"/>
      <c r="O121" s="3399">
        <f>ROUND(SUM(O111:O120),1)</f>
        <v>3297.8</v>
      </c>
      <c r="P121" s="2778"/>
      <c r="Q121" s="2777">
        <f>ROUND(SUM(Q111:Q120),1)</f>
        <v>0</v>
      </c>
      <c r="R121" s="2778"/>
      <c r="S121" s="2777">
        <f>ROUND(SUM(S111:S120),1)</f>
        <v>0</v>
      </c>
      <c r="T121" s="2778"/>
      <c r="U121" s="2777">
        <f>ROUND(SUM(U111:U120),1)</f>
        <v>0</v>
      </c>
      <c r="V121" s="2778"/>
      <c r="W121" s="2777">
        <f>ROUND(SUM(W111:W120),1)</f>
        <v>0</v>
      </c>
      <c r="X121" s="2778"/>
      <c r="Y121" s="2777">
        <f>ROUND(SUM(Y111:Y120),1)</f>
        <v>0</v>
      </c>
      <c r="Z121" s="2778"/>
      <c r="AA121" s="2779"/>
      <c r="AB121" s="3399">
        <f>ROUND(SUM(AB111:AB120),1)</f>
        <v>32983.699999999997</v>
      </c>
      <c r="AC121" s="3400"/>
      <c r="AD121" s="3401"/>
      <c r="AE121" s="1458">
        <f>ROUND(SUM(AE111:AE120),1)</f>
        <v>37386.400000000001</v>
      </c>
      <c r="AF121" s="3144"/>
      <c r="AG121" s="3144"/>
      <c r="AH121" s="1458">
        <f>ROUND(SUM(AH111:AH120),1)</f>
        <v>-4402.7</v>
      </c>
      <c r="AI121" s="3085"/>
      <c r="AJ121" s="2548">
        <f t="shared" si="21"/>
        <v>-0.11799999999999999</v>
      </c>
      <c r="AK121" s="2764"/>
      <c r="AL121" s="2764"/>
    </row>
    <row r="122" spans="1:38" ht="15.5">
      <c r="A122" s="1438" t="s">
        <v>36</v>
      </c>
      <c r="B122" s="1438"/>
      <c r="C122" s="2768"/>
      <c r="D122" s="1437"/>
      <c r="E122" s="2768"/>
      <c r="F122" s="1437"/>
      <c r="G122" s="2768"/>
      <c r="H122" s="1437"/>
      <c r="I122" s="2768"/>
      <c r="J122" s="1437"/>
      <c r="K122" s="2768"/>
      <c r="L122" s="1437"/>
      <c r="M122" s="2768"/>
      <c r="N122" s="1437"/>
      <c r="O122" s="3145"/>
      <c r="P122" s="1437"/>
      <c r="Q122" s="2768"/>
      <c r="R122" s="1437"/>
      <c r="S122" s="2768"/>
      <c r="T122" s="1437"/>
      <c r="U122" s="2768"/>
      <c r="V122" s="1437"/>
      <c r="W122" s="2768"/>
      <c r="X122" s="1437"/>
      <c r="Y122" s="2768"/>
      <c r="Z122" s="1437"/>
      <c r="AA122" s="2770"/>
      <c r="AB122" s="3145"/>
      <c r="AC122" s="3143"/>
      <c r="AD122" s="3394"/>
      <c r="AE122" s="2040"/>
      <c r="AF122" s="3145"/>
      <c r="AG122" s="3145"/>
      <c r="AH122" s="1999"/>
      <c r="AI122" s="3101"/>
      <c r="AJ122" s="3356"/>
    </row>
    <row r="123" spans="1:38" ht="15.5">
      <c r="A123" s="1438" t="s">
        <v>138</v>
      </c>
      <c r="B123" s="1438"/>
      <c r="C123" s="1437">
        <f>+'Exhibit F'!D112+'Exhibit G State'!D100</f>
        <v>1494.8000000000002</v>
      </c>
      <c r="D123" s="1437"/>
      <c r="E123" s="1437">
        <f>+'Exhibit F'!F112+'Exhibit G State'!F100</f>
        <v>1084.9000000000001</v>
      </c>
      <c r="F123" s="1437"/>
      <c r="G123" s="1437">
        <f>+'Exhibit F'!H112+'Exhibit G State'!H100</f>
        <v>955.49999999999977</v>
      </c>
      <c r="H123" s="1437"/>
      <c r="I123" s="1437">
        <f>+'Exhibit F'!J112+'Exhibit G State'!J100</f>
        <v>1114</v>
      </c>
      <c r="J123" s="1437"/>
      <c r="K123" s="1437">
        <f>+'Exhibit F'!L112+'Exhibit G State'!L100</f>
        <v>990.0999999999998</v>
      </c>
      <c r="L123" s="1437"/>
      <c r="M123" s="1437">
        <f>+'Exhibit F'!N112+'Exhibit G State'!N100</f>
        <v>1443.0000000000002</v>
      </c>
      <c r="N123" s="1437"/>
      <c r="O123" s="3143">
        <f>+'Exhibit F'!P112+'Exhibit G State'!P100</f>
        <v>987.4</v>
      </c>
      <c r="P123" s="1437"/>
      <c r="Q123" s="1437"/>
      <c r="R123" s="1437"/>
      <c r="S123" s="1437"/>
      <c r="T123" s="1437"/>
      <c r="U123" s="1437"/>
      <c r="V123" s="1437"/>
      <c r="W123" s="1437"/>
      <c r="X123" s="1437"/>
      <c r="Y123" s="1437"/>
      <c r="Z123" s="1437"/>
      <c r="AA123" s="2770"/>
      <c r="AB123" s="3143">
        <f>ROUND(SUM(C123:Y123),1)</f>
        <v>8069.7</v>
      </c>
      <c r="AC123" s="3143"/>
      <c r="AD123" s="3394"/>
      <c r="AE123" s="1999">
        <f>+'Exhibit F'!AF112+'Exhibit G State'!AG100</f>
        <v>8595.7999999999993</v>
      </c>
      <c r="AF123" s="3145"/>
      <c r="AG123" s="3145"/>
      <c r="AH123" s="3143">
        <f>ROUND(SUM(AB123-AE123),1)</f>
        <v>-526.1</v>
      </c>
      <c r="AI123" s="3101"/>
      <c r="AJ123" s="1817">
        <f>ROUND(SUM(AH123/ABS(AE123)),3)</f>
        <v>-6.0999999999999999E-2</v>
      </c>
    </row>
    <row r="124" spans="1:38" ht="15.5">
      <c r="A124" s="1438" t="s">
        <v>139</v>
      </c>
      <c r="B124" s="1438"/>
      <c r="C124" s="1437">
        <f>+'Exhibit F'!D113+'Exhibit G State'!D101+'Exhibit H'!B53</f>
        <v>543.29999999999995</v>
      </c>
      <c r="D124" s="1437"/>
      <c r="E124" s="1437">
        <f>+'Exhibit F'!F113+'Exhibit G State'!F101+'Exhibit H'!D53</f>
        <v>372.9</v>
      </c>
      <c r="F124" s="1437"/>
      <c r="G124" s="1437">
        <f>+'Exhibit F'!H113+'Exhibit G State'!H101+'Exhibit H'!F53</f>
        <v>335.80000000000007</v>
      </c>
      <c r="H124" s="1437"/>
      <c r="I124" s="1437">
        <f>+'Exhibit F'!J113+'Exhibit G State'!J101+'Exhibit H'!H53</f>
        <v>-308.2</v>
      </c>
      <c r="J124" s="1437"/>
      <c r="K124" s="1437">
        <f>+'Exhibit F'!L113+'Exhibit G State'!L101+'Exhibit H'!J53</f>
        <v>384.5</v>
      </c>
      <c r="L124" s="1437"/>
      <c r="M124" s="1437">
        <f>+'Exhibit F'!N113+'Exhibit G State'!N101+'Exhibit H'!L53</f>
        <v>528.69999999999982</v>
      </c>
      <c r="N124" s="1437"/>
      <c r="O124" s="3143">
        <f>+'Exhibit F'!P113+'Exhibit G State'!P101+'Exhibit H'!N53</f>
        <v>432.00000000000028</v>
      </c>
      <c r="P124" s="1437"/>
      <c r="Q124" s="1437"/>
      <c r="R124" s="1437"/>
      <c r="S124" s="1437"/>
      <c r="T124" s="1437"/>
      <c r="U124" s="1437"/>
      <c r="V124" s="1437"/>
      <c r="W124" s="1437"/>
      <c r="X124" s="1437"/>
      <c r="Y124" s="1437"/>
      <c r="Z124" s="1437"/>
      <c r="AA124" s="2770"/>
      <c r="AB124" s="3143">
        <f>ROUND(SUM(C124:Y124),1)</f>
        <v>2289</v>
      </c>
      <c r="AC124" s="3143"/>
      <c r="AD124" s="3394"/>
      <c r="AE124" s="1999">
        <f>+'Exhibit F'!AF113+'Exhibit G State'!AG101+'Exhibit H'!AD53</f>
        <v>3155</v>
      </c>
      <c r="AF124" s="3145"/>
      <c r="AG124" s="3145"/>
      <c r="AH124" s="3143">
        <f>ROUND(SUM(AB124-AE124),1)</f>
        <v>-866</v>
      </c>
      <c r="AI124" s="3101"/>
      <c r="AJ124" s="1817">
        <f>ROUND(SUM(AH124/ABS(AE124)),3)</f>
        <v>-0.27400000000000002</v>
      </c>
    </row>
    <row r="125" spans="1:38" ht="15.5">
      <c r="A125" s="1438" t="s">
        <v>39</v>
      </c>
      <c r="B125" s="1438"/>
      <c r="C125" s="1437">
        <f>+'Exhibit F'!D114+'Exhibit G State'!D102</f>
        <v>512.5</v>
      </c>
      <c r="D125" s="1437"/>
      <c r="E125" s="1437">
        <f>+'Exhibit F'!F114+'Exhibit G State'!F102</f>
        <v>370.30000000000007</v>
      </c>
      <c r="F125" s="1437"/>
      <c r="G125" s="1437">
        <f>+'Exhibit F'!H114+'Exhibit G State'!H102</f>
        <v>2582.6</v>
      </c>
      <c r="H125" s="1437"/>
      <c r="I125" s="1437">
        <f>+'Exhibit F'!J114+'Exhibit G State'!J102</f>
        <v>388.2000000000001</v>
      </c>
      <c r="J125" s="1437"/>
      <c r="K125" s="1437">
        <f>+'Exhibit F'!L114+'Exhibit G State'!L102</f>
        <v>343.2999999999999</v>
      </c>
      <c r="L125" s="1437"/>
      <c r="M125" s="1437">
        <f>+'Exhibit F'!N114+'Exhibit G State'!N102</f>
        <v>592.5999999999998</v>
      </c>
      <c r="N125" s="1437"/>
      <c r="O125" s="3143">
        <f>+'Exhibit F'!P114+'Exhibit G State'!P102</f>
        <v>434.00000000000051</v>
      </c>
      <c r="P125" s="1437"/>
      <c r="Q125" s="1437"/>
      <c r="R125" s="1437"/>
      <c r="S125" s="1437"/>
      <c r="T125" s="1437"/>
      <c r="U125" s="1437"/>
      <c r="V125" s="1437"/>
      <c r="W125" s="1437"/>
      <c r="X125" s="1437"/>
      <c r="Y125" s="1437"/>
      <c r="Z125" s="1437"/>
      <c r="AA125" s="2770"/>
      <c r="AB125" s="3143">
        <f>ROUND(SUM(C125:Y125),1)</f>
        <v>5223.5</v>
      </c>
      <c r="AC125" s="3143"/>
      <c r="AD125" s="3394"/>
      <c r="AE125" s="1999">
        <f>+'Exhibit F'!AF114+'Exhibit G State'!AG102</f>
        <v>5819.3</v>
      </c>
      <c r="AF125" s="3145"/>
      <c r="AG125" s="3145"/>
      <c r="AH125" s="3143">
        <f>ROUND(SUM(AB125-AE125),1)</f>
        <v>-595.79999999999995</v>
      </c>
      <c r="AI125" s="3101"/>
      <c r="AJ125" s="1817">
        <f>ROUND(SUM(AH125/ABS(AE125)),3)</f>
        <v>-0.10199999999999999</v>
      </c>
    </row>
    <row r="126" spans="1:38" ht="15.5">
      <c r="A126" s="1438" t="s">
        <v>40</v>
      </c>
      <c r="B126" s="1438"/>
      <c r="C126" s="2768"/>
      <c r="D126" s="1437"/>
      <c r="E126" s="2768"/>
      <c r="F126" s="1437"/>
      <c r="G126" s="2768"/>
      <c r="H126" s="1437"/>
      <c r="I126" s="2768"/>
      <c r="J126" s="1437"/>
      <c r="K126" s="2768"/>
      <c r="L126" s="1437"/>
      <c r="M126" s="2768"/>
      <c r="N126" s="1437"/>
      <c r="O126" s="3145"/>
      <c r="P126" s="1437"/>
      <c r="Q126" s="2768"/>
      <c r="R126" s="1437"/>
      <c r="S126" s="2768"/>
      <c r="T126" s="1437"/>
      <c r="U126" s="2768"/>
      <c r="V126" s="1437"/>
      <c r="W126" s="2768"/>
      <c r="X126" s="1437"/>
      <c r="Y126" s="2768"/>
      <c r="Z126" s="1437"/>
      <c r="AA126" s="2770"/>
      <c r="AB126" s="3143"/>
      <c r="AC126" s="3143"/>
      <c r="AD126" s="3394"/>
      <c r="AE126" s="3145"/>
      <c r="AF126" s="3145"/>
      <c r="AG126" s="3145"/>
      <c r="AH126" s="3143"/>
      <c r="AI126" s="3101"/>
      <c r="AJ126" s="1817"/>
    </row>
    <row r="127" spans="1:38" ht="15.5">
      <c r="A127" s="1438" t="s">
        <v>41</v>
      </c>
      <c r="B127" s="1438"/>
      <c r="C127" s="1437">
        <f>+'Exhibit H'!B55</f>
        <v>36.5</v>
      </c>
      <c r="D127" s="1437"/>
      <c r="E127" s="1437">
        <f>+'Exhibit H'!D55</f>
        <v>23.5</v>
      </c>
      <c r="F127" s="1437"/>
      <c r="G127" s="1437">
        <f>+'Exhibit H'!F55</f>
        <v>28.900000000000006</v>
      </c>
      <c r="H127" s="1437"/>
      <c r="I127" s="1437">
        <f>+'Exhibit H'!H55</f>
        <v>10.699999999999989</v>
      </c>
      <c r="J127" s="1437"/>
      <c r="K127" s="1437">
        <f>+'Exhibit H'!J55</f>
        <v>337.59999999999997</v>
      </c>
      <c r="L127" s="1437"/>
      <c r="M127" s="1437">
        <f>+'Exhibit H'!L55</f>
        <v>841.8</v>
      </c>
      <c r="N127" s="1437"/>
      <c r="O127" s="3143">
        <f>+'Exhibit H'!N55</f>
        <v>39.799999999999955</v>
      </c>
      <c r="P127" s="1437"/>
      <c r="Q127" s="1437"/>
      <c r="R127" s="1437"/>
      <c r="S127" s="1437"/>
      <c r="T127" s="1437"/>
      <c r="U127" s="1437"/>
      <c r="V127" s="1437"/>
      <c r="W127" s="1437"/>
      <c r="X127" s="1437"/>
      <c r="Y127" s="1437"/>
      <c r="Z127" s="1437"/>
      <c r="AA127" s="2770"/>
      <c r="AB127" s="3143">
        <f>ROUND(SUM(C127:Y127),1)</f>
        <v>1318.8</v>
      </c>
      <c r="AC127" s="3143"/>
      <c r="AD127" s="3394"/>
      <c r="AE127" s="2040">
        <f>+'Exhibit H'!AD55</f>
        <v>1025.0999999999999</v>
      </c>
      <c r="AF127" s="3145"/>
      <c r="AG127" s="3145"/>
      <c r="AH127" s="3143">
        <f>ROUND(SUM(AB127-AE127),1)</f>
        <v>293.7</v>
      </c>
      <c r="AI127" s="3101"/>
      <c r="AJ127" s="1817">
        <f>ROUND(SUM(AH127/ABS(AE127)),3)</f>
        <v>0.28699999999999998</v>
      </c>
    </row>
    <row r="128" spans="1:38" ht="15.5">
      <c r="A128" s="1438" t="s">
        <v>140</v>
      </c>
      <c r="B128" s="1438"/>
      <c r="C128" s="1437">
        <f>'Exhibit G State'!D103</f>
        <v>0</v>
      </c>
      <c r="D128" s="1437"/>
      <c r="E128" s="1437">
        <f>'Exhibit G State'!F103</f>
        <v>0</v>
      </c>
      <c r="F128" s="1437"/>
      <c r="G128" s="1437">
        <f>'Exhibit G State'!H103</f>
        <v>0</v>
      </c>
      <c r="H128" s="1437"/>
      <c r="I128" s="1437">
        <f>'Exhibit G State'!J103</f>
        <v>0</v>
      </c>
      <c r="J128" s="1437"/>
      <c r="K128" s="1437">
        <f>'Exhibit G State'!L103</f>
        <v>0</v>
      </c>
      <c r="L128" s="1437"/>
      <c r="M128" s="1437">
        <f>'Exhibit G State'!N103</f>
        <v>0</v>
      </c>
      <c r="N128" s="1437"/>
      <c r="O128" s="3143">
        <f>'Exhibit G State'!P103</f>
        <v>0</v>
      </c>
      <c r="P128" s="1437"/>
      <c r="Q128" s="1437"/>
      <c r="R128" s="1437"/>
      <c r="S128" s="1437"/>
      <c r="T128" s="1437"/>
      <c r="U128" s="1437"/>
      <c r="V128" s="1437"/>
      <c r="W128" s="1437"/>
      <c r="X128" s="1437"/>
      <c r="Y128" s="1437"/>
      <c r="Z128" s="1437"/>
      <c r="AA128" s="2769"/>
      <c r="AB128" s="3143">
        <f>ROUND(SUM(C128:Y128),1)</f>
        <v>0</v>
      </c>
      <c r="AC128" s="3143"/>
      <c r="AD128" s="3394"/>
      <c r="AE128" s="2040">
        <f>+'Exhibit G'!AG103</f>
        <v>0</v>
      </c>
      <c r="AF128" s="3145"/>
      <c r="AG128" s="3145"/>
      <c r="AH128" s="3143">
        <f>ROUND(SUM(AB128-AE128),1)</f>
        <v>0</v>
      </c>
      <c r="AI128" s="3101"/>
      <c r="AJ128" s="1723">
        <f>ROUND(IF(AE128=0,0,AH128/ABS(AE128)),3)</f>
        <v>0</v>
      </c>
    </row>
    <row r="129" spans="1:59" ht="16.5" customHeight="1">
      <c r="A129" s="1438"/>
      <c r="B129" s="1438"/>
      <c r="C129" s="3533"/>
      <c r="D129" s="1437"/>
      <c r="E129" s="3533"/>
      <c r="F129" s="1437"/>
      <c r="G129" s="3533"/>
      <c r="H129" s="1437"/>
      <c r="I129" s="3533"/>
      <c r="J129" s="1437"/>
      <c r="K129" s="3533"/>
      <c r="L129" s="1437"/>
      <c r="M129" s="3533"/>
      <c r="N129" s="1437"/>
      <c r="O129" s="3534"/>
      <c r="P129" s="1437"/>
      <c r="Q129" s="3533"/>
      <c r="R129" s="1437"/>
      <c r="S129" s="3533"/>
      <c r="T129" s="1437"/>
      <c r="U129" s="3533"/>
      <c r="V129" s="1437"/>
      <c r="W129" s="3533"/>
      <c r="X129" s="1437"/>
      <c r="Y129" s="3533"/>
      <c r="Z129" s="1437"/>
      <c r="AA129" s="2770"/>
      <c r="AB129" s="3534"/>
      <c r="AC129" s="3143"/>
      <c r="AD129" s="3394"/>
      <c r="AE129" s="3534"/>
      <c r="AF129" s="3145"/>
      <c r="AG129" s="3145"/>
      <c r="AH129" s="3534"/>
      <c r="AI129" s="3101"/>
      <c r="AJ129" s="3535"/>
    </row>
    <row r="130" spans="1:59" ht="16.5" customHeight="1">
      <c r="A130" s="2009" t="s">
        <v>57</v>
      </c>
      <c r="B130" s="1438"/>
      <c r="C130" s="2780">
        <f>ROUND(SUM(C121:C128),1)</f>
        <v>4373</v>
      </c>
      <c r="D130" s="2778"/>
      <c r="E130" s="2780">
        <f>ROUND(SUM(E121:E128),1)</f>
        <v>7970.3</v>
      </c>
      <c r="F130" s="2778"/>
      <c r="G130" s="2780">
        <f>ROUND(SUM(G121:G128),1)</f>
        <v>10709.9</v>
      </c>
      <c r="H130" s="2778"/>
      <c r="I130" s="2780">
        <f>ROUND(SUM(I121:I128),1)</f>
        <v>5645.6</v>
      </c>
      <c r="J130" s="2778"/>
      <c r="K130" s="2780">
        <f>ROUND(SUM(K121:K128),1)</f>
        <v>5375.1</v>
      </c>
      <c r="L130" s="2778"/>
      <c r="M130" s="2780">
        <f>ROUND(SUM(M121:M128),1)</f>
        <v>10619.8</v>
      </c>
      <c r="N130" s="2778"/>
      <c r="O130" s="3147">
        <f>ROUND(SUM(O121:O128),1)</f>
        <v>5191</v>
      </c>
      <c r="P130" s="2778"/>
      <c r="Q130" s="2780">
        <f>ROUND(SUM(Q121:Q128),1)</f>
        <v>0</v>
      </c>
      <c r="R130" s="2778"/>
      <c r="S130" s="2780">
        <f>ROUND(SUM(S121:S128),1)</f>
        <v>0</v>
      </c>
      <c r="T130" s="2778"/>
      <c r="U130" s="2780">
        <f>ROUND(SUM(U121:U128),1)</f>
        <v>0</v>
      </c>
      <c r="V130" s="2778"/>
      <c r="W130" s="2780">
        <f>ROUND(SUM(W121:W128),1)</f>
        <v>0</v>
      </c>
      <c r="X130" s="2778"/>
      <c r="Y130" s="2780">
        <f>ROUND(SUM(Y121:Y128),1)</f>
        <v>0</v>
      </c>
      <c r="Z130" s="2778"/>
      <c r="AA130" s="2779"/>
      <c r="AB130" s="3147">
        <f>ROUND(SUM(AB121:AB128),1)</f>
        <v>49884.7</v>
      </c>
      <c r="AC130" s="3402"/>
      <c r="AD130" s="3401"/>
      <c r="AE130" s="1558">
        <f>ROUND(SUM(AE121:AE129),1)</f>
        <v>55981.599999999999</v>
      </c>
      <c r="AF130" s="3144"/>
      <c r="AG130" s="3144"/>
      <c r="AH130" s="1558">
        <f>ROUND(SUM(AH121:AH129),1)</f>
        <v>-6096.9</v>
      </c>
      <c r="AI130" s="3085"/>
      <c r="AJ130" s="2572">
        <f>ROUND(SUM(AH130/ABS(AE130)),3)</f>
        <v>-0.109</v>
      </c>
      <c r="AK130" s="2764"/>
      <c r="AL130" s="2764"/>
      <c r="AM130" s="2764"/>
      <c r="AN130" s="2764"/>
      <c r="AO130" s="2764"/>
      <c r="AP130" s="2764"/>
      <c r="AQ130" s="2764"/>
      <c r="AR130" s="2764"/>
    </row>
    <row r="131" spans="1:59" ht="16.5" customHeight="1">
      <c r="A131" s="2009"/>
      <c r="B131" s="1438"/>
      <c r="C131" s="1437"/>
      <c r="D131" s="1437"/>
      <c r="E131" s="1437"/>
      <c r="F131" s="1437"/>
      <c r="G131" s="1437"/>
      <c r="H131" s="1437"/>
      <c r="I131" s="1437"/>
      <c r="J131" s="1437"/>
      <c r="K131" s="1437"/>
      <c r="L131" s="1437"/>
      <c r="M131" s="1437"/>
      <c r="N131" s="1437"/>
      <c r="O131" s="3143"/>
      <c r="P131" s="1437"/>
      <c r="Q131" s="1437"/>
      <c r="R131" s="1437"/>
      <c r="S131" s="1437"/>
      <c r="T131" s="1437"/>
      <c r="U131" s="1437"/>
      <c r="V131" s="1437"/>
      <c r="W131" s="1437"/>
      <c r="X131" s="1437"/>
      <c r="Y131" s="1437"/>
      <c r="Z131" s="1437"/>
      <c r="AA131" s="2770"/>
      <c r="AB131" s="3143"/>
      <c r="AC131" s="3143"/>
      <c r="AD131" s="3394"/>
      <c r="AE131" s="3143"/>
      <c r="AF131" s="3145"/>
      <c r="AG131" s="3145"/>
      <c r="AH131" s="1999"/>
      <c r="AI131" s="3101"/>
      <c r="AJ131" s="3356"/>
    </row>
    <row r="132" spans="1:59" ht="16.5" customHeight="1">
      <c r="A132" s="2009" t="s">
        <v>44</v>
      </c>
      <c r="B132" s="1438"/>
      <c r="C132" s="1437"/>
      <c r="D132" s="1437"/>
      <c r="E132" s="1437"/>
      <c r="F132" s="1437"/>
      <c r="G132" s="1437"/>
      <c r="H132" s="1437"/>
      <c r="I132" s="1437"/>
      <c r="J132" s="1437"/>
      <c r="K132" s="1437"/>
      <c r="L132" s="1437"/>
      <c r="M132" s="1437"/>
      <c r="N132" s="1437"/>
      <c r="O132" s="3143"/>
      <c r="P132" s="1437"/>
      <c r="Q132" s="1437"/>
      <c r="R132" s="1437"/>
      <c r="S132" s="1437"/>
      <c r="T132" s="1437"/>
      <c r="U132" s="1437"/>
      <c r="V132" s="1437"/>
      <c r="W132" s="1437"/>
      <c r="X132" s="1437"/>
      <c r="Y132" s="1437"/>
      <c r="Z132" s="1437"/>
      <c r="AA132" s="2770"/>
      <c r="AB132" s="3143"/>
      <c r="AC132" s="3143"/>
      <c r="AD132" s="3394"/>
      <c r="AE132" s="3143"/>
      <c r="AF132" s="3145"/>
      <c r="AG132" s="3145"/>
      <c r="AH132" s="1999"/>
      <c r="AI132" s="3101"/>
      <c r="AJ132" s="3356"/>
    </row>
    <row r="133" spans="1:59" ht="16.5" customHeight="1">
      <c r="A133" s="2009" t="s">
        <v>45</v>
      </c>
      <c r="B133" s="1438"/>
      <c r="C133" s="2780">
        <f>ROUND(SUM(C107-C130),1)</f>
        <v>642.1</v>
      </c>
      <c r="D133" s="2778"/>
      <c r="E133" s="2780">
        <f>ROUND(SUM(E107-E130),1)</f>
        <v>-2576.1999999999998</v>
      </c>
      <c r="F133" s="2778"/>
      <c r="G133" s="2780">
        <f>ROUND(SUM(G107-G130),1)</f>
        <v>1468.5</v>
      </c>
      <c r="H133" s="2778"/>
      <c r="I133" s="2780">
        <f>ROUND(SUM(I107-I130),1)</f>
        <v>8327.1</v>
      </c>
      <c r="J133" s="2778"/>
      <c r="K133" s="2780">
        <f>ROUND(SUM(K107-K130),1)</f>
        <v>264.89999999999998</v>
      </c>
      <c r="L133" s="2778"/>
      <c r="M133" s="2780">
        <f>ROUND(SUM(M107-M130),1)</f>
        <v>57.3</v>
      </c>
      <c r="N133" s="2778"/>
      <c r="O133" s="3147">
        <f>ROUND(SUM(O107-O130),1)</f>
        <v>848</v>
      </c>
      <c r="P133" s="2778"/>
      <c r="Q133" s="2780">
        <f>ROUND(SUM(Q107-Q130),1)</f>
        <v>0</v>
      </c>
      <c r="R133" s="2778"/>
      <c r="S133" s="2780">
        <f>ROUND(SUM(S107-S130),1)</f>
        <v>0</v>
      </c>
      <c r="T133" s="2778"/>
      <c r="U133" s="2780">
        <f>ROUND(SUM(U107-U130),1)</f>
        <v>0</v>
      </c>
      <c r="V133" s="2778"/>
      <c r="W133" s="2780">
        <f>ROUND(SUM(W107-W130),1)</f>
        <v>0</v>
      </c>
      <c r="X133" s="2778"/>
      <c r="Y133" s="2780">
        <f>ROUND(SUM(Y107-Y130),1)</f>
        <v>0</v>
      </c>
      <c r="Z133" s="2778"/>
      <c r="AA133" s="2779"/>
      <c r="AB133" s="3147">
        <f>ROUND(SUM(AB107-AB130),1)</f>
        <v>9031.7000000000007</v>
      </c>
      <c r="AC133" s="3402"/>
      <c r="AD133" s="3401"/>
      <c r="AE133" s="3147">
        <f>ROUND(SUM(AE107-AE130),1)</f>
        <v>3229.5</v>
      </c>
      <c r="AF133" s="3144"/>
      <c r="AG133" s="3144"/>
      <c r="AH133" s="3362">
        <f>ROUND(SUM(AB133-AE133),1)</f>
        <v>5802.2</v>
      </c>
      <c r="AI133" s="3085"/>
      <c r="AJ133" s="2182">
        <f>ROUND(SUM(AH133/ABS(AE133)),3)</f>
        <v>1.7969999999999999</v>
      </c>
      <c r="AK133" s="2764"/>
      <c r="AL133" s="2764"/>
    </row>
    <row r="134" spans="1:59" ht="16.5" customHeight="1">
      <c r="A134" s="1841"/>
      <c r="B134" s="1438"/>
      <c r="C134" s="2773"/>
      <c r="D134" s="1437"/>
      <c r="E134" s="2773"/>
      <c r="F134" s="1437"/>
      <c r="G134" s="2773"/>
      <c r="H134" s="1437"/>
      <c r="I134" s="2773"/>
      <c r="J134" s="1437"/>
      <c r="K134" s="2773"/>
      <c r="L134" s="1437"/>
      <c r="M134" s="2773"/>
      <c r="N134" s="1437"/>
      <c r="O134" s="2559"/>
      <c r="P134" s="1437"/>
      <c r="Q134" s="2773"/>
      <c r="R134" s="1437"/>
      <c r="S134" s="2773"/>
      <c r="T134" s="1437"/>
      <c r="U134" s="2773"/>
      <c r="V134" s="1437"/>
      <c r="W134" s="2773"/>
      <c r="X134" s="1437"/>
      <c r="Y134" s="2773"/>
      <c r="Z134" s="2781"/>
      <c r="AA134" s="2770"/>
      <c r="AB134" s="2559"/>
      <c r="AC134" s="3143"/>
      <c r="AD134" s="3394"/>
      <c r="AE134" s="2559"/>
      <c r="AF134" s="3145"/>
      <c r="AG134" s="3145"/>
      <c r="AH134" s="1999"/>
      <c r="AI134" s="3101"/>
      <c r="AJ134" s="3356"/>
    </row>
    <row r="135" spans="1:59" ht="16.5" customHeight="1">
      <c r="A135" s="2009" t="s">
        <v>46</v>
      </c>
      <c r="B135" s="1438"/>
      <c r="C135" s="2768"/>
      <c r="D135" s="1437"/>
      <c r="E135" s="2768"/>
      <c r="F135" s="2782"/>
      <c r="G135" s="2768"/>
      <c r="H135" s="2782"/>
      <c r="I135" s="2783"/>
      <c r="J135" s="2782"/>
      <c r="K135" s="2783"/>
      <c r="L135" s="2782"/>
      <c r="M135" s="2783"/>
      <c r="N135" s="2782"/>
      <c r="O135" s="3891"/>
      <c r="P135" s="2782"/>
      <c r="Q135" s="2783"/>
      <c r="R135" s="2782"/>
      <c r="S135" s="2783"/>
      <c r="T135" s="2782"/>
      <c r="U135" s="2783"/>
      <c r="V135" s="1437"/>
      <c r="W135" s="2783"/>
      <c r="X135" s="1437"/>
      <c r="Y135" s="2783"/>
      <c r="Z135" s="2784"/>
      <c r="AA135" s="2770"/>
      <c r="AB135" s="3145"/>
      <c r="AC135" s="3403"/>
      <c r="AD135" s="3143"/>
      <c r="AE135" s="3145"/>
      <c r="AF135" s="3145"/>
      <c r="AG135" s="3145"/>
      <c r="AH135" s="1999"/>
      <c r="AI135" s="3101"/>
      <c r="AJ135" s="3356"/>
    </row>
    <row r="136" spans="1:59" ht="16.5" customHeight="1">
      <c r="A136" s="1438" t="s">
        <v>1172</v>
      </c>
      <c r="B136" s="1438"/>
      <c r="C136" s="2785">
        <f>+'Exhibit F'!D123+'Exhibit F'!D124+'Exhibit F'!D125+'Exhibit F'!D126+'Exhibit G State'!D111+'Exhibit H'!B64</f>
        <v>1939.1</v>
      </c>
      <c r="D136" s="1437"/>
      <c r="E136" s="2785">
        <f>+'Exhibit F'!F123+'Exhibit F'!F124+'Exhibit F'!F125+'Exhibit F'!F126+'Exhibit G State'!F111+'Exhibit H'!D64</f>
        <v>1674.9000000000003</v>
      </c>
      <c r="F136" s="1437"/>
      <c r="G136" s="2785">
        <f>+'Exhibit F'!H123+'Exhibit F'!H124+'Exhibit F'!H125+'Exhibit F'!H126+'Exhibit G State'!H111+'Exhibit H'!F64</f>
        <v>3796.1</v>
      </c>
      <c r="H136" s="1437"/>
      <c r="I136" s="2785">
        <f>+'Exhibit F'!J123+'Exhibit F'!J124+'Exhibit F'!J125+'Exhibit F'!J126+'Exhibit G State'!J111+'Exhibit H'!H64</f>
        <v>5367.5000000000009</v>
      </c>
      <c r="J136" s="1437"/>
      <c r="K136" s="2785">
        <f>+'Exhibit F'!L123+'Exhibit F'!L124+'Exhibit F'!L125+'Exhibit F'!L126+'Exhibit G State'!L111+'Exhibit H'!J64</f>
        <v>1326.8000000000004</v>
      </c>
      <c r="L136" s="1437"/>
      <c r="M136" s="2785">
        <f>+'Exhibit F'!N123+'Exhibit F'!N124+'Exhibit F'!N125+'Exhibit F'!N126+'Exhibit G State'!N111+'Exhibit H'!L64</f>
        <v>3217.1</v>
      </c>
      <c r="N136" s="1437"/>
      <c r="O136" s="3892">
        <f>+'Exhibit F'!P123+'Exhibit F'!P124+'Exhibit F'!P125+'Exhibit F'!P126+'Exhibit G State'!P111+'Exhibit H'!N64</f>
        <v>2037.8999999999996</v>
      </c>
      <c r="P136" s="1437"/>
      <c r="Q136" s="2785"/>
      <c r="R136" s="1437"/>
      <c r="S136" s="2785"/>
      <c r="T136" s="1437"/>
      <c r="U136" s="2785"/>
      <c r="V136" s="1437"/>
      <c r="W136" s="2785"/>
      <c r="X136" s="1437"/>
      <c r="Y136" s="2785"/>
      <c r="Z136" s="1437"/>
      <c r="AA136" s="2770"/>
      <c r="AB136" s="3143">
        <f>ROUND(SUM(C136:Y136),1)</f>
        <v>19359.400000000001</v>
      </c>
      <c r="AC136" s="3143"/>
      <c r="AD136" s="3396"/>
      <c r="AE136" s="3143">
        <f>'Exhibit F'!AF123+'Exhibit F'!AF124+'Exhibit F'!AF125+'Exhibit F'!AF126+'Exhibit G State'!AG111+'Exhibit H'!AD64</f>
        <v>24341.600000000002</v>
      </c>
      <c r="AF136" s="3145"/>
      <c r="AG136" s="3145"/>
      <c r="AH136" s="3143">
        <f>ROUND(SUM(AB136-AE136),1)</f>
        <v>-4982.2</v>
      </c>
      <c r="AI136" s="3101"/>
      <c r="AJ136" s="1817">
        <f>ROUND(SUM(AH136/ABS(AE136)),3)</f>
        <v>-0.20499999999999999</v>
      </c>
    </row>
    <row r="137" spans="1:59" ht="16.5" customHeight="1">
      <c r="A137" s="1438" t="s">
        <v>1173</v>
      </c>
      <c r="C137" s="2786">
        <f>+'Exhibit F'!D127+'Exhibit F'!D128+'Exhibit F'!D129+'Exhibit F'!D130+'Exhibit G State'!D112+'Exhibit H'!B65</f>
        <v>-817.89999999999986</v>
      </c>
      <c r="D137" s="2542"/>
      <c r="E137" s="2786">
        <f>+'Exhibit F'!F127+'Exhibit F'!F128+'Exhibit F'!F129+'Exhibit F'!F130+'Exhibit G State'!F112+'Exhibit H'!D65</f>
        <v>-1727.6</v>
      </c>
      <c r="F137" s="2542"/>
      <c r="G137" s="2786">
        <f>+'Exhibit F'!H127+'Exhibit F'!H128+'Exhibit F'!H129+'Exhibit F'!H130+'Exhibit G State'!H112+'Exhibit H'!F65</f>
        <v>-4202.0999999999995</v>
      </c>
      <c r="H137" s="2542"/>
      <c r="I137" s="2786">
        <f>+'Exhibit F'!J127+'Exhibit F'!J128+'Exhibit F'!J129+'Exhibit F'!J130+'Exhibit G State'!J112+'Exhibit H'!H65</f>
        <v>-5633.9</v>
      </c>
      <c r="J137" s="2542"/>
      <c r="K137" s="2786">
        <f>+'Exhibit F'!L127+'Exhibit F'!L128+'Exhibit F'!L129+'Exhibit F'!L130+'Exhibit G State'!L112+'Exhibit H'!J65</f>
        <v>-1841.5999999999995</v>
      </c>
      <c r="L137" s="2542"/>
      <c r="M137" s="2786">
        <f>+'Exhibit F'!N127+'Exhibit F'!N128+'Exhibit F'!N129+'Exhibit F'!N130+'Exhibit G State'!N112+'Exhibit H'!L65</f>
        <v>-3107.4000000000005</v>
      </c>
      <c r="N137" s="2542"/>
      <c r="O137" s="3893">
        <f>+'Exhibit F'!P127+'Exhibit F'!P128+'Exhibit F'!P129+'Exhibit F'!P130+'Exhibit G State'!P112+'Exhibit H'!N65</f>
        <v>-1643.6999999999994</v>
      </c>
      <c r="P137" s="2542"/>
      <c r="Q137" s="2786"/>
      <c r="R137" s="2542"/>
      <c r="S137" s="2786"/>
      <c r="T137" s="2542"/>
      <c r="U137" s="2786"/>
      <c r="V137" s="2542"/>
      <c r="W137" s="2786"/>
      <c r="X137" s="2542"/>
      <c r="Y137" s="2786"/>
      <c r="Z137" s="2542"/>
      <c r="AA137" s="2787"/>
      <c r="AB137" s="3146">
        <f>ROUND(SUM(C137:Y137),1)</f>
        <v>-18974.2</v>
      </c>
      <c r="AC137" s="2549"/>
      <c r="AD137" s="3404"/>
      <c r="AE137" s="3146">
        <f>'Exhibit F'!AF127+'Exhibit F'!AF128+'Exhibit F'!AF129+'Exhibit F'!AF130+'Exhibit G State'!AG112+'Exhibit H'!AD65</f>
        <v>-25162.300000000003</v>
      </c>
      <c r="AF137" s="2559"/>
      <c r="AG137" s="2559"/>
      <c r="AH137" s="3146">
        <f>ROUND(SUM(-AB137+AE137),1)</f>
        <v>-6188.1</v>
      </c>
      <c r="AI137" s="3356"/>
      <c r="AJ137" s="3363">
        <f>ROUND(SUM(AH137/ABS(AE137)),3)</f>
        <v>-0.246</v>
      </c>
    </row>
    <row r="138" spans="1:59" ht="16.5" customHeight="1">
      <c r="A138" s="1438"/>
      <c r="C138" s="2768"/>
      <c r="D138" s="2542"/>
      <c r="E138" s="2768"/>
      <c r="F138" s="2542"/>
      <c r="G138" s="2768"/>
      <c r="H138" s="2542"/>
      <c r="I138" s="2768"/>
      <c r="J138" s="2542"/>
      <c r="K138" s="2768"/>
      <c r="L138" s="2542"/>
      <c r="M138" s="2768"/>
      <c r="N138" s="2542"/>
      <c r="O138" s="3145"/>
      <c r="P138" s="2542"/>
      <c r="Q138" s="2768"/>
      <c r="R138" s="2542"/>
      <c r="S138" s="2768"/>
      <c r="T138" s="2542"/>
      <c r="U138" s="2768"/>
      <c r="V138" s="2542"/>
      <c r="W138" s="2768"/>
      <c r="X138" s="2542"/>
      <c r="Y138" s="2768"/>
      <c r="Z138" s="2542"/>
      <c r="AA138" s="2787"/>
      <c r="AB138" s="3145"/>
      <c r="AC138" s="2549"/>
      <c r="AD138" s="3404"/>
      <c r="AE138" s="3145"/>
      <c r="AF138" s="2559"/>
      <c r="AG138" s="2559"/>
      <c r="AH138" s="3145"/>
      <c r="AI138" s="3356"/>
      <c r="AJ138" s="1446"/>
    </row>
    <row r="139" spans="1:59" ht="16.5" customHeight="1">
      <c r="A139" s="2009" t="s">
        <v>49</v>
      </c>
      <c r="C139" s="2780">
        <f>ROUND(SUM(C136:C137),1)</f>
        <v>1121.2</v>
      </c>
      <c r="D139" s="2788"/>
      <c r="E139" s="2780">
        <f>ROUND(SUM(E136:E137),1)</f>
        <v>-52.7</v>
      </c>
      <c r="F139" s="2788"/>
      <c r="G139" s="2780">
        <f>ROUND(SUM(G136:G137),1)</f>
        <v>-406</v>
      </c>
      <c r="H139" s="2788"/>
      <c r="I139" s="2780">
        <f>ROUND(SUM(I136:I137),1)</f>
        <v>-266.39999999999998</v>
      </c>
      <c r="J139" s="2788"/>
      <c r="K139" s="2780">
        <f>ROUND(SUM(K136:K137),1)</f>
        <v>-514.79999999999995</v>
      </c>
      <c r="L139" s="2788"/>
      <c r="M139" s="2780">
        <f>ROUND(SUM(M136:M137),1)</f>
        <v>109.7</v>
      </c>
      <c r="N139" s="2788"/>
      <c r="O139" s="3147">
        <f>ROUND(SUM(O136:O137),1)</f>
        <v>394.2</v>
      </c>
      <c r="P139" s="2788"/>
      <c r="Q139" s="2780">
        <f>ROUND(SUM(Q136:Q137),1)</f>
        <v>0</v>
      </c>
      <c r="R139" s="2788"/>
      <c r="S139" s="2780">
        <f>ROUND(SUM(S136:S137),1)</f>
        <v>0</v>
      </c>
      <c r="T139" s="2788"/>
      <c r="U139" s="2780">
        <f>ROUND(SUM(U136:U137),1)</f>
        <v>0</v>
      </c>
      <c r="V139" s="2788"/>
      <c r="W139" s="2780">
        <f>ROUND(SUM(W136:W137),1)</f>
        <v>0</v>
      </c>
      <c r="X139" s="2788"/>
      <c r="Y139" s="2780">
        <f>ROUND(SUM(Y136:Y137),1)</f>
        <v>0</v>
      </c>
      <c r="Z139" s="2788"/>
      <c r="AA139" s="2789"/>
      <c r="AB139" s="3147">
        <f>ROUND(SUM(AB136:AB137),1)</f>
        <v>385.2</v>
      </c>
      <c r="AC139" s="2554"/>
      <c r="AD139" s="3405"/>
      <c r="AE139" s="3147">
        <f>ROUND(SUM(AE136:AE137),1)</f>
        <v>-820.7</v>
      </c>
      <c r="AF139" s="3364"/>
      <c r="AG139" s="2559"/>
      <c r="AH139" s="3147">
        <f>ROUND(SUM(AH136-AH137),1)</f>
        <v>1205.9000000000001</v>
      </c>
      <c r="AI139" s="2171"/>
      <c r="AJ139" s="2182">
        <f>-ROUND(SUM(-AH139/ABS(AE139)),3)</f>
        <v>1.4690000000000001</v>
      </c>
      <c r="AK139" s="2764"/>
      <c r="AL139" s="2764"/>
    </row>
    <row r="140" spans="1:59" ht="16.5" customHeight="1">
      <c r="A140" s="1841"/>
      <c r="C140" s="2542"/>
      <c r="D140" s="2542"/>
      <c r="E140" s="2542"/>
      <c r="F140" s="2542"/>
      <c r="G140" s="2542"/>
      <c r="H140" s="2542"/>
      <c r="I140" s="2542"/>
      <c r="J140" s="2542"/>
      <c r="K140" s="2542"/>
      <c r="L140" s="2542"/>
      <c r="M140" s="2542"/>
      <c r="N140" s="2542"/>
      <c r="O140" s="2549"/>
      <c r="P140" s="2542"/>
      <c r="Q140" s="2542"/>
      <c r="R140" s="2542"/>
      <c r="S140" s="2542"/>
      <c r="T140" s="2542"/>
      <c r="U140" s="2542"/>
      <c r="V140" s="2542"/>
      <c r="W140" s="2542"/>
      <c r="X140" s="2542"/>
      <c r="Y140" s="2542"/>
      <c r="Z140" s="2542"/>
      <c r="AA140" s="2787"/>
      <c r="AB140" s="2549"/>
      <c r="AC140" s="2549"/>
      <c r="AD140" s="3404"/>
      <c r="AE140" s="2549"/>
      <c r="AF140" s="2559"/>
      <c r="AG140" s="3365"/>
      <c r="AH140" s="1999"/>
      <c r="AI140" s="3356"/>
      <c r="AJ140" s="3356"/>
    </row>
    <row r="141" spans="1:59" ht="16.5" customHeight="1">
      <c r="A141" s="2171" t="s">
        <v>44</v>
      </c>
      <c r="C141" s="2768"/>
      <c r="D141" s="2542"/>
      <c r="E141" s="2768"/>
      <c r="F141" s="2542"/>
      <c r="G141" s="2768"/>
      <c r="H141" s="2542"/>
      <c r="I141" s="2768"/>
      <c r="J141" s="2542"/>
      <c r="K141" s="2768"/>
      <c r="L141" s="2542"/>
      <c r="M141" s="2768"/>
      <c r="N141" s="2542"/>
      <c r="O141" s="3145"/>
      <c r="P141" s="2542"/>
      <c r="Q141" s="2768"/>
      <c r="R141" s="2542"/>
      <c r="S141" s="2768"/>
      <c r="T141" s="2542"/>
      <c r="U141" s="2768"/>
      <c r="V141" s="2542"/>
      <c r="W141" s="2768"/>
      <c r="X141" s="2542"/>
      <c r="Y141" s="2768"/>
      <c r="Z141" s="2542"/>
      <c r="AA141" s="2787"/>
      <c r="AB141" s="3145"/>
      <c r="AC141" s="2549"/>
      <c r="AD141" s="3404"/>
      <c r="AE141" s="3145"/>
      <c r="AF141" s="2559"/>
      <c r="AG141" s="3366"/>
      <c r="AH141" s="1999"/>
      <c r="AI141" s="3356"/>
      <c r="AJ141" s="3356"/>
    </row>
    <row r="142" spans="1:59" ht="16.5" customHeight="1">
      <c r="A142" s="2171" t="s">
        <v>50</v>
      </c>
      <c r="C142" s="2778"/>
      <c r="D142" s="2788"/>
      <c r="E142" s="2778"/>
      <c r="F142" s="2788"/>
      <c r="G142" s="2778"/>
      <c r="H142" s="2788"/>
      <c r="I142" s="2778"/>
      <c r="J142" s="2788"/>
      <c r="K142" s="2778"/>
      <c r="L142" s="2788"/>
      <c r="M142" s="2778"/>
      <c r="N142" s="2788"/>
      <c r="O142" s="3402"/>
      <c r="P142" s="2788"/>
      <c r="Q142" s="2778"/>
      <c r="R142" s="2788"/>
      <c r="S142" s="2778"/>
      <c r="T142" s="2788"/>
      <c r="U142" s="2778"/>
      <c r="V142" s="2788"/>
      <c r="W142" s="2778"/>
      <c r="X142" s="2788"/>
      <c r="Y142" s="2778"/>
      <c r="Z142" s="2788"/>
      <c r="AA142" s="2789"/>
      <c r="AB142" s="3402"/>
      <c r="AC142" s="2554"/>
      <c r="AD142" s="3405"/>
      <c r="AE142" s="3402"/>
      <c r="AF142" s="2559"/>
      <c r="AG142" s="3365"/>
      <c r="AH142" s="2049"/>
      <c r="AI142" s="2171"/>
      <c r="AJ142" s="2171"/>
      <c r="AK142" s="2764"/>
      <c r="AL142" s="2764"/>
      <c r="AM142" s="2764"/>
      <c r="AN142" s="2764"/>
      <c r="AO142" s="2764"/>
      <c r="AP142" s="2764"/>
      <c r="AQ142" s="2764"/>
      <c r="AR142" s="2764"/>
      <c r="AS142" s="2764"/>
      <c r="AT142" s="2764"/>
      <c r="AU142" s="2764"/>
      <c r="AV142" s="2764"/>
      <c r="AW142" s="2764"/>
      <c r="AX142" s="2764"/>
      <c r="AY142" s="2764"/>
      <c r="AZ142" s="2764"/>
      <c r="BA142" s="2764"/>
      <c r="BB142" s="2764"/>
      <c r="BC142" s="2764"/>
      <c r="BD142" s="2764"/>
      <c r="BE142" s="2764"/>
      <c r="BF142" s="2764"/>
      <c r="BG142" s="2764"/>
    </row>
    <row r="143" spans="1:59" ht="16.5" customHeight="1">
      <c r="A143" s="2171" t="s">
        <v>51</v>
      </c>
      <c r="C143" s="2790">
        <f>ROUND(SUM(C133+C139),1)</f>
        <v>1763.3</v>
      </c>
      <c r="D143" s="2788"/>
      <c r="E143" s="2790">
        <f>ROUND(SUM(E133+E139),1)</f>
        <v>-2628.9</v>
      </c>
      <c r="F143" s="2788"/>
      <c r="G143" s="2790">
        <f>ROUND(SUM(G133+G139),1)</f>
        <v>1062.5</v>
      </c>
      <c r="H143" s="2788"/>
      <c r="I143" s="2790">
        <f>ROUND(SUM(I133+I139),1)</f>
        <v>8060.7</v>
      </c>
      <c r="J143" s="2788"/>
      <c r="K143" s="2790">
        <f>ROUND(SUM(K133+K139),1)</f>
        <v>-249.9</v>
      </c>
      <c r="L143" s="2788"/>
      <c r="M143" s="2790">
        <f>ROUND(SUM(M133+M139),1)</f>
        <v>167</v>
      </c>
      <c r="N143" s="2788"/>
      <c r="O143" s="3406">
        <f>ROUND(SUM(O133+O139),1)</f>
        <v>1242.2</v>
      </c>
      <c r="P143" s="2788"/>
      <c r="Q143" s="2790">
        <f>ROUND(SUM(Q133+Q139),1)</f>
        <v>0</v>
      </c>
      <c r="R143" s="2788"/>
      <c r="S143" s="2790">
        <f>ROUND(SUM(S133+S139),1)</f>
        <v>0</v>
      </c>
      <c r="T143" s="2788"/>
      <c r="U143" s="2790">
        <f>ROUND(SUM(U133+U139),1)</f>
        <v>0</v>
      </c>
      <c r="V143" s="2788"/>
      <c r="W143" s="2790">
        <f>ROUND(SUM(W133+W139),1)</f>
        <v>0</v>
      </c>
      <c r="X143" s="2788"/>
      <c r="Y143" s="2790">
        <f>ROUND(SUM(Y133+Y139),1)</f>
        <v>0</v>
      </c>
      <c r="Z143" s="2788"/>
      <c r="AA143" s="2789"/>
      <c r="AB143" s="3406">
        <f>ROUND(SUM(AB133+AB139),1)</f>
        <v>9416.9</v>
      </c>
      <c r="AC143" s="2554"/>
      <c r="AD143" s="3405"/>
      <c r="AE143" s="3406">
        <f>ROUND(SUM(AE133+AE139),1)</f>
        <v>2408.8000000000002</v>
      </c>
      <c r="AF143" s="2559"/>
      <c r="AG143" s="3365"/>
      <c r="AH143" s="3362">
        <f>ROUND(SUM(AB143-AE143),1)</f>
        <v>7008.1</v>
      </c>
      <c r="AI143" s="2171"/>
      <c r="AJ143" s="2182">
        <f>ROUND(SUM(AH143/ABS(AE143)),3)</f>
        <v>2.9089999999999998</v>
      </c>
      <c r="AK143" s="2764"/>
      <c r="AL143" s="2764"/>
      <c r="AM143" s="2764"/>
      <c r="AN143" s="2764"/>
      <c r="AO143" s="2764"/>
      <c r="AP143" s="2764"/>
      <c r="AQ143" s="2764"/>
      <c r="AR143" s="2764"/>
      <c r="AS143" s="2764"/>
      <c r="AT143" s="2764"/>
      <c r="AU143" s="2764"/>
      <c r="AV143" s="2764"/>
      <c r="AW143" s="2764"/>
      <c r="AX143" s="2764"/>
      <c r="AY143" s="2764"/>
      <c r="AZ143" s="2764"/>
      <c r="BA143" s="2764"/>
      <c r="BB143" s="2764"/>
      <c r="BC143" s="2764"/>
      <c r="BD143" s="2764"/>
      <c r="BE143" s="2764"/>
      <c r="BF143" s="2764"/>
      <c r="BG143" s="2764"/>
    </row>
    <row r="144" spans="1:59" ht="15.5">
      <c r="A144" s="2009"/>
      <c r="C144" s="2758"/>
      <c r="E144" s="2758"/>
      <c r="G144" s="2758"/>
      <c r="I144" s="2758"/>
      <c r="K144" s="2758"/>
      <c r="M144" s="2758"/>
      <c r="O144" s="3391"/>
      <c r="Q144" s="2758"/>
      <c r="S144" s="2758"/>
      <c r="U144" s="2758"/>
      <c r="W144" s="2758"/>
      <c r="Y144" s="2758"/>
      <c r="AA144" s="2792"/>
      <c r="AB144" s="3391"/>
      <c r="AD144" s="3407"/>
      <c r="AE144" s="3886"/>
      <c r="AF144" s="2559"/>
      <c r="AG144" s="3367"/>
      <c r="AH144" s="3356"/>
      <c r="AI144" s="3356"/>
      <c r="AJ144" s="3356"/>
    </row>
    <row r="145" spans="1:37" ht="16" thickBot="1">
      <c r="A145" s="2793" t="s">
        <v>141</v>
      </c>
      <c r="C145" s="2794">
        <f>ROUND(SUM(C16+C143),1)</f>
        <v>16171.6</v>
      </c>
      <c r="D145" s="2795"/>
      <c r="E145" s="2794">
        <f>ROUND(SUM(E16+E143),1)</f>
        <v>13542.7</v>
      </c>
      <c r="F145" s="2795"/>
      <c r="G145" s="2794">
        <f>ROUND(SUM(G16+G143),1)</f>
        <v>14605.2</v>
      </c>
      <c r="H145" s="2795"/>
      <c r="I145" s="2794">
        <f>ROUND(SUM(I16+I143),1)</f>
        <v>22665.9</v>
      </c>
      <c r="J145" s="2796"/>
      <c r="K145" s="2794">
        <f>ROUND(SUM(K16+K143),1)</f>
        <v>22416</v>
      </c>
      <c r="L145" s="2796"/>
      <c r="M145" s="2794">
        <f>ROUND(SUM(M16+M143),1)</f>
        <v>22583</v>
      </c>
      <c r="N145" s="2796"/>
      <c r="O145" s="3148">
        <f>ROUND(SUM(O16+O143),1)</f>
        <v>23825.200000000001</v>
      </c>
      <c r="P145" s="2796"/>
      <c r="Q145" s="2794">
        <f>ROUND(SUM(Q16+Q143),1)</f>
        <v>0</v>
      </c>
      <c r="R145" s="2796"/>
      <c r="S145" s="2794">
        <f>ROUND(SUM(S16+S143),1)</f>
        <v>0</v>
      </c>
      <c r="T145" s="2796"/>
      <c r="U145" s="2794">
        <f>ROUND(SUM(U16+U143),1)</f>
        <v>0</v>
      </c>
      <c r="V145" s="2796"/>
      <c r="W145" s="2794">
        <f>ROUND(SUM(W16+W143),1)</f>
        <v>0</v>
      </c>
      <c r="X145" s="2796"/>
      <c r="Y145" s="2794">
        <f>ROUND(SUM(Y16+Y143),1)</f>
        <v>0</v>
      </c>
      <c r="Z145" s="2795"/>
      <c r="AA145" s="2791"/>
      <c r="AB145" s="3148">
        <f>ROUND(SUM(AB16+AB143),1)</f>
        <v>23825.200000000001</v>
      </c>
      <c r="AC145" s="3408"/>
      <c r="AD145" s="3367"/>
      <c r="AE145" s="3148">
        <f>ROUND(SUM(AE16+AE143),1)</f>
        <v>14770.1</v>
      </c>
      <c r="AF145" s="2559"/>
      <c r="AG145" s="3367"/>
      <c r="AH145" s="3148">
        <f>ROUND(SUM(AB145-AE145),1)</f>
        <v>9055.1</v>
      </c>
      <c r="AI145" s="2171"/>
      <c r="AJ145" s="3368">
        <f>ROUND(SUM(AH145/ABS(AE145)),3)</f>
        <v>0.61299999999999999</v>
      </c>
      <c r="AK145" s="2764"/>
    </row>
    <row r="146" spans="1:37" ht="16" thickTop="1">
      <c r="A146" s="2797"/>
      <c r="C146" s="2776"/>
      <c r="AH146" s="3356"/>
      <c r="AI146" s="3356"/>
      <c r="AJ146" s="3356"/>
    </row>
    <row r="147" spans="1:37" ht="15.5">
      <c r="A147" s="2256" t="s">
        <v>1162</v>
      </c>
      <c r="AH147" s="3356"/>
      <c r="AI147" s="3356"/>
      <c r="AJ147" s="3356"/>
    </row>
    <row r="148" spans="1:37" ht="15.5">
      <c r="A148" s="2256" t="s">
        <v>1123</v>
      </c>
      <c r="AH148" s="3356"/>
      <c r="AI148" s="3356"/>
      <c r="AJ148" s="3356"/>
    </row>
    <row r="149" spans="1:37" ht="15.5">
      <c r="A149" s="2798" t="s">
        <v>1194</v>
      </c>
      <c r="AH149" s="3356"/>
      <c r="AI149" s="3356"/>
      <c r="AJ149" s="3356"/>
    </row>
    <row r="150" spans="1:37" ht="16.5" customHeight="1">
      <c r="AH150" s="3356"/>
      <c r="AI150" s="3356"/>
      <c r="AJ150" s="3356"/>
    </row>
    <row r="151" spans="1:37" ht="16.5" customHeight="1">
      <c r="AH151" s="3356"/>
      <c r="AI151" s="3356"/>
      <c r="AJ151" s="3356"/>
    </row>
    <row r="152" spans="1:37" ht="16.5" customHeight="1">
      <c r="AH152" s="3356"/>
      <c r="AI152" s="3356"/>
      <c r="AJ152" s="3356"/>
    </row>
    <row r="153" spans="1:37" ht="16.5" customHeight="1">
      <c r="AH153" s="3356"/>
      <c r="AI153" s="3356"/>
      <c r="AJ153" s="3356"/>
    </row>
    <row r="154" spans="1:37" ht="16.5" customHeight="1">
      <c r="AH154" s="3356"/>
      <c r="AI154" s="3356"/>
      <c r="AJ154" s="3356"/>
    </row>
    <row r="155" spans="1:37" ht="16.5" customHeight="1">
      <c r="AH155" s="3356"/>
      <c r="AI155" s="3356"/>
      <c r="AJ155" s="3356"/>
    </row>
    <row r="156" spans="1:37" ht="16.5" customHeight="1">
      <c r="AH156" s="3356"/>
      <c r="AI156" s="3356"/>
      <c r="AJ156" s="3356"/>
    </row>
    <row r="157" spans="1:37" ht="16.5" customHeight="1">
      <c r="AH157" s="3356"/>
      <c r="AI157" s="3356"/>
      <c r="AJ157" s="3356"/>
    </row>
    <row r="158" spans="1:37" ht="16.5" customHeight="1">
      <c r="AH158" s="3356"/>
      <c r="AI158" s="3356"/>
      <c r="AJ158" s="3356"/>
    </row>
    <row r="159" spans="1:37" ht="16.5" customHeight="1">
      <c r="AH159" s="3356"/>
      <c r="AI159" s="3356"/>
      <c r="AJ159" s="3356"/>
    </row>
    <row r="160" spans="1:37" ht="16.5" customHeight="1">
      <c r="AH160" s="3356"/>
      <c r="AI160" s="3356"/>
      <c r="AJ160" s="3356"/>
    </row>
    <row r="161" spans="34:36" ht="16.5" customHeight="1">
      <c r="AH161" s="3356"/>
      <c r="AI161" s="3356"/>
      <c r="AJ161" s="3356"/>
    </row>
    <row r="162" spans="34:36" ht="16.5" customHeight="1">
      <c r="AH162" s="3356"/>
      <c r="AI162" s="3356"/>
      <c r="AJ162" s="3356"/>
    </row>
    <row r="163" spans="34:36" ht="16.5" customHeight="1">
      <c r="AH163" s="3356"/>
      <c r="AI163" s="3356"/>
      <c r="AJ163" s="3356"/>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H93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80" zoomScaleNormal="60" workbookViewId="0"/>
  </sheetViews>
  <sheetFormatPr defaultColWidth="8.69140625" defaultRowHeight="12.5"/>
  <cols>
    <col min="1" max="1" width="2.53515625" style="2416" customWidth="1"/>
    <col min="2" max="2" width="48.53515625" style="2416" customWidth="1"/>
    <col min="3" max="3" width="1.07421875" style="2416" customWidth="1"/>
    <col min="4" max="4" width="12.4609375" style="2416" bestFit="1" customWidth="1"/>
    <col min="5" max="5" width="1.69140625" style="2416" customWidth="1"/>
    <col min="6" max="6" width="12" style="2416" customWidth="1"/>
    <col min="7" max="7" width="1.69140625" style="2416" customWidth="1"/>
    <col min="8" max="8" width="12.07421875" style="2416" customWidth="1"/>
    <col min="9" max="9" width="1.69140625" style="2416" customWidth="1"/>
    <col min="10" max="10" width="13.69140625" style="2417" customWidth="1"/>
    <col min="11" max="11" width="1.69140625" style="2416" customWidth="1"/>
    <col min="12" max="12" width="12.07421875" style="2416" bestFit="1" customWidth="1"/>
    <col min="13" max="13" width="1.69140625" style="2416" customWidth="1"/>
    <col min="14" max="14" width="13.69140625" style="2416" customWidth="1"/>
    <col min="15" max="15" width="1.69140625" style="2416" customWidth="1"/>
    <col min="16" max="16" width="12.07421875" style="2418" customWidth="1"/>
    <col min="17" max="17" width="1.69140625" style="2416" customWidth="1"/>
    <col min="18" max="18" width="12.07421875" style="2416" customWidth="1"/>
    <col min="19" max="19" width="1.69140625" style="2416" customWidth="1"/>
    <col min="20" max="20" width="11.69140625" style="2416" customWidth="1"/>
    <col min="21" max="21" width="1.69140625" style="2416" customWidth="1"/>
    <col min="22" max="22" width="12.07421875" style="2416" customWidth="1"/>
    <col min="23" max="23" width="1.69140625" style="2416" customWidth="1"/>
    <col min="24" max="24" width="12.69140625" style="2416" customWidth="1"/>
    <col min="25" max="25" width="1.69140625" style="2416" customWidth="1"/>
    <col min="26" max="26" width="10.69140625" style="2416" customWidth="1"/>
    <col min="27" max="27" width="1.53515625" style="2416" customWidth="1"/>
    <col min="28" max="28" width="1.69140625" style="2416" customWidth="1"/>
    <col min="29" max="29" width="12.07421875" style="2418" bestFit="1" customWidth="1"/>
    <col min="30" max="30" width="1.4609375" style="2418" customWidth="1"/>
    <col min="31" max="31" width="1.07421875" style="2418" customWidth="1"/>
    <col min="32" max="32" width="12.07421875" style="2418" bestFit="1" customWidth="1"/>
    <col min="33" max="33" width="1" style="2416" customWidth="1"/>
    <col min="34" max="34" width="1.07421875" style="2416" customWidth="1"/>
    <col min="35" max="35" width="13.07421875" style="2416" bestFit="1" customWidth="1"/>
    <col min="36" max="36" width="1" style="2419" customWidth="1"/>
    <col min="37" max="37" width="13.69140625" style="2420" bestFit="1" customWidth="1"/>
    <col min="38" max="38" width="10.07421875" style="2416" customWidth="1"/>
    <col min="39" max="16384" width="8.69140625" style="2416"/>
  </cols>
  <sheetData>
    <row r="1" spans="1:37" ht="15.5">
      <c r="B1" s="2233" t="s">
        <v>963</v>
      </c>
    </row>
    <row r="2" spans="1:37">
      <c r="A2" s="2421"/>
      <c r="B2" s="2024"/>
      <c r="C2" s="2024"/>
      <c r="D2" s="2024"/>
      <c r="E2" s="2024"/>
      <c r="F2" s="2024"/>
      <c r="G2" s="2024"/>
      <c r="H2" s="2024"/>
      <c r="I2" s="2024"/>
      <c r="J2" s="2422"/>
      <c r="K2" s="2024"/>
      <c r="L2" s="2024"/>
      <c r="M2" s="2024"/>
      <c r="N2" s="2024"/>
      <c r="O2" s="2024"/>
      <c r="P2" s="2191"/>
      <c r="Q2" s="2024"/>
      <c r="R2" s="2024"/>
      <c r="S2" s="2024"/>
      <c r="T2" s="2024"/>
      <c r="U2" s="2024"/>
      <c r="V2" s="2024"/>
      <c r="W2" s="2024"/>
      <c r="X2" s="2024"/>
      <c r="Y2" s="2024"/>
      <c r="Z2" s="2024"/>
      <c r="AA2" s="2024"/>
      <c r="AB2" s="2024"/>
      <c r="AC2" s="2191"/>
      <c r="AD2" s="2191"/>
      <c r="AE2" s="2191"/>
      <c r="AF2" s="2191"/>
      <c r="AG2" s="2024"/>
      <c r="AH2" s="2423"/>
    </row>
    <row r="3" spans="1:37" ht="18">
      <c r="A3" s="2421"/>
      <c r="B3" s="2424" t="s">
        <v>0</v>
      </c>
      <c r="C3" s="2024"/>
      <c r="D3" s="2024"/>
      <c r="E3" s="2024"/>
      <c r="F3" s="2425"/>
      <c r="G3" s="2024"/>
      <c r="H3" s="2024"/>
      <c r="I3" s="2024"/>
      <c r="J3" s="2422"/>
      <c r="K3" s="2024"/>
      <c r="L3" s="2024"/>
      <c r="M3" s="2426"/>
      <c r="N3" s="2427"/>
      <c r="O3" s="2024"/>
      <c r="P3" s="2191"/>
      <c r="Q3" s="2024"/>
      <c r="R3" s="2024"/>
      <c r="S3" s="2024"/>
      <c r="T3" s="2024"/>
      <c r="U3" s="2024"/>
      <c r="V3" s="2024"/>
      <c r="W3" s="2024"/>
      <c r="X3" s="2024"/>
      <c r="Y3" s="2024"/>
      <c r="Z3" s="2024"/>
      <c r="AA3" s="2024"/>
      <c r="AB3" s="2024"/>
      <c r="AC3" s="2191"/>
      <c r="AD3" s="2191"/>
      <c r="AE3" s="2191"/>
      <c r="AF3" s="2191"/>
      <c r="AG3" s="2024"/>
      <c r="AH3" s="2423"/>
      <c r="AK3" s="2428" t="s">
        <v>147</v>
      </c>
    </row>
    <row r="4" spans="1:37" ht="18">
      <c r="A4" s="2421"/>
      <c r="B4" s="2429" t="s">
        <v>146</v>
      </c>
      <c r="C4" s="2024"/>
      <c r="D4" s="2024"/>
      <c r="E4" s="2024"/>
      <c r="F4" s="2425"/>
      <c r="G4" s="2024"/>
      <c r="H4" s="2024" t="s">
        <v>15</v>
      </c>
      <c r="I4" s="2024"/>
      <c r="J4" s="2422"/>
      <c r="K4" s="2024"/>
      <c r="L4" s="2024"/>
      <c r="M4" s="2426"/>
      <c r="N4" s="2427"/>
      <c r="O4" s="2024"/>
      <c r="P4" s="2191"/>
      <c r="Q4" s="2024"/>
      <c r="R4" s="2024"/>
      <c r="S4" s="2024"/>
      <c r="T4" s="2024"/>
      <c r="U4" s="2024"/>
      <c r="V4" s="2024"/>
      <c r="W4" s="2024"/>
      <c r="X4" s="2024"/>
      <c r="Y4" s="2024"/>
      <c r="Z4" s="2024"/>
      <c r="AA4" s="2024"/>
      <c r="AB4" s="2024"/>
      <c r="AC4" s="3149"/>
      <c r="AD4" s="3149"/>
      <c r="AE4" s="3149"/>
      <c r="AF4" s="3486"/>
      <c r="AG4" s="2430"/>
      <c r="AH4" s="2423"/>
    </row>
    <row r="5" spans="1:37" ht="18">
      <c r="A5" s="2421"/>
      <c r="B5" s="2429" t="s">
        <v>148</v>
      </c>
      <c r="C5" s="2024"/>
      <c r="D5" s="2024"/>
      <c r="E5" s="2024"/>
      <c r="F5" s="2425"/>
      <c r="G5" s="2024"/>
      <c r="H5" s="2024"/>
      <c r="I5" s="2024"/>
      <c r="J5" s="2422"/>
      <c r="K5" s="2024"/>
      <c r="L5" s="2024"/>
      <c r="M5" s="2426"/>
      <c r="N5" s="2427"/>
      <c r="O5" s="2024"/>
      <c r="P5" s="2191"/>
      <c r="Q5" s="2024"/>
      <c r="R5" s="2024"/>
      <c r="S5" s="2024"/>
      <c r="T5" s="2024"/>
      <c r="U5" s="2024"/>
      <c r="V5" s="2024"/>
      <c r="W5" s="2024"/>
      <c r="X5" s="2024"/>
      <c r="Y5" s="2024"/>
      <c r="Z5" s="2024"/>
      <c r="AA5" s="2024"/>
      <c r="AB5" s="2024"/>
      <c r="AD5" s="3150"/>
      <c r="AE5" s="3150"/>
      <c r="AH5" s="2423"/>
    </row>
    <row r="6" spans="1:37" ht="18" customHeight="1">
      <c r="A6" s="2421"/>
      <c r="B6" s="2431" t="str">
        <f>'Cashflow Governmental'!A6</f>
        <v xml:space="preserve">FISCAL YEAR 2020-2021   </v>
      </c>
      <c r="C6" s="2024"/>
      <c r="D6" s="2024"/>
      <c r="E6" s="2024"/>
      <c r="F6" s="2425"/>
      <c r="G6" s="2024"/>
      <c r="H6" s="2024"/>
      <c r="I6" s="2024"/>
      <c r="J6" s="2422"/>
      <c r="K6" s="2024"/>
      <c r="L6" s="2024"/>
      <c r="M6" s="2426"/>
      <c r="N6" s="2427"/>
      <c r="O6" s="2024"/>
      <c r="P6" s="2191"/>
      <c r="Q6" s="2024"/>
      <c r="R6" s="2024"/>
      <c r="S6" s="2024"/>
      <c r="T6" s="2024"/>
      <c r="U6" s="2024"/>
      <c r="V6" s="2024"/>
      <c r="W6" s="2024"/>
      <c r="X6" s="2024"/>
      <c r="Y6" s="2024"/>
      <c r="Z6" s="2024"/>
      <c r="AA6" s="2024"/>
      <c r="AB6" s="2024"/>
      <c r="AC6" s="2191"/>
      <c r="AD6" s="2191"/>
      <c r="AE6" s="2191"/>
      <c r="AF6" s="2191"/>
      <c r="AG6" s="2024"/>
      <c r="AH6" s="2423"/>
    </row>
    <row r="7" spans="1:37" ht="15" customHeight="1">
      <c r="A7" s="2421"/>
      <c r="B7" s="2429" t="s">
        <v>1365</v>
      </c>
      <c r="C7" s="2024"/>
      <c r="D7" s="2024"/>
      <c r="E7" s="2024"/>
      <c r="F7" s="2425"/>
      <c r="G7" s="2024"/>
      <c r="H7" s="2024"/>
      <c r="I7" s="2024"/>
      <c r="J7" s="2422"/>
      <c r="K7" s="2024"/>
      <c r="L7" s="2427"/>
      <c r="M7" s="2426"/>
      <c r="N7" s="2024"/>
      <c r="O7" s="2024"/>
      <c r="P7" s="3084"/>
      <c r="Q7" s="2024"/>
      <c r="R7" s="2024"/>
      <c r="S7" s="2024"/>
      <c r="T7" s="2024"/>
      <c r="U7" s="2024"/>
      <c r="V7" s="2024"/>
      <c r="W7" s="2024"/>
      <c r="X7" s="2024"/>
      <c r="Y7" s="2024"/>
      <c r="Z7" s="2024"/>
      <c r="AA7" s="2024"/>
      <c r="AB7" s="2024"/>
      <c r="AC7" s="2191"/>
      <c r="AD7" s="2191"/>
      <c r="AE7" s="2191"/>
      <c r="AF7" s="2191"/>
      <c r="AG7" s="2024"/>
      <c r="AH7" s="2423"/>
    </row>
    <row r="8" spans="1:37" ht="15.5">
      <c r="A8" s="2421"/>
      <c r="B8" s="2024"/>
      <c r="C8" s="2024"/>
      <c r="D8" s="2024"/>
      <c r="E8" s="2024"/>
      <c r="F8" s="2425"/>
      <c r="G8" s="2024"/>
      <c r="H8" s="2024"/>
      <c r="I8" s="2024"/>
      <c r="J8" s="2422"/>
      <c r="K8" s="2024"/>
      <c r="L8" s="2024"/>
      <c r="M8" s="2024"/>
      <c r="N8" s="2024"/>
      <c r="O8" s="2024"/>
      <c r="P8" s="2191"/>
      <c r="Q8" s="2024"/>
      <c r="R8" s="2024"/>
      <c r="S8" s="2024"/>
      <c r="T8" s="2024"/>
      <c r="U8" s="2024"/>
      <c r="V8" s="2024"/>
      <c r="W8" s="2024"/>
      <c r="X8" s="2024"/>
      <c r="Y8" s="2024"/>
      <c r="Z8" s="2024"/>
      <c r="AA8" s="2024"/>
      <c r="AB8" s="3933" t="str">
        <f>+'Cashflow Governmental'!AB12:AJ12</f>
        <v>7 Months Ended October 31</v>
      </c>
      <c r="AC8" s="3933"/>
      <c r="AD8" s="3933"/>
      <c r="AE8" s="3933"/>
      <c r="AF8" s="3933"/>
      <c r="AG8" s="3933"/>
      <c r="AH8" s="3933"/>
      <c r="AI8" s="3933"/>
      <c r="AJ8" s="3933"/>
      <c r="AK8" s="3933"/>
    </row>
    <row r="9" spans="1:37" ht="15" customHeight="1">
      <c r="A9" s="2421"/>
      <c r="B9" s="2021"/>
      <c r="C9" s="2021"/>
      <c r="D9" s="2432" t="str">
        <f>'Cashflow Governmental'!C13</f>
        <v>2020</v>
      </c>
      <c r="E9" s="2433"/>
      <c r="F9" s="2433"/>
      <c r="G9" s="2433"/>
      <c r="H9" s="2433"/>
      <c r="I9" s="2433"/>
      <c r="J9" s="2433"/>
      <c r="K9" s="2433"/>
      <c r="L9" s="2433"/>
      <c r="M9" s="2433"/>
      <c r="N9" s="2433"/>
      <c r="O9" s="2433"/>
      <c r="P9" s="3085"/>
      <c r="Q9" s="2433"/>
      <c r="R9" s="2433"/>
      <c r="S9" s="2433"/>
      <c r="T9" s="2433"/>
      <c r="U9" s="2433"/>
      <c r="V9" s="2432" t="str">
        <f>'Cashflow Governmental'!U13</f>
        <v>2021</v>
      </c>
      <c r="W9" s="2433"/>
      <c r="X9" s="2433"/>
      <c r="Y9" s="2433"/>
      <c r="Z9" s="2433"/>
      <c r="AA9" s="2427"/>
      <c r="AB9" s="2426"/>
      <c r="AC9" s="2436"/>
      <c r="AD9" s="1850"/>
      <c r="AE9" s="1850"/>
      <c r="AF9" s="2436"/>
      <c r="AG9" s="2434"/>
      <c r="AH9" s="2437"/>
      <c r="AI9" s="2438" t="s">
        <v>8</v>
      </c>
      <c r="AJ9" s="2434"/>
      <c r="AK9" s="2439" t="s">
        <v>9</v>
      </c>
    </row>
    <row r="10" spans="1:37" ht="15" customHeight="1">
      <c r="A10" s="2421"/>
      <c r="B10" s="2021"/>
      <c r="C10" s="2021"/>
      <c r="D10" s="2440" t="s">
        <v>124</v>
      </c>
      <c r="E10" s="2426"/>
      <c r="F10" s="2441" t="s">
        <v>125</v>
      </c>
      <c r="G10" s="2426"/>
      <c r="H10" s="2441" t="s">
        <v>126</v>
      </c>
      <c r="I10" s="2426"/>
      <c r="J10" s="2442" t="s">
        <v>127</v>
      </c>
      <c r="K10" s="2426"/>
      <c r="L10" s="2443" t="s">
        <v>128</v>
      </c>
      <c r="M10" s="2426"/>
      <c r="N10" s="2443" t="s">
        <v>143</v>
      </c>
      <c r="O10" s="2426"/>
      <c r="P10" s="2588" t="s">
        <v>144</v>
      </c>
      <c r="Q10" s="2426"/>
      <c r="R10" s="2443" t="s">
        <v>131</v>
      </c>
      <c r="S10" s="2426"/>
      <c r="T10" s="2443" t="s">
        <v>132</v>
      </c>
      <c r="U10" s="2426"/>
      <c r="V10" s="2443" t="s">
        <v>133</v>
      </c>
      <c r="W10" s="2426"/>
      <c r="X10" s="2443" t="s">
        <v>134</v>
      </c>
      <c r="Y10" s="2426"/>
      <c r="Z10" s="2443" t="s">
        <v>185</v>
      </c>
      <c r="AA10" s="2439"/>
      <c r="AB10" s="2426"/>
      <c r="AC10" s="3151">
        <f>'Cashflow Governmental'!AB14</f>
        <v>2020</v>
      </c>
      <c r="AD10" s="2552" t="s">
        <v>15</v>
      </c>
      <c r="AE10" s="2552"/>
      <c r="AF10" s="3151">
        <f>'Cashflow Governmental'!AE14</f>
        <v>2019</v>
      </c>
      <c r="AG10" s="2444"/>
      <c r="AH10" s="2437"/>
      <c r="AI10" s="2445" t="s">
        <v>12</v>
      </c>
      <c r="AJ10" s="2427"/>
      <c r="AK10" s="2446" t="s">
        <v>13</v>
      </c>
    </row>
    <row r="11" spans="1:37" ht="5.25" customHeight="1">
      <c r="A11" s="2421"/>
      <c r="B11" s="2021"/>
      <c r="C11" s="2021"/>
      <c r="D11" s="2447" t="s">
        <v>15</v>
      </c>
      <c r="E11" s="2021"/>
      <c r="F11" s="2448"/>
      <c r="G11" s="2021"/>
      <c r="H11" s="2447"/>
      <c r="I11" s="2021"/>
      <c r="J11" s="2050"/>
      <c r="K11" s="2021"/>
      <c r="L11" s="2447"/>
      <c r="M11" s="2021"/>
      <c r="N11" s="2447"/>
      <c r="O11" s="2021"/>
      <c r="P11" s="3054"/>
      <c r="Q11" s="2021"/>
      <c r="R11" s="2447"/>
      <c r="S11" s="2021"/>
      <c r="T11" s="2447"/>
      <c r="U11" s="2021"/>
      <c r="V11" s="2447"/>
      <c r="W11" s="2021"/>
      <c r="X11" s="2447"/>
      <c r="Y11" s="2021"/>
      <c r="Z11" s="2447"/>
      <c r="AA11" s="2020"/>
      <c r="AB11" s="2021"/>
      <c r="AC11" s="2183"/>
      <c r="AD11" s="2184"/>
      <c r="AE11" s="2184"/>
      <c r="AF11" s="2183"/>
      <c r="AG11" s="2020"/>
      <c r="AH11" s="2449"/>
    </row>
    <row r="12" spans="1:37" ht="15" customHeight="1">
      <c r="A12" s="2450"/>
      <c r="B12" s="2451" t="s">
        <v>136</v>
      </c>
      <c r="C12" s="2043"/>
      <c r="D12" s="2452">
        <v>8944.2000000000007</v>
      </c>
      <c r="E12" s="2453"/>
      <c r="F12" s="2454">
        <f>D139</f>
        <v>10082.5</v>
      </c>
      <c r="G12" s="2453"/>
      <c r="H12" s="2454">
        <f>F139</f>
        <v>7310.2</v>
      </c>
      <c r="I12" s="2453"/>
      <c r="J12" s="2454">
        <f>H139</f>
        <v>6863.6</v>
      </c>
      <c r="K12" s="2453"/>
      <c r="L12" s="2454">
        <f>J139</f>
        <v>14383</v>
      </c>
      <c r="M12" s="2453"/>
      <c r="N12" s="2454">
        <f>L139</f>
        <v>13522.7</v>
      </c>
      <c r="O12" s="2453"/>
      <c r="P12" s="2028">
        <f>N139</f>
        <v>15441.8</v>
      </c>
      <c r="Q12" s="2453"/>
      <c r="R12" s="2028"/>
      <c r="S12" s="2453"/>
      <c r="T12" s="2454"/>
      <c r="U12" s="2453"/>
      <c r="V12" s="2454"/>
      <c r="W12" s="2454"/>
      <c r="X12" s="2454"/>
      <c r="Y12" s="2453"/>
      <c r="Z12" s="2454"/>
      <c r="AA12" s="2453"/>
      <c r="AB12" s="2455"/>
      <c r="AC12" s="2028">
        <f>D12</f>
        <v>8944.2000000000007</v>
      </c>
      <c r="AD12" s="2456"/>
      <c r="AE12" s="3152"/>
      <c r="AF12" s="3470">
        <v>7205.7</v>
      </c>
      <c r="AG12" s="2453"/>
      <c r="AH12" s="2457"/>
      <c r="AI12" s="2454">
        <f>ROUND(SUM(+AC12-AF12),1)</f>
        <v>1738.5</v>
      </c>
      <c r="AJ12" s="2458"/>
      <c r="AK12" s="1429">
        <f>ROUND(IF(AF12=0,0,AI12/ABS(AF12)),3)</f>
        <v>0.24099999999999999</v>
      </c>
    </row>
    <row r="13" spans="1:37" ht="15" customHeight="1">
      <c r="A13" s="2450"/>
      <c r="B13" s="2043"/>
      <c r="C13" s="2043"/>
      <c r="D13" s="2043"/>
      <c r="E13" s="2043"/>
      <c r="F13" s="2459"/>
      <c r="G13" s="2043"/>
      <c r="H13" s="2459"/>
      <c r="I13" s="2043"/>
      <c r="J13" s="1994"/>
      <c r="K13" s="2043"/>
      <c r="L13" s="2459"/>
      <c r="M13" s="2043"/>
      <c r="N13" s="2021"/>
      <c r="O13" s="2043"/>
      <c r="P13" s="2184"/>
      <c r="Q13" s="2043"/>
      <c r="R13" s="2021"/>
      <c r="S13" s="2043"/>
      <c r="T13" s="2021"/>
      <c r="U13" s="2043"/>
      <c r="V13" s="2021"/>
      <c r="W13" s="2043"/>
      <c r="X13" s="2021"/>
      <c r="Y13" s="2043"/>
      <c r="Z13" s="2021"/>
      <c r="AA13" s="2021"/>
      <c r="AB13" s="2042"/>
      <c r="AC13" s="2184"/>
      <c r="AD13" s="2464"/>
      <c r="AE13" s="3153"/>
      <c r="AF13" s="2184"/>
      <c r="AG13" s="2021"/>
      <c r="AH13" s="2449"/>
      <c r="AI13" s="2024"/>
      <c r="AJ13" s="2460"/>
      <c r="AK13" s="1447"/>
    </row>
    <row r="14" spans="1:37" ht="15" customHeight="1">
      <c r="A14" s="2450"/>
      <c r="B14" s="2426" t="s">
        <v>14</v>
      </c>
      <c r="C14" s="2043"/>
      <c r="D14" s="2043"/>
      <c r="E14" s="2043"/>
      <c r="F14" s="2021"/>
      <c r="G14" s="2043"/>
      <c r="H14" s="2021"/>
      <c r="I14" s="2043"/>
      <c r="J14" s="1994"/>
      <c r="K14" s="2043"/>
      <c r="L14" s="2021"/>
      <c r="M14" s="2043"/>
      <c r="N14" s="2021"/>
      <c r="O14" s="2043"/>
      <c r="P14" s="2184"/>
      <c r="Q14" s="2043"/>
      <c r="R14" s="2021"/>
      <c r="S14" s="2043"/>
      <c r="T14" s="2021"/>
      <c r="U14" s="2043"/>
      <c r="V14" s="2021"/>
      <c r="W14" s="2043"/>
      <c r="X14" s="2021"/>
      <c r="Y14" s="2043"/>
      <c r="Z14" s="2021"/>
      <c r="AA14" s="2021"/>
      <c r="AB14" s="2042"/>
      <c r="AC14" s="2184"/>
      <c r="AD14" s="2464"/>
      <c r="AE14" s="3153"/>
      <c r="AF14" s="2184"/>
      <c r="AG14" s="2021"/>
      <c r="AH14" s="2449"/>
      <c r="AI14" s="2024"/>
      <c r="AJ14" s="2460"/>
      <c r="AK14" s="1447"/>
    </row>
    <row r="15" spans="1:37" ht="15" customHeight="1">
      <c r="A15" s="2450"/>
      <c r="B15" s="2461" t="s">
        <v>1078</v>
      </c>
      <c r="C15" s="2043"/>
      <c r="D15" s="2043"/>
      <c r="E15" s="2043"/>
      <c r="F15" s="2021"/>
      <c r="G15" s="2043"/>
      <c r="H15" s="2021"/>
      <c r="I15" s="2043"/>
      <c r="J15" s="1994"/>
      <c r="K15" s="2043"/>
      <c r="L15" s="2021"/>
      <c r="M15" s="2043"/>
      <c r="N15" s="2021"/>
      <c r="O15" s="2043"/>
      <c r="P15" s="2184"/>
      <c r="Q15" s="2043"/>
      <c r="R15" s="2021"/>
      <c r="S15" s="2043"/>
      <c r="T15" s="2021"/>
      <c r="U15" s="2043"/>
      <c r="V15" s="2021"/>
      <c r="W15" s="2043"/>
      <c r="X15" s="2021"/>
      <c r="Y15" s="2043"/>
      <c r="Z15" s="2021"/>
      <c r="AA15" s="2021"/>
      <c r="AB15" s="2042"/>
      <c r="AC15" s="2184"/>
      <c r="AD15" s="2464"/>
      <c r="AE15" s="3153"/>
      <c r="AF15" s="2184"/>
      <c r="AG15" s="2021"/>
      <c r="AH15" s="2449"/>
      <c r="AI15" s="2024"/>
      <c r="AJ15" s="2460"/>
      <c r="AK15" s="1447"/>
    </row>
    <row r="16" spans="1:37" ht="15" customHeight="1">
      <c r="A16" s="2450"/>
      <c r="B16" s="2462" t="s">
        <v>1143</v>
      </c>
      <c r="C16" s="2043"/>
      <c r="D16" s="2043"/>
      <c r="E16" s="2043"/>
      <c r="F16" s="2021"/>
      <c r="G16" s="2043"/>
      <c r="H16" s="2021"/>
      <c r="I16" s="2043"/>
      <c r="J16" s="1994"/>
      <c r="K16" s="2043"/>
      <c r="L16" s="2021"/>
      <c r="M16" s="2043"/>
      <c r="N16" s="2021"/>
      <c r="O16" s="2043"/>
      <c r="P16" s="2184"/>
      <c r="Q16" s="2043"/>
      <c r="R16" s="2021"/>
      <c r="S16" s="2043"/>
      <c r="T16" s="2021"/>
      <c r="U16" s="2043"/>
      <c r="V16" s="2021"/>
      <c r="W16" s="2043"/>
      <c r="X16" s="2021"/>
      <c r="Y16" s="2043"/>
      <c r="Z16" s="2021"/>
      <c r="AA16" s="2021"/>
      <c r="AB16" s="2042"/>
      <c r="AC16" s="2184"/>
      <c r="AD16" s="2464"/>
      <c r="AE16" s="3153"/>
      <c r="AF16" s="2184"/>
      <c r="AG16" s="2021"/>
      <c r="AH16" s="2449"/>
      <c r="AI16" s="2024"/>
      <c r="AJ16" s="2460"/>
      <c r="AK16" s="1447"/>
    </row>
    <row r="17" spans="1:38" s="2418" customFormat="1" ht="15" customHeight="1">
      <c r="A17" s="2463"/>
      <c r="B17" s="2334" t="s">
        <v>1084</v>
      </c>
      <c r="C17" s="2464"/>
      <c r="D17" s="1788">
        <v>3187.3</v>
      </c>
      <c r="E17" s="1487"/>
      <c r="F17" s="1788">
        <v>2928.2999999999993</v>
      </c>
      <c r="G17" s="1487"/>
      <c r="H17" s="1788">
        <v>3096.3</v>
      </c>
      <c r="I17" s="2465"/>
      <c r="J17" s="1788">
        <v>3400.300000000002</v>
      </c>
      <c r="K17" s="1788"/>
      <c r="L17" s="1788">
        <v>2876.5999999999985</v>
      </c>
      <c r="M17" s="1997"/>
      <c r="N17" s="1788">
        <v>3147.2</v>
      </c>
      <c r="O17" s="1997"/>
      <c r="P17" s="1788">
        <f>$AC17-$D17-$F17-$H17-$J17-$L17-$N17</f>
        <v>2919.5000000000009</v>
      </c>
      <c r="Q17" s="1997"/>
      <c r="R17" s="1788"/>
      <c r="S17" s="1997"/>
      <c r="T17" s="1788"/>
      <c r="U17" s="1997"/>
      <c r="V17" s="1788"/>
      <c r="W17" s="1997"/>
      <c r="X17" s="1788"/>
      <c r="Y17" s="1997"/>
      <c r="Z17" s="1788"/>
      <c r="AA17" s="1998"/>
      <c r="AB17" s="2001"/>
      <c r="AC17" s="1804">
        <v>21555.5</v>
      </c>
      <c r="AD17" s="2040"/>
      <c r="AE17" s="2001" t="s">
        <v>15</v>
      </c>
      <c r="AF17" s="1804">
        <v>21800.7</v>
      </c>
      <c r="AG17" s="2184"/>
      <c r="AH17" s="2466"/>
      <c r="AI17" s="1999">
        <f>ROUND(SUM(+AC17-AF17),1)</f>
        <v>-245.2</v>
      </c>
      <c r="AJ17" s="2467"/>
      <c r="AK17" s="1723">
        <f t="shared" ref="AK17:AK21" si="0">ROUND(IF(AF17=0,0,AI17/ABS(AF17)),3)</f>
        <v>-1.0999999999999999E-2</v>
      </c>
      <c r="AL17" s="2416"/>
    </row>
    <row r="18" spans="1:38" s="2418" customFormat="1" ht="15" customHeight="1">
      <c r="A18" s="2463"/>
      <c r="B18" s="2334" t="s">
        <v>1354</v>
      </c>
      <c r="C18" s="2464"/>
      <c r="D18" s="1788">
        <v>211.6</v>
      </c>
      <c r="E18" s="1419"/>
      <c r="F18" s="1788">
        <v>70.900000000000006</v>
      </c>
      <c r="G18" s="1419"/>
      <c r="H18" s="1788">
        <v>1493</v>
      </c>
      <c r="I18" s="2468"/>
      <c r="J18" s="1788">
        <v>6329</v>
      </c>
      <c r="K18" s="1997"/>
      <c r="L18" s="1788">
        <v>121.3</v>
      </c>
      <c r="M18" s="1997"/>
      <c r="N18" s="1788">
        <v>2510</v>
      </c>
      <c r="O18" s="1997"/>
      <c r="P18" s="1788">
        <f t="shared" ref="P18:P21" si="1">$AC18-$D18-$F18-$H18-$J18-$L18-$N18</f>
        <v>176.80000000000018</v>
      </c>
      <c r="Q18" s="1997"/>
      <c r="R18" s="1788"/>
      <c r="S18" s="1997"/>
      <c r="T18" s="1788"/>
      <c r="U18" s="1997"/>
      <c r="V18" s="1788"/>
      <c r="W18" s="1997"/>
      <c r="X18" s="1788"/>
      <c r="Y18" s="1997"/>
      <c r="Z18" s="1788"/>
      <c r="AA18" s="1998"/>
      <c r="AB18" s="2001"/>
      <c r="AC18" s="1804">
        <v>10912.6</v>
      </c>
      <c r="AD18" s="2040"/>
      <c r="AE18" s="2001" t="s">
        <v>15</v>
      </c>
      <c r="AF18" s="1804">
        <v>12482.5</v>
      </c>
      <c r="AG18" s="2184"/>
      <c r="AH18" s="2466"/>
      <c r="AI18" s="1999">
        <f>ROUND(SUM(+AC18-AF18),1)</f>
        <v>-1569.9</v>
      </c>
      <c r="AJ18" s="2467"/>
      <c r="AK18" s="1723">
        <f t="shared" si="0"/>
        <v>-0.126</v>
      </c>
      <c r="AL18" s="2416"/>
    </row>
    <row r="19" spans="1:38" s="2418" customFormat="1" ht="15" customHeight="1">
      <c r="A19" s="2463"/>
      <c r="B19" s="2334" t="s">
        <v>1085</v>
      </c>
      <c r="C19" s="2464"/>
      <c r="D19" s="1788">
        <v>339.1</v>
      </c>
      <c r="E19" s="1419"/>
      <c r="F19" s="1788">
        <v>124.69999999999999</v>
      </c>
      <c r="G19" s="1419"/>
      <c r="H19" s="1788">
        <v>260.90000000000003</v>
      </c>
      <c r="I19" s="2468"/>
      <c r="J19" s="1788">
        <v>1765.1000000000001</v>
      </c>
      <c r="K19" s="1997"/>
      <c r="L19" s="1788">
        <v>69.299999999999955</v>
      </c>
      <c r="M19" s="1997"/>
      <c r="N19" s="1788">
        <v>83.4</v>
      </c>
      <c r="O19" s="1997"/>
      <c r="P19" s="1788">
        <f t="shared" si="1"/>
        <v>528.00000000000011</v>
      </c>
      <c r="Q19" s="1997"/>
      <c r="R19" s="1788"/>
      <c r="S19" s="1997"/>
      <c r="T19" s="1788"/>
      <c r="U19" s="1997"/>
      <c r="V19" s="1788"/>
      <c r="W19" s="1997"/>
      <c r="X19" s="1788"/>
      <c r="Y19" s="1997"/>
      <c r="Z19" s="1788"/>
      <c r="AA19" s="1998"/>
      <c r="AB19" s="2001"/>
      <c r="AC19" s="1804">
        <v>3170.5</v>
      </c>
      <c r="AD19" s="2040"/>
      <c r="AE19" s="2001" t="s">
        <v>15</v>
      </c>
      <c r="AF19" s="1804">
        <v>3131.7</v>
      </c>
      <c r="AG19" s="2184"/>
      <c r="AH19" s="2466"/>
      <c r="AI19" s="1999">
        <f>ROUND(SUM(+AC19-AF19),1)</f>
        <v>38.799999999999997</v>
      </c>
      <c r="AJ19" s="2467"/>
      <c r="AK19" s="1723">
        <f t="shared" si="0"/>
        <v>1.2E-2</v>
      </c>
      <c r="AL19" s="2416"/>
    </row>
    <row r="20" spans="1:38" s="2418" customFormat="1" ht="15" customHeight="1">
      <c r="A20" s="2463"/>
      <c r="B20" s="2469" t="s">
        <v>1086</v>
      </c>
      <c r="C20" s="2464"/>
      <c r="D20" s="1788">
        <v>-69.8</v>
      </c>
      <c r="E20" s="1419"/>
      <c r="F20" s="1788">
        <v>-39.799999999999997</v>
      </c>
      <c r="G20" s="1419"/>
      <c r="H20" s="1788">
        <v>-58.400000000000006</v>
      </c>
      <c r="I20" s="2468"/>
      <c r="J20" s="1788">
        <v>-186.99999999999997</v>
      </c>
      <c r="K20" s="1997"/>
      <c r="L20" s="1788">
        <v>-28.100000000000023</v>
      </c>
      <c r="M20" s="1997"/>
      <c r="N20" s="1788">
        <v>-71.7</v>
      </c>
      <c r="O20" s="1997"/>
      <c r="P20" s="1788">
        <f t="shared" si="1"/>
        <v>-444.90000000000015</v>
      </c>
      <c r="Q20" s="1997"/>
      <c r="R20" s="1788"/>
      <c r="S20" s="1997"/>
      <c r="T20" s="1788"/>
      <c r="U20" s="1997"/>
      <c r="V20" s="1788"/>
      <c r="W20" s="1997"/>
      <c r="X20" s="1788"/>
      <c r="Y20" s="1997"/>
      <c r="Z20" s="1788"/>
      <c r="AA20" s="1998"/>
      <c r="AB20" s="2001"/>
      <c r="AC20" s="1804">
        <v>-899.7</v>
      </c>
      <c r="AD20" s="2040"/>
      <c r="AE20" s="2001" t="s">
        <v>15</v>
      </c>
      <c r="AF20" s="1804">
        <v>-918.4</v>
      </c>
      <c r="AG20" s="2184"/>
      <c r="AH20" s="2466"/>
      <c r="AI20" s="1999">
        <f>-ROUND(SUM(+AC20-AF20),1)</f>
        <v>-18.7</v>
      </c>
      <c r="AJ20" s="2467"/>
      <c r="AK20" s="1723">
        <f t="shared" si="0"/>
        <v>-0.02</v>
      </c>
      <c r="AL20" s="2416"/>
    </row>
    <row r="21" spans="1:38" s="2418" customFormat="1" ht="15" customHeight="1">
      <c r="A21" s="2463"/>
      <c r="B21" s="2469" t="s">
        <v>1353</v>
      </c>
      <c r="C21" s="2464"/>
      <c r="D21" s="1788">
        <v>107.4</v>
      </c>
      <c r="E21" s="1419"/>
      <c r="F21" s="1788">
        <v>60.099999999999994</v>
      </c>
      <c r="G21" s="1419"/>
      <c r="H21" s="1788">
        <v>63</v>
      </c>
      <c r="I21" s="2468"/>
      <c r="J21" s="1788">
        <v>103.10000000000002</v>
      </c>
      <c r="K21" s="1997"/>
      <c r="L21" s="1788">
        <v>75.000000000000028</v>
      </c>
      <c r="M21" s="1997"/>
      <c r="N21" s="1788">
        <v>97.9</v>
      </c>
      <c r="O21" s="1997"/>
      <c r="P21" s="1788">
        <f t="shared" si="1"/>
        <v>133.2999999999999</v>
      </c>
      <c r="Q21" s="1997"/>
      <c r="R21" s="1788"/>
      <c r="S21" s="1997"/>
      <c r="T21" s="1788"/>
      <c r="U21" s="1997"/>
      <c r="V21" s="1788"/>
      <c r="W21" s="1997"/>
      <c r="X21" s="1788"/>
      <c r="Y21" s="1997"/>
      <c r="Z21" s="1788"/>
      <c r="AA21" s="1998"/>
      <c r="AB21" s="2001"/>
      <c r="AC21" s="1804">
        <v>639.79999999999995</v>
      </c>
      <c r="AD21" s="2040"/>
      <c r="AE21" s="2001" t="s">
        <v>15</v>
      </c>
      <c r="AF21" s="1804">
        <v>752.7</v>
      </c>
      <c r="AG21" s="2184"/>
      <c r="AH21" s="2466"/>
      <c r="AI21" s="1999">
        <f>ROUND(SUM(+AC21-AF21),1)</f>
        <v>-112.9</v>
      </c>
      <c r="AJ21" s="2467"/>
      <c r="AK21" s="1723">
        <f t="shared" si="0"/>
        <v>-0.15</v>
      </c>
      <c r="AL21" s="2416"/>
    </row>
    <row r="22" spans="1:38" ht="15" customHeight="1">
      <c r="A22" s="2450"/>
      <c r="B22" s="2315" t="s">
        <v>1087</v>
      </c>
      <c r="C22" s="2043"/>
      <c r="D22" s="2470">
        <f>ROUND(SUM(D17:D21),1)</f>
        <v>3775.6</v>
      </c>
      <c r="E22" s="2468"/>
      <c r="F22" s="2471">
        <f>ROUND(SUM(F17:F21),1)</f>
        <v>3144.2</v>
      </c>
      <c r="G22" s="2468"/>
      <c r="H22" s="2470">
        <f>ROUND(SUM(H17:H21),1)</f>
        <v>4854.8</v>
      </c>
      <c r="I22" s="2468"/>
      <c r="J22" s="2471">
        <f>ROUND(SUM(J17:J21),1)</f>
        <v>11410.5</v>
      </c>
      <c r="K22" s="2043"/>
      <c r="L22" s="2041">
        <f>ROUND(SUM(L17:L21),1)</f>
        <v>3114.1</v>
      </c>
      <c r="M22" s="2043"/>
      <c r="N22" s="2041">
        <f>ROUND(SUM(N17:N21),1)</f>
        <v>5766.8</v>
      </c>
      <c r="O22" s="2005"/>
      <c r="P22" s="2041">
        <f>ROUND(SUM(P17:P21),1)</f>
        <v>3312.7</v>
      </c>
      <c r="Q22" s="2005"/>
      <c r="R22" s="2041">
        <f>ROUND(SUM(R17:R21),1)</f>
        <v>0</v>
      </c>
      <c r="S22" s="2005"/>
      <c r="T22" s="2041">
        <f>ROUND(SUM(T17:T21),1)</f>
        <v>0</v>
      </c>
      <c r="U22" s="2005"/>
      <c r="V22" s="2041">
        <f>ROUND(SUM(V17:V21),1)</f>
        <v>0</v>
      </c>
      <c r="W22" s="2005"/>
      <c r="X22" s="2041">
        <f>ROUND(SUM(X17:X21),1)</f>
        <v>0</v>
      </c>
      <c r="Y22" s="2005"/>
      <c r="Z22" s="2041">
        <f>ROUND(SUM(Z17:Z21),1)</f>
        <v>0</v>
      </c>
      <c r="AA22" s="2021"/>
      <c r="AB22" s="2042"/>
      <c r="AC22" s="3154">
        <f>ROUND(SUM(AC17:AC21),1)</f>
        <v>35378.699999999997</v>
      </c>
      <c r="AD22" s="2464"/>
      <c r="AE22" s="3155" t="s">
        <v>15</v>
      </c>
      <c r="AF22" s="1458">
        <f>ROUND(SUM(AF17:AF21),1)</f>
        <v>37249.199999999997</v>
      </c>
      <c r="AG22" s="2021"/>
      <c r="AH22" s="2449"/>
      <c r="AI22" s="2041">
        <f>ROUND(SUM(AC22-AF22),1)</f>
        <v>-1870.5</v>
      </c>
      <c r="AJ22" s="2460"/>
      <c r="AK22" s="1443">
        <f>ROUND(SUM(+AI22/AF22),3)</f>
        <v>-0.05</v>
      </c>
    </row>
    <row r="23" spans="1:38" s="2418" customFormat="1" ht="15" customHeight="1">
      <c r="A23" s="2463"/>
      <c r="B23" s="2469" t="s">
        <v>1089</v>
      </c>
      <c r="C23" s="2464"/>
      <c r="D23" s="1788">
        <v>0</v>
      </c>
      <c r="E23" s="1419"/>
      <c r="F23" s="1788">
        <v>0</v>
      </c>
      <c r="G23" s="1419"/>
      <c r="H23" s="1788">
        <v>0</v>
      </c>
      <c r="I23" s="2468"/>
      <c r="J23" s="1788">
        <v>0</v>
      </c>
      <c r="K23" s="1997"/>
      <c r="L23" s="1788">
        <v>0</v>
      </c>
      <c r="M23" s="1997"/>
      <c r="N23" s="1788">
        <v>-0.1</v>
      </c>
      <c r="O23" s="1997"/>
      <c r="P23" s="1788">
        <f>$AC23-$D23-$F23-$H23-$J23-$L23-$N23</f>
        <v>-0.1</v>
      </c>
      <c r="Q23" s="1997"/>
      <c r="R23" s="1788"/>
      <c r="S23" s="1997"/>
      <c r="T23" s="1788"/>
      <c r="U23" s="1997"/>
      <c r="V23" s="1788"/>
      <c r="W23" s="1997"/>
      <c r="X23" s="1788"/>
      <c r="Y23" s="1997"/>
      <c r="Z23" s="1788"/>
      <c r="AA23" s="1998"/>
      <c r="AB23" s="2001"/>
      <c r="AC23" s="1804">
        <v>-0.2</v>
      </c>
      <c r="AD23" s="2040"/>
      <c r="AE23" s="2001" t="s">
        <v>15</v>
      </c>
      <c r="AF23" s="1804">
        <v>-0.2</v>
      </c>
      <c r="AG23" s="2184"/>
      <c r="AH23" s="2466"/>
      <c r="AI23" s="1999">
        <f>-ROUND(SUM(+AC23-AF23),1)</f>
        <v>0</v>
      </c>
      <c r="AJ23" s="2467"/>
      <c r="AK23" s="1436">
        <f>ROUND(IF(AF23=0,1,AI23/ABS(AF23)),3)</f>
        <v>0</v>
      </c>
      <c r="AL23" s="2416"/>
    </row>
    <row r="24" spans="1:38" s="2418" customFormat="1" ht="15" customHeight="1">
      <c r="A24" s="2463"/>
      <c r="B24" s="2469" t="s">
        <v>1090</v>
      </c>
      <c r="C24" s="2464"/>
      <c r="D24" s="1788">
        <v>-1033.0999999999999</v>
      </c>
      <c r="E24" s="1419"/>
      <c r="F24" s="1788">
        <v>-1099.5999999999999</v>
      </c>
      <c r="G24" s="1419"/>
      <c r="H24" s="1788">
        <v>-2184.1999999999998</v>
      </c>
      <c r="I24" s="2468"/>
      <c r="J24" s="1788">
        <v>-5115.3999999999987</v>
      </c>
      <c r="K24" s="1997"/>
      <c r="L24" s="1788">
        <v>-1361.5</v>
      </c>
      <c r="M24" s="1997"/>
      <c r="N24" s="1788">
        <v>-2635.7</v>
      </c>
      <c r="O24" s="1997"/>
      <c r="P24" s="1788">
        <f t="shared" ref="P24:P25" si="2">$AC24-$D24-$F24-$H24-$J24-$L24-$N24</f>
        <v>-1265.7999999999993</v>
      </c>
      <c r="Q24" s="1997"/>
      <c r="R24" s="1788"/>
      <c r="S24" s="1997"/>
      <c r="T24" s="1788"/>
      <c r="U24" s="1997"/>
      <c r="V24" s="1788"/>
      <c r="W24" s="1997"/>
      <c r="X24" s="1788"/>
      <c r="Y24" s="1997"/>
      <c r="Z24" s="1788"/>
      <c r="AA24" s="1998"/>
      <c r="AB24" s="2001"/>
      <c r="AC24" s="1804">
        <v>-14695.3</v>
      </c>
      <c r="AD24" s="2040"/>
      <c r="AE24" s="2001" t="s">
        <v>15</v>
      </c>
      <c r="AF24" s="1804">
        <v>-15279.9</v>
      </c>
      <c r="AG24" s="2184"/>
      <c r="AH24" s="2466"/>
      <c r="AI24" s="1999">
        <f>-ROUND(SUM(+AC24-AF24),1)</f>
        <v>-584.6</v>
      </c>
      <c r="AJ24" s="2467"/>
      <c r="AK24" s="1723">
        <f>ROUND(IF(AF24=0,0,AI24/ABS(AF24)),3)</f>
        <v>-3.7999999999999999E-2</v>
      </c>
      <c r="AL24" s="2416"/>
    </row>
    <row r="25" spans="1:38" s="2418" customFormat="1" ht="15" customHeight="1">
      <c r="A25" s="2463"/>
      <c r="B25" s="2334" t="s">
        <v>1355</v>
      </c>
      <c r="C25" s="2464"/>
      <c r="D25" s="1788">
        <v>-1709.4</v>
      </c>
      <c r="E25" s="1419"/>
      <c r="F25" s="1788">
        <v>-945</v>
      </c>
      <c r="G25" s="1419"/>
      <c r="H25" s="1788">
        <v>-486.29999999999973</v>
      </c>
      <c r="I25" s="2468"/>
      <c r="J25" s="1788">
        <v>-1179.8000000000002</v>
      </c>
      <c r="K25" s="1997"/>
      <c r="L25" s="1788">
        <v>-391.1</v>
      </c>
      <c r="M25" s="1997"/>
      <c r="N25" s="1788">
        <v>-495.4</v>
      </c>
      <c r="O25" s="1997"/>
      <c r="P25" s="1788">
        <f t="shared" si="2"/>
        <v>-781.10000000000093</v>
      </c>
      <c r="Q25" s="1997"/>
      <c r="R25" s="1788"/>
      <c r="S25" s="1997"/>
      <c r="T25" s="1788"/>
      <c r="U25" s="1997"/>
      <c r="V25" s="1788"/>
      <c r="W25" s="1997"/>
      <c r="X25" s="1788"/>
      <c r="Y25" s="1997"/>
      <c r="Z25" s="1788"/>
      <c r="AA25" s="1998"/>
      <c r="AB25" s="2001"/>
      <c r="AC25" s="1804">
        <v>-5988.1</v>
      </c>
      <c r="AD25" s="2040"/>
      <c r="AE25" s="2001" t="s">
        <v>15</v>
      </c>
      <c r="AF25" s="1804">
        <v>-6689.4</v>
      </c>
      <c r="AG25" s="2184"/>
      <c r="AH25" s="2466"/>
      <c r="AI25" s="1999">
        <f>-ROUND(SUM(+AC25-AF25),1)</f>
        <v>-701.3</v>
      </c>
      <c r="AJ25" s="2467"/>
      <c r="AK25" s="1723">
        <f>ROUND(IF(AF25=0,0,AI25/ABS(AF25)),3)</f>
        <v>-0.105</v>
      </c>
      <c r="AL25" s="2416"/>
    </row>
    <row r="26" spans="1:38" ht="15" customHeight="1">
      <c r="A26" s="2450"/>
      <c r="B26" s="2472" t="s">
        <v>1088</v>
      </c>
      <c r="C26" s="2021"/>
      <c r="D26" s="2473">
        <f>ROUND(SUM(D22:D25),1)</f>
        <v>1033.0999999999999</v>
      </c>
      <c r="E26" s="1441"/>
      <c r="F26" s="2474">
        <f>ROUND(SUM(F22+F23+F24+F25),1)</f>
        <v>1099.5999999999999</v>
      </c>
      <c r="G26" s="1441"/>
      <c r="H26" s="2473">
        <f>ROUND(SUM(H22+H23+H24+H25),1)</f>
        <v>2184.3000000000002</v>
      </c>
      <c r="I26" s="1441"/>
      <c r="J26" s="2474">
        <f>ROUND(SUM(J22+J23+J24+J25),1)</f>
        <v>5115.3</v>
      </c>
      <c r="K26" s="2005"/>
      <c r="L26" s="2041">
        <f>ROUND(SUM(L22+L23+L24+L25),1)</f>
        <v>1361.5</v>
      </c>
      <c r="M26" s="2005"/>
      <c r="N26" s="2041">
        <f>ROUND(SUM(N22+N23+N24+N25),1)</f>
        <v>2635.6</v>
      </c>
      <c r="O26" s="2005"/>
      <c r="P26" s="2041">
        <f>ROUND(SUM(P22+P23+P24+P25),1)</f>
        <v>1265.7</v>
      </c>
      <c r="Q26" s="2005"/>
      <c r="R26" s="2041">
        <f>ROUND(SUM(R22+R23+R24+R25),1)</f>
        <v>0</v>
      </c>
      <c r="S26" s="2005"/>
      <c r="T26" s="2041">
        <f>ROUND(SUM(T22+T23+T24+T25),1)</f>
        <v>0</v>
      </c>
      <c r="U26" s="2005"/>
      <c r="V26" s="2041">
        <f>ROUND(SUM(V22+V23+V24+V25),1)</f>
        <v>0</v>
      </c>
      <c r="W26" s="2005"/>
      <c r="X26" s="2041">
        <f>ROUND(SUM(X22+X23+X24+X25),1)</f>
        <v>0</v>
      </c>
      <c r="Y26" s="2005"/>
      <c r="Z26" s="2041">
        <f>ROUND(SUM(Z22+Z23+Z24+Z25),1)</f>
        <v>0</v>
      </c>
      <c r="AA26" s="1461"/>
      <c r="AB26" s="2042"/>
      <c r="AC26" s="3154">
        <f>ROUND(SUM(AC22+AC23+AC24+AC25),1)</f>
        <v>14695.1</v>
      </c>
      <c r="AD26" s="1994"/>
      <c r="AE26" s="2000" t="s">
        <v>15</v>
      </c>
      <c r="AF26" s="1458">
        <f>ROUND(SUM(AF22+AF23+AF24+AF25),1)</f>
        <v>15279.7</v>
      </c>
      <c r="AG26" s="2005"/>
      <c r="AH26" s="2475"/>
      <c r="AI26" s="2041">
        <f>ROUND(SUM(AI22-AI23-AI24-AI25),1)</f>
        <v>-584.6</v>
      </c>
      <c r="AJ26" s="2476"/>
      <c r="AK26" s="1443">
        <f>ROUND(SUM(+AI26/AF26),3)</f>
        <v>-3.7999999999999999E-2</v>
      </c>
    </row>
    <row r="27" spans="1:38" ht="15" customHeight="1">
      <c r="A27" s="2450"/>
      <c r="B27" s="2462" t="s">
        <v>1140</v>
      </c>
      <c r="C27" s="2021"/>
      <c r="D27" s="1442"/>
      <c r="E27" s="1441"/>
      <c r="F27" s="1460"/>
      <c r="G27" s="1441"/>
      <c r="H27" s="1442"/>
      <c r="I27" s="1441"/>
      <c r="J27" s="1460"/>
      <c r="K27" s="2005"/>
      <c r="L27" s="1442"/>
      <c r="M27" s="2005"/>
      <c r="N27" s="1442"/>
      <c r="O27" s="2005"/>
      <c r="P27" s="1460"/>
      <c r="Q27" s="2005"/>
      <c r="R27" s="1442"/>
      <c r="S27" s="2005"/>
      <c r="T27" s="1442"/>
      <c r="U27" s="2005"/>
      <c r="V27" s="1442"/>
      <c r="W27" s="2005"/>
      <c r="X27" s="1442"/>
      <c r="Y27" s="2005"/>
      <c r="Z27" s="1442"/>
      <c r="AA27" s="1461"/>
      <c r="AB27" s="2042"/>
      <c r="AC27" s="1460"/>
      <c r="AD27" s="1994"/>
      <c r="AE27" s="2000" t="s">
        <v>15</v>
      </c>
      <c r="AF27" s="1460"/>
      <c r="AG27" s="2005"/>
      <c r="AH27" s="2475"/>
      <c r="AI27" s="1442"/>
      <c r="AJ27" s="2476"/>
      <c r="AK27" s="2477"/>
    </row>
    <row r="28" spans="1:38" ht="15" customHeight="1">
      <c r="A28" s="2450"/>
      <c r="B28" s="2233" t="s">
        <v>1093</v>
      </c>
      <c r="C28" s="2021"/>
      <c r="D28" s="1788">
        <v>394.9</v>
      </c>
      <c r="E28" s="1419"/>
      <c r="F28" s="1788">
        <v>369.9</v>
      </c>
      <c r="G28" s="1419"/>
      <c r="H28" s="1788">
        <v>572.40000000000009</v>
      </c>
      <c r="I28" s="1441"/>
      <c r="J28" s="1788">
        <v>530</v>
      </c>
      <c r="K28" s="1997"/>
      <c r="L28" s="1788">
        <v>536.49999999999955</v>
      </c>
      <c r="M28" s="1997"/>
      <c r="N28" s="1788">
        <v>748</v>
      </c>
      <c r="O28" s="1997"/>
      <c r="P28" s="1788">
        <f>$AC28-$D28-$F28-$H28-$J28-$L28-$N28</f>
        <v>511.5</v>
      </c>
      <c r="Q28" s="1997"/>
      <c r="R28" s="1788"/>
      <c r="S28" s="1997"/>
      <c r="T28" s="1788"/>
      <c r="U28" s="1997"/>
      <c r="V28" s="1788"/>
      <c r="W28" s="1997"/>
      <c r="X28" s="1788"/>
      <c r="Y28" s="1997"/>
      <c r="Z28" s="1788"/>
      <c r="AA28" s="1998"/>
      <c r="AB28" s="2001"/>
      <c r="AC28" s="1804">
        <v>3663.2</v>
      </c>
      <c r="AD28" s="2040"/>
      <c r="AE28" s="2001" t="s">
        <v>15</v>
      </c>
      <c r="AF28" s="1804">
        <v>4336.7</v>
      </c>
      <c r="AG28" s="2005"/>
      <c r="AH28" s="2475"/>
      <c r="AI28" s="1441">
        <f t="shared" ref="AI28:AI33" si="3">ROUND(SUM(+AC28-AF28),1)</f>
        <v>-673.5</v>
      </c>
      <c r="AJ28" s="2476"/>
      <c r="AK28" s="1436">
        <f t="shared" ref="AK28:AK33" si="4">ROUND(IF(AF28=0,0,AI28/ABS(AF28)),3)</f>
        <v>-0.155</v>
      </c>
    </row>
    <row r="29" spans="1:38" ht="15" customHeight="1">
      <c r="A29" s="2450"/>
      <c r="B29" s="2233" t="s">
        <v>1094</v>
      </c>
      <c r="C29" s="2021"/>
      <c r="D29" s="1788">
        <v>0</v>
      </c>
      <c r="E29" s="1419"/>
      <c r="F29" s="1788">
        <v>0</v>
      </c>
      <c r="G29" s="1419"/>
      <c r="H29" s="1788">
        <v>0</v>
      </c>
      <c r="I29" s="1441"/>
      <c r="J29" s="1788">
        <v>0</v>
      </c>
      <c r="K29" s="1997"/>
      <c r="L29" s="1788">
        <v>0</v>
      </c>
      <c r="M29" s="1997"/>
      <c r="N29" s="1788">
        <v>0</v>
      </c>
      <c r="O29" s="1997"/>
      <c r="P29" s="1788">
        <f t="shared" ref="P29:P35" si="5">$AC29-$D29-$F29-$H29-$J29-$L29-$N29</f>
        <v>0</v>
      </c>
      <c r="Q29" s="1997"/>
      <c r="R29" s="1788"/>
      <c r="S29" s="1997"/>
      <c r="T29" s="1788"/>
      <c r="U29" s="1997"/>
      <c r="V29" s="1788"/>
      <c r="W29" s="1997"/>
      <c r="X29" s="1788"/>
      <c r="Y29" s="1997"/>
      <c r="Z29" s="1788"/>
      <c r="AA29" s="1998"/>
      <c r="AB29" s="2001"/>
      <c r="AC29" s="1804">
        <v>0</v>
      </c>
      <c r="AD29" s="2040"/>
      <c r="AE29" s="2001" t="s">
        <v>15</v>
      </c>
      <c r="AF29" s="1804">
        <v>0</v>
      </c>
      <c r="AG29" s="2005"/>
      <c r="AH29" s="2475"/>
      <c r="AI29" s="1441">
        <f t="shared" si="3"/>
        <v>0</v>
      </c>
      <c r="AJ29" s="2476"/>
      <c r="AK29" s="1436">
        <f t="shared" si="4"/>
        <v>0</v>
      </c>
    </row>
    <row r="30" spans="1:38" ht="15" customHeight="1">
      <c r="A30" s="2450"/>
      <c r="B30" s="2233" t="s">
        <v>1095</v>
      </c>
      <c r="C30" s="2021"/>
      <c r="D30" s="1788">
        <v>30</v>
      </c>
      <c r="E30" s="1419"/>
      <c r="F30" s="1788">
        <v>22.700000000000003</v>
      </c>
      <c r="G30" s="1419"/>
      <c r="H30" s="1788">
        <v>25.899999999999991</v>
      </c>
      <c r="I30" s="1441"/>
      <c r="J30" s="1788">
        <v>29</v>
      </c>
      <c r="K30" s="1997"/>
      <c r="L30" s="1788">
        <v>26.599999999999994</v>
      </c>
      <c r="M30" s="1997"/>
      <c r="N30" s="1788">
        <v>32.400000000000006</v>
      </c>
      <c r="O30" s="1997"/>
      <c r="P30" s="1788">
        <f t="shared" si="5"/>
        <v>25.299999999999997</v>
      </c>
      <c r="Q30" s="1997"/>
      <c r="R30" s="1788"/>
      <c r="S30" s="1997"/>
      <c r="T30" s="1788"/>
      <c r="U30" s="1997"/>
      <c r="V30" s="1788"/>
      <c r="W30" s="1997"/>
      <c r="X30" s="1788"/>
      <c r="Y30" s="1997"/>
      <c r="Z30" s="1788"/>
      <c r="AA30" s="1998"/>
      <c r="AB30" s="2001"/>
      <c r="AC30" s="1804">
        <v>191.9</v>
      </c>
      <c r="AD30" s="2040"/>
      <c r="AE30" s="2001" t="s">
        <v>15</v>
      </c>
      <c r="AF30" s="1804">
        <v>194.6</v>
      </c>
      <c r="AG30" s="2005"/>
      <c r="AH30" s="2475"/>
      <c r="AI30" s="1441">
        <f t="shared" si="3"/>
        <v>-2.7</v>
      </c>
      <c r="AJ30" s="2476"/>
      <c r="AK30" s="1436">
        <f t="shared" si="4"/>
        <v>-1.4E-2</v>
      </c>
    </row>
    <row r="31" spans="1:38" ht="15" customHeight="1">
      <c r="A31" s="2450"/>
      <c r="B31" s="2233" t="s">
        <v>1096</v>
      </c>
      <c r="C31" s="2021"/>
      <c r="D31" s="1788">
        <v>0</v>
      </c>
      <c r="E31" s="1419"/>
      <c r="F31" s="1788">
        <v>0</v>
      </c>
      <c r="G31" s="1419"/>
      <c r="H31" s="1788">
        <v>0</v>
      </c>
      <c r="I31" s="1441"/>
      <c r="J31" s="1788">
        <v>0</v>
      </c>
      <c r="K31" s="1997"/>
      <c r="L31" s="1788">
        <v>0</v>
      </c>
      <c r="M31" s="1997"/>
      <c r="N31" s="1788">
        <v>0</v>
      </c>
      <c r="O31" s="1997"/>
      <c r="P31" s="1788">
        <f t="shared" si="5"/>
        <v>0</v>
      </c>
      <c r="Q31" s="1997"/>
      <c r="R31" s="1788"/>
      <c r="S31" s="1997"/>
      <c r="T31" s="1788"/>
      <c r="U31" s="1997"/>
      <c r="V31" s="1788"/>
      <c r="W31" s="1997"/>
      <c r="X31" s="1788"/>
      <c r="Y31" s="1997"/>
      <c r="Z31" s="1788"/>
      <c r="AA31" s="1998"/>
      <c r="AB31" s="2001"/>
      <c r="AC31" s="1804">
        <v>0</v>
      </c>
      <c r="AD31" s="2040"/>
      <c r="AE31" s="2001" t="s">
        <v>15</v>
      </c>
      <c r="AF31" s="1804">
        <v>0</v>
      </c>
      <c r="AG31" s="2005"/>
      <c r="AH31" s="2475"/>
      <c r="AI31" s="1441">
        <f t="shared" si="3"/>
        <v>0</v>
      </c>
      <c r="AJ31" s="2476"/>
      <c r="AK31" s="1436">
        <f>ROUND(IF(AF31=0,0,AI31/ABS(AF31)),3)</f>
        <v>0</v>
      </c>
    </row>
    <row r="32" spans="1:38" ht="15" customHeight="1">
      <c r="A32" s="2450"/>
      <c r="B32" s="2233" t="s">
        <v>1097</v>
      </c>
      <c r="C32" s="2021"/>
      <c r="D32" s="1788">
        <v>26.7</v>
      </c>
      <c r="E32" s="1419"/>
      <c r="F32" s="1788">
        <v>21.400000000000002</v>
      </c>
      <c r="G32" s="1419"/>
      <c r="H32" s="1788">
        <v>22.8</v>
      </c>
      <c r="I32" s="1441"/>
      <c r="J32" s="1788">
        <v>25.999999999999982</v>
      </c>
      <c r="K32" s="1997"/>
      <c r="L32" s="1788">
        <v>23.100000000000012</v>
      </c>
      <c r="M32" s="1997"/>
      <c r="N32" s="1788">
        <v>23.300000000000008</v>
      </c>
      <c r="O32" s="1997"/>
      <c r="P32" s="1788">
        <f t="shared" si="5"/>
        <v>23.700000000000006</v>
      </c>
      <c r="Q32" s="1997"/>
      <c r="R32" s="1788"/>
      <c r="S32" s="1997"/>
      <c r="T32" s="1788"/>
      <c r="U32" s="1997"/>
      <c r="V32" s="1788"/>
      <c r="W32" s="1997"/>
      <c r="X32" s="1788"/>
      <c r="Y32" s="1997"/>
      <c r="Z32" s="1788"/>
      <c r="AA32" s="1998"/>
      <c r="AB32" s="2001"/>
      <c r="AC32" s="1804">
        <v>167</v>
      </c>
      <c r="AD32" s="2040"/>
      <c r="AE32" s="2001" t="s">
        <v>15</v>
      </c>
      <c r="AF32" s="1804">
        <v>154.6</v>
      </c>
      <c r="AG32" s="2005"/>
      <c r="AH32" s="2475"/>
      <c r="AI32" s="1441">
        <f t="shared" si="3"/>
        <v>12.4</v>
      </c>
      <c r="AJ32" s="2476"/>
      <c r="AK32" s="1436">
        <f t="shared" si="4"/>
        <v>0.08</v>
      </c>
    </row>
    <row r="33" spans="1:38" ht="15" customHeight="1">
      <c r="A33" s="2450"/>
      <c r="B33" s="2233" t="s">
        <v>1098</v>
      </c>
      <c r="C33" s="2021"/>
      <c r="D33" s="1788">
        <v>0</v>
      </c>
      <c r="E33" s="1419"/>
      <c r="F33" s="1788">
        <v>0</v>
      </c>
      <c r="G33" s="1419"/>
      <c r="H33" s="1788">
        <v>0</v>
      </c>
      <c r="I33" s="1441"/>
      <c r="J33" s="1788">
        <v>0</v>
      </c>
      <c r="K33" s="1997"/>
      <c r="L33" s="1788">
        <v>0</v>
      </c>
      <c r="M33" s="1997"/>
      <c r="N33" s="1788">
        <v>0</v>
      </c>
      <c r="O33" s="1997"/>
      <c r="P33" s="1788">
        <f t="shared" si="5"/>
        <v>0</v>
      </c>
      <c r="Q33" s="1997"/>
      <c r="R33" s="1788"/>
      <c r="S33" s="1997"/>
      <c r="T33" s="1788"/>
      <c r="U33" s="1997"/>
      <c r="V33" s="1788"/>
      <c r="W33" s="1997"/>
      <c r="X33" s="1788"/>
      <c r="Y33" s="1997"/>
      <c r="Z33" s="1788"/>
      <c r="AA33" s="1998"/>
      <c r="AB33" s="2001"/>
      <c r="AC33" s="1804">
        <v>0</v>
      </c>
      <c r="AD33" s="2040"/>
      <c r="AE33" s="2001" t="s">
        <v>15</v>
      </c>
      <c r="AF33" s="1804">
        <v>0</v>
      </c>
      <c r="AG33" s="2005"/>
      <c r="AH33" s="2475"/>
      <c r="AI33" s="1441">
        <f t="shared" si="3"/>
        <v>0</v>
      </c>
      <c r="AJ33" s="2476"/>
      <c r="AK33" s="1436">
        <f t="shared" si="4"/>
        <v>0</v>
      </c>
    </row>
    <row r="34" spans="1:38" ht="15" customHeight="1">
      <c r="A34" s="2450"/>
      <c r="B34" s="2233" t="s">
        <v>1441</v>
      </c>
      <c r="C34" s="2021"/>
      <c r="D34" s="1788">
        <v>0</v>
      </c>
      <c r="E34" s="1419"/>
      <c r="F34" s="1788">
        <v>0</v>
      </c>
      <c r="G34" s="1419"/>
      <c r="H34" s="1788">
        <v>0</v>
      </c>
      <c r="I34" s="1441"/>
      <c r="J34" s="1788">
        <v>0</v>
      </c>
      <c r="K34" s="1997"/>
      <c r="L34" s="1788">
        <v>0</v>
      </c>
      <c r="M34" s="1997"/>
      <c r="N34" s="1788">
        <v>0</v>
      </c>
      <c r="O34" s="1997"/>
      <c r="P34" s="1788">
        <f t="shared" si="5"/>
        <v>0</v>
      </c>
      <c r="Q34" s="1997"/>
      <c r="R34" s="1788"/>
      <c r="S34" s="1997"/>
      <c r="T34" s="1788"/>
      <c r="U34" s="1997"/>
      <c r="V34" s="1788"/>
      <c r="W34" s="1997"/>
      <c r="X34" s="1788"/>
      <c r="Y34" s="1997"/>
      <c r="Z34" s="1788"/>
      <c r="AA34" s="1998"/>
      <c r="AB34" s="2047"/>
      <c r="AC34" s="1804">
        <v>0</v>
      </c>
      <c r="AD34" s="2040"/>
      <c r="AE34" s="2047" t="s">
        <v>15</v>
      </c>
      <c r="AF34" s="1804">
        <v>0</v>
      </c>
      <c r="AG34" s="2005"/>
      <c r="AH34" s="2475"/>
      <c r="AI34" s="1441">
        <f>ROUND(SUM(+AC34-AF34),1)</f>
        <v>0</v>
      </c>
      <c r="AJ34" s="2476"/>
      <c r="AK34" s="1436">
        <f>ROUND(IF(AF34=0,0,AI34/ABS(AF34)),3)</f>
        <v>0</v>
      </c>
    </row>
    <row r="35" spans="1:38" ht="15" customHeight="1">
      <c r="A35" s="2450"/>
      <c r="B35" s="2233" t="s">
        <v>1442</v>
      </c>
      <c r="C35" s="2021"/>
      <c r="D35" s="1788">
        <v>7.2</v>
      </c>
      <c r="E35" s="1419"/>
      <c r="F35" s="1788">
        <v>0</v>
      </c>
      <c r="G35" s="1419"/>
      <c r="H35" s="1788">
        <v>0</v>
      </c>
      <c r="I35" s="1441"/>
      <c r="J35" s="1788">
        <v>8.9000000000000021</v>
      </c>
      <c r="K35" s="1997"/>
      <c r="L35" s="1788">
        <v>0</v>
      </c>
      <c r="M35" s="1997"/>
      <c r="N35" s="1788">
        <v>0.29999999999999716</v>
      </c>
      <c r="O35" s="1997"/>
      <c r="P35" s="1788">
        <f t="shared" si="5"/>
        <v>6.1000000000000014</v>
      </c>
      <c r="Q35" s="1997"/>
      <c r="R35" s="1788"/>
      <c r="S35" s="1997"/>
      <c r="T35" s="1788"/>
      <c r="U35" s="1997"/>
      <c r="V35" s="1788"/>
      <c r="W35" s="1997"/>
      <c r="X35" s="1788"/>
      <c r="Y35" s="1997"/>
      <c r="Z35" s="1788"/>
      <c r="AA35" s="1998"/>
      <c r="AB35" s="2001"/>
      <c r="AC35" s="1804">
        <v>22.5</v>
      </c>
      <c r="AD35" s="2040"/>
      <c r="AE35" s="2001" t="s">
        <v>15</v>
      </c>
      <c r="AF35" s="1804">
        <v>0</v>
      </c>
      <c r="AG35" s="2005"/>
      <c r="AH35" s="2475"/>
      <c r="AI35" s="1441">
        <f t="shared" ref="AI35" si="6">ROUND(SUM(+AC35-AF35),1)</f>
        <v>22.5</v>
      </c>
      <c r="AJ35" s="2476"/>
      <c r="AK35" s="1436">
        <f>ROUND(IF(AF35=0,1,AI35/ABS(AF35)),3)</f>
        <v>1</v>
      </c>
    </row>
    <row r="36" spans="1:38" s="2480" customFormat="1" ht="15" customHeight="1">
      <c r="A36" s="2478"/>
      <c r="B36" s="2472" t="s">
        <v>1092</v>
      </c>
      <c r="C36" s="2427"/>
      <c r="D36" s="2473">
        <f>ROUND(SUM(D28:D35),1)</f>
        <v>458.8</v>
      </c>
      <c r="E36" s="1459"/>
      <c r="F36" s="2474">
        <f>ROUND(SUM(F28:F35),1)</f>
        <v>414</v>
      </c>
      <c r="G36" s="1459"/>
      <c r="H36" s="2473">
        <f>ROUND(SUM(H28:H35),1)</f>
        <v>621.1</v>
      </c>
      <c r="I36" s="1459"/>
      <c r="J36" s="2474">
        <f>ROUND(SUM(J28:J35),1)</f>
        <v>593.9</v>
      </c>
      <c r="K36" s="1459"/>
      <c r="L36" s="2041">
        <f>ROUND(SUM(L28:L35),1)</f>
        <v>586.20000000000005</v>
      </c>
      <c r="M36" s="1459"/>
      <c r="N36" s="2041">
        <f>ROUND(SUM(N28:N35),1)</f>
        <v>804</v>
      </c>
      <c r="O36" s="1459"/>
      <c r="P36" s="2041">
        <f>ROUND(SUM(P28:P35),1)</f>
        <v>566.6</v>
      </c>
      <c r="Q36" s="1459"/>
      <c r="R36" s="2041">
        <f>ROUND(SUM(R28:R35),1)</f>
        <v>0</v>
      </c>
      <c r="S36" s="1459"/>
      <c r="T36" s="2041">
        <f>ROUND(SUM(T28:T35),1)</f>
        <v>0</v>
      </c>
      <c r="U36" s="1459"/>
      <c r="V36" s="2041">
        <f>ROUND(SUM(V28:V35),1)</f>
        <v>0</v>
      </c>
      <c r="W36" s="1459"/>
      <c r="X36" s="2041">
        <f>ROUND(SUM(X28:X35),1)</f>
        <v>0</v>
      </c>
      <c r="Y36" s="1459"/>
      <c r="Z36" s="2041">
        <f>ROUND(SUM(Z28:Z35),1)</f>
        <v>0</v>
      </c>
      <c r="AA36" s="2009"/>
      <c r="AB36" s="2044"/>
      <c r="AC36" s="3154">
        <f>ROUND(SUM(AC28:AC35),1)</f>
        <v>4044.6</v>
      </c>
      <c r="AD36" s="2049"/>
      <c r="AE36" s="2553"/>
      <c r="AF36" s="1458">
        <f>ROUND(SUM(AF28:AF35),1)</f>
        <v>4685.8999999999996</v>
      </c>
      <c r="AG36" s="1459"/>
      <c r="AH36" s="2479"/>
      <c r="AI36" s="2041">
        <f>ROUND(SUM(AI28:AI35),1)</f>
        <v>-641.29999999999995</v>
      </c>
      <c r="AJ36" s="1442"/>
      <c r="AK36" s="1443">
        <f>ROUND(SUM(+AI36/AF36),3)</f>
        <v>-0.13700000000000001</v>
      </c>
      <c r="AL36" s="2416"/>
    </row>
    <row r="37" spans="1:38" s="2480" customFormat="1" ht="15" customHeight="1">
      <c r="A37" s="2478"/>
      <c r="B37" s="2462" t="s">
        <v>1141</v>
      </c>
      <c r="C37" s="2427"/>
      <c r="D37" s="1442"/>
      <c r="E37" s="1459"/>
      <c r="F37" s="1460"/>
      <c r="G37" s="1459"/>
      <c r="H37" s="1442"/>
      <c r="I37" s="1459"/>
      <c r="J37" s="2040"/>
      <c r="K37" s="1459"/>
      <c r="L37" s="1442"/>
      <c r="M37" s="1459"/>
      <c r="N37" s="1442"/>
      <c r="O37" s="1459"/>
      <c r="P37" s="1460"/>
      <c r="Q37" s="1459"/>
      <c r="R37" s="1442"/>
      <c r="S37" s="1459"/>
      <c r="T37" s="1442"/>
      <c r="U37" s="1459"/>
      <c r="V37" s="1442"/>
      <c r="W37" s="1459"/>
      <c r="X37" s="1442"/>
      <c r="Y37" s="1459"/>
      <c r="Z37" s="1442"/>
      <c r="AA37" s="2009"/>
      <c r="AB37" s="2044"/>
      <c r="AC37" s="1460"/>
      <c r="AD37" s="2049"/>
      <c r="AE37" s="2553" t="s">
        <v>15</v>
      </c>
      <c r="AF37" s="1460"/>
      <c r="AG37" s="1459"/>
      <c r="AH37" s="2479"/>
      <c r="AI37" s="1442"/>
      <c r="AJ37" s="1442"/>
      <c r="AK37" s="2477"/>
      <c r="AL37" s="2416"/>
    </row>
    <row r="38" spans="1:38" s="2480" customFormat="1" ht="15" customHeight="1">
      <c r="A38" s="2478"/>
      <c r="B38" s="2233" t="s">
        <v>1100</v>
      </c>
      <c r="C38" s="2427"/>
      <c r="D38" s="1788">
        <v>197.4</v>
      </c>
      <c r="E38" s="1419"/>
      <c r="F38" s="1788">
        <v>-131.5</v>
      </c>
      <c r="G38" s="1419"/>
      <c r="H38" s="1788">
        <v>447.4</v>
      </c>
      <c r="I38" s="1459"/>
      <c r="J38" s="1788">
        <v>449.20000000000005</v>
      </c>
      <c r="K38" s="1997"/>
      <c r="L38" s="1788">
        <v>18</v>
      </c>
      <c r="M38" s="1997"/>
      <c r="N38" s="1788">
        <v>834.99999999999977</v>
      </c>
      <c r="O38" s="1997"/>
      <c r="P38" s="1788">
        <f>$AC38-$D38-$F38-$H38-$J38-$L38-$N38</f>
        <v>74.300000000000182</v>
      </c>
      <c r="Q38" s="1997"/>
      <c r="R38" s="1788"/>
      <c r="S38" s="1997"/>
      <c r="T38" s="1788"/>
      <c r="U38" s="1997"/>
      <c r="V38" s="1788"/>
      <c r="W38" s="1997"/>
      <c r="X38" s="1788"/>
      <c r="Y38" s="1997"/>
      <c r="Z38" s="1788"/>
      <c r="AA38" s="1998"/>
      <c r="AB38" s="2001"/>
      <c r="AC38" s="1804">
        <v>1889.8</v>
      </c>
      <c r="AD38" s="2040"/>
      <c r="AE38" s="2001" t="s">
        <v>15</v>
      </c>
      <c r="AF38" s="1804">
        <v>1875.7</v>
      </c>
      <c r="AG38" s="1459"/>
      <c r="AH38" s="2479"/>
      <c r="AI38" s="1441">
        <f>ROUND(SUM(+AC38-AF38),1)</f>
        <v>14.1</v>
      </c>
      <c r="AJ38" s="1442"/>
      <c r="AK38" s="1436">
        <f>ROUND(IF(AF38=0,0,AI38/ABS(AF38)),3)</f>
        <v>8.0000000000000002E-3</v>
      </c>
      <c r="AL38" s="2416"/>
    </row>
    <row r="39" spans="1:38" s="2480" customFormat="1" ht="15" customHeight="1">
      <c r="A39" s="2478"/>
      <c r="B39" s="2233" t="s">
        <v>1101</v>
      </c>
      <c r="C39" s="2427"/>
      <c r="D39" s="1788">
        <v>13.3</v>
      </c>
      <c r="E39" s="1419"/>
      <c r="F39" s="1788">
        <v>-2.6000000000000014</v>
      </c>
      <c r="G39" s="1419"/>
      <c r="H39" s="1788">
        <v>73.800000000000011</v>
      </c>
      <c r="I39" s="1459"/>
      <c r="J39" s="1788">
        <v>12.699999999999989</v>
      </c>
      <c r="K39" s="1997"/>
      <c r="L39" s="1788">
        <v>3.6</v>
      </c>
      <c r="M39" s="1997"/>
      <c r="N39" s="1788">
        <v>79.699999999999989</v>
      </c>
      <c r="O39" s="1997"/>
      <c r="P39" s="1788">
        <f t="shared" ref="P39:P42" si="7">$AC39-$D39-$F39-$H39-$J39-$L39-$N39</f>
        <v>5.4000000000000057</v>
      </c>
      <c r="Q39" s="1997"/>
      <c r="R39" s="1788"/>
      <c r="S39" s="1997"/>
      <c r="T39" s="1788"/>
      <c r="U39" s="1997"/>
      <c r="V39" s="1788"/>
      <c r="W39" s="1997"/>
      <c r="X39" s="1788"/>
      <c r="Y39" s="1997"/>
      <c r="Z39" s="1788"/>
      <c r="AA39" s="1998"/>
      <c r="AB39" s="2001"/>
      <c r="AC39" s="1804">
        <v>185.9</v>
      </c>
      <c r="AD39" s="2040"/>
      <c r="AE39" s="2001" t="s">
        <v>15</v>
      </c>
      <c r="AF39" s="1804">
        <v>209.1</v>
      </c>
      <c r="AG39" s="1459"/>
      <c r="AH39" s="2479"/>
      <c r="AI39" s="1441">
        <f>ROUND(SUM(+AC39-AF39),1)</f>
        <v>-23.2</v>
      </c>
      <c r="AJ39" s="1442"/>
      <c r="AK39" s="1477">
        <f>ROUND(IF(AF39=0,0,AI39/ABS(AF39)),3)</f>
        <v>-0.111</v>
      </c>
      <c r="AL39" s="2416"/>
    </row>
    <row r="40" spans="1:38" s="2480" customFormat="1" ht="15" customHeight="1">
      <c r="A40" s="2478"/>
      <c r="B40" s="2233" t="s">
        <v>1102</v>
      </c>
      <c r="C40" s="2427"/>
      <c r="D40" s="1788">
        <v>63</v>
      </c>
      <c r="E40" s="1419"/>
      <c r="F40" s="1788">
        <v>6.9</v>
      </c>
      <c r="G40" s="1419"/>
      <c r="H40" s="1788">
        <v>325.39999999999998</v>
      </c>
      <c r="I40" s="1459"/>
      <c r="J40" s="1788">
        <v>28.899999999999977</v>
      </c>
      <c r="K40" s="1997"/>
      <c r="L40" s="1788">
        <v>15.600000000000023</v>
      </c>
      <c r="M40" s="1997"/>
      <c r="N40" s="1788">
        <v>348.40000000000009</v>
      </c>
      <c r="O40" s="1997"/>
      <c r="P40" s="1788">
        <f t="shared" si="7"/>
        <v>21.899999999999977</v>
      </c>
      <c r="Q40" s="1997"/>
      <c r="R40" s="1788"/>
      <c r="S40" s="1997"/>
      <c r="T40" s="1788"/>
      <c r="U40" s="1997"/>
      <c r="V40" s="1788"/>
      <c r="W40" s="1997"/>
      <c r="X40" s="1788"/>
      <c r="Y40" s="1997"/>
      <c r="Z40" s="1788"/>
      <c r="AA40" s="1998"/>
      <c r="AB40" s="2001"/>
      <c r="AC40" s="1804">
        <v>810.1</v>
      </c>
      <c r="AD40" s="2040"/>
      <c r="AE40" s="2001" t="s">
        <v>15</v>
      </c>
      <c r="AF40" s="1804">
        <v>922.2</v>
      </c>
      <c r="AG40" s="1459"/>
      <c r="AH40" s="2479"/>
      <c r="AI40" s="1441">
        <f>ROUND(SUM(+AC40-AF40),1)</f>
        <v>-112.1</v>
      </c>
      <c r="AJ40" s="1442"/>
      <c r="AK40" s="1436">
        <f>ROUND(IF(AF40=0,0,AI40/ABS(AF40)),3)</f>
        <v>-0.122</v>
      </c>
      <c r="AL40" s="2416"/>
    </row>
    <row r="41" spans="1:38" s="2480" customFormat="1" ht="15" customHeight="1">
      <c r="A41" s="2478"/>
      <c r="B41" s="2233" t="s">
        <v>1103</v>
      </c>
      <c r="C41" s="2427"/>
      <c r="D41" s="1788">
        <v>6.1</v>
      </c>
      <c r="E41" s="1419"/>
      <c r="F41" s="1788">
        <v>2</v>
      </c>
      <c r="G41" s="1419"/>
      <c r="H41" s="1788">
        <v>78.900000000000006</v>
      </c>
      <c r="I41" s="1459"/>
      <c r="J41" s="1788">
        <v>0.70000000000000284</v>
      </c>
      <c r="K41" s="1997"/>
      <c r="L41" s="1788">
        <v>40.399999999999991</v>
      </c>
      <c r="M41" s="1997"/>
      <c r="N41" s="1788">
        <v>18.400000000000006</v>
      </c>
      <c r="O41" s="1997"/>
      <c r="P41" s="1788">
        <f t="shared" si="7"/>
        <v>-9.9999999999994316E-2</v>
      </c>
      <c r="Q41" s="1997"/>
      <c r="R41" s="1788"/>
      <c r="S41" s="1997"/>
      <c r="T41" s="1788"/>
      <c r="U41" s="1997"/>
      <c r="V41" s="1788"/>
      <c r="W41" s="1997"/>
      <c r="X41" s="1788"/>
      <c r="Y41" s="1997"/>
      <c r="Z41" s="1788"/>
      <c r="AA41" s="1998"/>
      <c r="AB41" s="2001"/>
      <c r="AC41" s="1804">
        <v>146.4</v>
      </c>
      <c r="AD41" s="2040"/>
      <c r="AE41" s="2001" t="s">
        <v>15</v>
      </c>
      <c r="AF41" s="1804">
        <v>-5.2</v>
      </c>
      <c r="AG41" s="1459"/>
      <c r="AH41" s="2479"/>
      <c r="AI41" s="1441">
        <f>ROUND(SUM(+AC41-AF41),1)</f>
        <v>151.6</v>
      </c>
      <c r="AJ41" s="1442"/>
      <c r="AK41" s="1477">
        <f>ROUND(IF(AF41=0,0,AI41/ABS(AF41)),3)</f>
        <v>29.154</v>
      </c>
      <c r="AL41" s="2416"/>
    </row>
    <row r="42" spans="1:38" s="2480" customFormat="1" ht="15" customHeight="1">
      <c r="A42" s="2478"/>
      <c r="B42" s="2233" t="s">
        <v>1104</v>
      </c>
      <c r="C42" s="2427"/>
      <c r="D42" s="1788">
        <v>0</v>
      </c>
      <c r="E42" s="1419"/>
      <c r="F42" s="1788">
        <v>0</v>
      </c>
      <c r="G42" s="1419"/>
      <c r="H42" s="1788">
        <v>0</v>
      </c>
      <c r="I42" s="1459"/>
      <c r="J42" s="1788">
        <v>0</v>
      </c>
      <c r="K42" s="1997"/>
      <c r="L42" s="1788">
        <v>0</v>
      </c>
      <c r="M42" s="1997"/>
      <c r="N42" s="1788">
        <v>0</v>
      </c>
      <c r="O42" s="1997"/>
      <c r="P42" s="1788">
        <f t="shared" si="7"/>
        <v>0</v>
      </c>
      <c r="Q42" s="1997"/>
      <c r="R42" s="1788"/>
      <c r="S42" s="1997"/>
      <c r="T42" s="1788"/>
      <c r="U42" s="1997"/>
      <c r="V42" s="1788"/>
      <c r="W42" s="1997"/>
      <c r="X42" s="1788"/>
      <c r="Y42" s="1997"/>
      <c r="Z42" s="1788"/>
      <c r="AA42" s="1998"/>
      <c r="AB42" s="2001"/>
      <c r="AC42" s="1804">
        <v>0</v>
      </c>
      <c r="AD42" s="2040"/>
      <c r="AE42" s="2001" t="s">
        <v>15</v>
      </c>
      <c r="AF42" s="1804">
        <v>0</v>
      </c>
      <c r="AG42" s="1459"/>
      <c r="AH42" s="2479"/>
      <c r="AI42" s="1441">
        <f>ROUND(SUM(+AC42-AF42),1)</f>
        <v>0</v>
      </c>
      <c r="AJ42" s="1442"/>
      <c r="AK42" s="1436">
        <f>ROUND(IF(AF42=0,0,AI42/ABS(AF42)),3)</f>
        <v>0</v>
      </c>
      <c r="AL42" s="2416"/>
    </row>
    <row r="43" spans="1:38" s="2480" customFormat="1" ht="15" customHeight="1">
      <c r="A43" s="2478"/>
      <c r="B43" s="2472" t="s">
        <v>1099</v>
      </c>
      <c r="C43" s="2427"/>
      <c r="D43" s="2474">
        <f>ROUND(SUM(D38:D42),1)</f>
        <v>279.8</v>
      </c>
      <c r="E43" s="1459"/>
      <c r="F43" s="2474">
        <f>ROUND(SUM(F38:F42),1)</f>
        <v>-125.2</v>
      </c>
      <c r="G43" s="1459"/>
      <c r="H43" s="2474">
        <f>ROUND(SUM(H38:H42),1)</f>
        <v>925.5</v>
      </c>
      <c r="I43" s="1459"/>
      <c r="J43" s="2474">
        <f>ROUND(SUM(J38:J42),1)</f>
        <v>491.5</v>
      </c>
      <c r="K43" s="1459"/>
      <c r="L43" s="1458">
        <f>ROUND(SUM(L38:L42),1)</f>
        <v>77.599999999999994</v>
      </c>
      <c r="M43" s="1459"/>
      <c r="N43" s="1458">
        <f>ROUND(SUM(N38:N42),1)</f>
        <v>1281.5</v>
      </c>
      <c r="O43" s="1459"/>
      <c r="P43" s="1458">
        <f>ROUND(SUM(P38:P42),1)</f>
        <v>101.5</v>
      </c>
      <c r="Q43" s="1459"/>
      <c r="R43" s="1458">
        <f>ROUND(SUM(R38:R42),1)</f>
        <v>0</v>
      </c>
      <c r="S43" s="1459"/>
      <c r="T43" s="1458">
        <f>ROUND(SUM(T38:T42),1)</f>
        <v>0</v>
      </c>
      <c r="U43" s="1459"/>
      <c r="V43" s="1458">
        <f>ROUND(SUM(V38:V42),1)</f>
        <v>0</v>
      </c>
      <c r="W43" s="1459"/>
      <c r="X43" s="1458">
        <f>ROUND(SUM(X38:X42),1)</f>
        <v>0</v>
      </c>
      <c r="Y43" s="1459"/>
      <c r="Z43" s="1458">
        <f>ROUND(SUM(Z38:Z42),1)</f>
        <v>0</v>
      </c>
      <c r="AA43" s="2009"/>
      <c r="AB43" s="2044"/>
      <c r="AC43" s="3154">
        <f>ROUND(SUM(AC38:AC42),1)</f>
        <v>3032.2</v>
      </c>
      <c r="AD43" s="2049"/>
      <c r="AE43" s="2553"/>
      <c r="AF43" s="1458">
        <f>ROUND(SUM(AF38:AF42),1)</f>
        <v>3001.8</v>
      </c>
      <c r="AG43" s="1459"/>
      <c r="AH43" s="2479"/>
      <c r="AI43" s="1458">
        <f>ROUND(SUM(AI38:AI42),1)</f>
        <v>30.4</v>
      </c>
      <c r="AJ43" s="1442"/>
      <c r="AK43" s="1443">
        <f>ROUND(SUM(+AI43/AF43),3)</f>
        <v>0.01</v>
      </c>
      <c r="AL43" s="2416"/>
    </row>
    <row r="44" spans="1:38" s="2480" customFormat="1" ht="15" customHeight="1">
      <c r="A44" s="2478"/>
      <c r="B44" s="2462" t="s">
        <v>1142</v>
      </c>
      <c r="C44" s="2427"/>
      <c r="D44" s="1442"/>
      <c r="E44" s="1459"/>
      <c r="F44" s="1442"/>
      <c r="G44" s="1459"/>
      <c r="H44" s="1442"/>
      <c r="I44" s="1459"/>
      <c r="J44" s="1460"/>
      <c r="K44" s="1459"/>
      <c r="L44" s="1442"/>
      <c r="M44" s="1459"/>
      <c r="N44" s="1442"/>
      <c r="O44" s="1459"/>
      <c r="P44" s="1460"/>
      <c r="Q44" s="1459"/>
      <c r="R44" s="1442"/>
      <c r="S44" s="1459"/>
      <c r="T44" s="1442"/>
      <c r="U44" s="1459"/>
      <c r="V44" s="1442"/>
      <c r="W44" s="1459"/>
      <c r="X44" s="1442"/>
      <c r="Y44" s="1459"/>
      <c r="Z44" s="1442"/>
      <c r="AA44" s="2009"/>
      <c r="AB44" s="2044"/>
      <c r="AC44" s="1460"/>
      <c r="AD44" s="2049"/>
      <c r="AE44" s="2553"/>
      <c r="AF44" s="1460"/>
      <c r="AG44" s="1459"/>
      <c r="AH44" s="2479"/>
      <c r="AI44" s="1442"/>
      <c r="AJ44" s="1442"/>
      <c r="AK44" s="2477"/>
      <c r="AL44" s="2416"/>
    </row>
    <row r="45" spans="1:38" s="2480" customFormat="1" ht="15" customHeight="1">
      <c r="A45" s="2478"/>
      <c r="B45" s="2233" t="s">
        <v>1107</v>
      </c>
      <c r="C45" s="2427"/>
      <c r="D45" s="1788">
        <v>0</v>
      </c>
      <c r="E45" s="1419"/>
      <c r="F45" s="1788">
        <v>0</v>
      </c>
      <c r="G45" s="1419"/>
      <c r="H45" s="1788">
        <v>0</v>
      </c>
      <c r="I45" s="1459"/>
      <c r="J45" s="1788">
        <v>0</v>
      </c>
      <c r="K45" s="1997"/>
      <c r="L45" s="1788">
        <v>0</v>
      </c>
      <c r="M45" s="1997"/>
      <c r="N45" s="1788">
        <v>0</v>
      </c>
      <c r="O45" s="1997"/>
      <c r="P45" s="1788">
        <f>$AC45-$D45-$F45-$H45-$J45-$L45-$N45</f>
        <v>0</v>
      </c>
      <c r="Q45" s="1997"/>
      <c r="R45" s="1788"/>
      <c r="S45" s="1997"/>
      <c r="T45" s="1788"/>
      <c r="U45" s="1997"/>
      <c r="V45" s="1788"/>
      <c r="W45" s="1997"/>
      <c r="X45" s="1788"/>
      <c r="Y45" s="1997"/>
      <c r="Z45" s="1788"/>
      <c r="AA45" s="1998"/>
      <c r="AB45" s="2001"/>
      <c r="AC45" s="1804">
        <v>0</v>
      </c>
      <c r="AD45" s="2040"/>
      <c r="AE45" s="2001" t="s">
        <v>15</v>
      </c>
      <c r="AF45" s="1804">
        <v>0</v>
      </c>
      <c r="AG45" s="1459"/>
      <c r="AH45" s="2479"/>
      <c r="AI45" s="1441">
        <f t="shared" ref="AI45:AI49" si="8">ROUND(SUM(+AC45-AF45),1)</f>
        <v>0</v>
      </c>
      <c r="AJ45" s="1442"/>
      <c r="AK45" s="1436">
        <f t="shared" ref="AK45:AK48" si="9">ROUND(IF(AF45=0,0,AI45/ABS(AF45)),3)</f>
        <v>0</v>
      </c>
      <c r="AL45" s="2416"/>
    </row>
    <row r="46" spans="1:38" s="2480" customFormat="1" ht="15" customHeight="1">
      <c r="A46" s="2478"/>
      <c r="B46" s="2233" t="s">
        <v>1108</v>
      </c>
      <c r="C46" s="2427"/>
      <c r="D46" s="1788">
        <v>72.7</v>
      </c>
      <c r="E46" s="1419"/>
      <c r="F46" s="1788">
        <v>52</v>
      </c>
      <c r="G46" s="1419"/>
      <c r="H46" s="1788">
        <v>147.30000000000001</v>
      </c>
      <c r="I46" s="1459"/>
      <c r="J46" s="1788">
        <v>147.69999999999999</v>
      </c>
      <c r="K46" s="1997"/>
      <c r="L46" s="1788">
        <v>55.800000000000011</v>
      </c>
      <c r="M46" s="1997"/>
      <c r="N46" s="1788">
        <v>91.299999999999955</v>
      </c>
      <c r="O46" s="1997"/>
      <c r="P46" s="1788">
        <f t="shared" ref="P46:P50" si="10">$AC46-$D46-$F46-$H46-$J46-$L46-$N46</f>
        <v>135.09999999999997</v>
      </c>
      <c r="Q46" s="1997"/>
      <c r="R46" s="1788"/>
      <c r="S46" s="1997"/>
      <c r="T46" s="1788"/>
      <c r="U46" s="1997"/>
      <c r="V46" s="1788"/>
      <c r="W46" s="1997"/>
      <c r="X46" s="1788"/>
      <c r="Y46" s="1997"/>
      <c r="Z46" s="1788"/>
      <c r="AA46" s="1998"/>
      <c r="AB46" s="2001"/>
      <c r="AC46" s="1804">
        <v>701.9</v>
      </c>
      <c r="AD46" s="2040"/>
      <c r="AE46" s="2001" t="s">
        <v>15</v>
      </c>
      <c r="AF46" s="1804">
        <v>582.70000000000005</v>
      </c>
      <c r="AG46" s="1459"/>
      <c r="AH46" s="2479"/>
      <c r="AI46" s="1441">
        <f t="shared" si="8"/>
        <v>119.2</v>
      </c>
      <c r="AJ46" s="1442"/>
      <c r="AK46" s="1436">
        <f t="shared" si="9"/>
        <v>0.20499999999999999</v>
      </c>
      <c r="AL46" s="2416"/>
    </row>
    <row r="47" spans="1:38" s="2480" customFormat="1" ht="15" customHeight="1">
      <c r="A47" s="2478"/>
      <c r="B47" s="2233" t="s">
        <v>1109</v>
      </c>
      <c r="C47" s="2427"/>
      <c r="D47" s="1788">
        <v>0.7</v>
      </c>
      <c r="E47" s="1419"/>
      <c r="F47" s="1788">
        <v>0.20000000000000007</v>
      </c>
      <c r="G47" s="1419"/>
      <c r="H47" s="1788">
        <v>0.79999999999999993</v>
      </c>
      <c r="I47" s="1459"/>
      <c r="J47" s="1788">
        <v>0.99999999999999989</v>
      </c>
      <c r="K47" s="1997"/>
      <c r="L47" s="1788">
        <v>1.3999999999999995</v>
      </c>
      <c r="M47" s="1997"/>
      <c r="N47" s="1788">
        <v>0.70000000000000018</v>
      </c>
      <c r="O47" s="1997"/>
      <c r="P47" s="1788">
        <f t="shared" si="10"/>
        <v>1.6000000000000005</v>
      </c>
      <c r="Q47" s="1997"/>
      <c r="R47" s="1788"/>
      <c r="S47" s="1997"/>
      <c r="T47" s="1788"/>
      <c r="U47" s="1997"/>
      <c r="V47" s="1788"/>
      <c r="W47" s="1997"/>
      <c r="X47" s="1788"/>
      <c r="Y47" s="1997"/>
      <c r="Z47" s="1788"/>
      <c r="AA47" s="1998"/>
      <c r="AB47" s="2001"/>
      <c r="AC47" s="1804">
        <v>6.4</v>
      </c>
      <c r="AD47" s="2040"/>
      <c r="AE47" s="2001" t="s">
        <v>15</v>
      </c>
      <c r="AF47" s="1804">
        <v>10.1</v>
      </c>
      <c r="AG47" s="1459"/>
      <c r="AH47" s="2479"/>
      <c r="AI47" s="1441">
        <f t="shared" si="8"/>
        <v>-3.7</v>
      </c>
      <c r="AJ47" s="1442"/>
      <c r="AK47" s="1436">
        <f t="shared" si="9"/>
        <v>-0.36599999999999999</v>
      </c>
      <c r="AL47" s="2416"/>
    </row>
    <row r="48" spans="1:38" s="2480" customFormat="1" ht="15" customHeight="1">
      <c r="A48" s="2478"/>
      <c r="B48" s="2233" t="s">
        <v>1110</v>
      </c>
      <c r="C48" s="2427"/>
      <c r="D48" s="1788">
        <v>0</v>
      </c>
      <c r="E48" s="1419"/>
      <c r="F48" s="1788">
        <v>0</v>
      </c>
      <c r="G48" s="1419"/>
      <c r="H48" s="1788">
        <v>0</v>
      </c>
      <c r="I48" s="1459"/>
      <c r="J48" s="1788">
        <v>0</v>
      </c>
      <c r="K48" s="1997"/>
      <c r="L48" s="1788">
        <v>0</v>
      </c>
      <c r="M48" s="1997"/>
      <c r="N48" s="1788">
        <v>0</v>
      </c>
      <c r="O48" s="1997"/>
      <c r="P48" s="1788">
        <f t="shared" si="10"/>
        <v>0</v>
      </c>
      <c r="Q48" s="1997"/>
      <c r="R48" s="1788"/>
      <c r="S48" s="1997"/>
      <c r="T48" s="1788"/>
      <c r="U48" s="1997"/>
      <c r="V48" s="1788"/>
      <c r="W48" s="1997"/>
      <c r="X48" s="1788"/>
      <c r="Y48" s="1997"/>
      <c r="Z48" s="1788"/>
      <c r="AA48" s="1998"/>
      <c r="AB48" s="2001"/>
      <c r="AC48" s="1804">
        <v>0</v>
      </c>
      <c r="AD48" s="2040">
        <f>'Exhibit F'!AF1211</f>
        <v>0</v>
      </c>
      <c r="AE48" s="2001" t="s">
        <v>15</v>
      </c>
      <c r="AF48" s="1804">
        <v>0</v>
      </c>
      <c r="AG48" s="1459"/>
      <c r="AH48" s="2479"/>
      <c r="AI48" s="1441">
        <f t="shared" si="8"/>
        <v>0</v>
      </c>
      <c r="AJ48" s="1442"/>
      <c r="AK48" s="1436">
        <f t="shared" si="9"/>
        <v>0</v>
      </c>
      <c r="AL48" s="2416"/>
    </row>
    <row r="49" spans="1:38" s="2480" customFormat="1" ht="15" customHeight="1">
      <c r="A49" s="2478"/>
      <c r="B49" s="2233" t="s">
        <v>1111</v>
      </c>
      <c r="C49" s="2427"/>
      <c r="D49" s="1788">
        <v>0.1</v>
      </c>
      <c r="E49" s="1419"/>
      <c r="F49" s="1788">
        <v>0</v>
      </c>
      <c r="G49" s="1419"/>
      <c r="H49" s="1788">
        <v>0</v>
      </c>
      <c r="I49" s="1459"/>
      <c r="J49" s="1788">
        <v>0</v>
      </c>
      <c r="K49" s="1997"/>
      <c r="L49" s="1788">
        <v>0</v>
      </c>
      <c r="M49" s="1997"/>
      <c r="N49" s="1788">
        <v>0</v>
      </c>
      <c r="O49" s="1997"/>
      <c r="P49" s="1788">
        <f t="shared" si="10"/>
        <v>0</v>
      </c>
      <c r="Q49" s="1997"/>
      <c r="R49" s="1788"/>
      <c r="S49" s="1997"/>
      <c r="T49" s="1788"/>
      <c r="U49" s="1997"/>
      <c r="V49" s="1788"/>
      <c r="W49" s="1997"/>
      <c r="X49" s="1788"/>
      <c r="Y49" s="1997"/>
      <c r="Z49" s="1788"/>
      <c r="AA49" s="1998"/>
      <c r="AB49" s="2001"/>
      <c r="AC49" s="1804">
        <v>0.1</v>
      </c>
      <c r="AD49" s="2040"/>
      <c r="AE49" s="2001" t="s">
        <v>15</v>
      </c>
      <c r="AF49" s="1804">
        <v>1.3</v>
      </c>
      <c r="AG49" s="1459"/>
      <c r="AH49" s="2479"/>
      <c r="AI49" s="1441">
        <f t="shared" si="8"/>
        <v>-1.2</v>
      </c>
      <c r="AJ49" s="1442"/>
      <c r="AK49" s="1436">
        <f>ROUND(IF(AF49=0,1,AI49/ABS(AF49)),3)</f>
        <v>-0.92300000000000004</v>
      </c>
      <c r="AL49" s="2416"/>
    </row>
    <row r="50" spans="1:38" s="2480" customFormat="1" ht="15" customHeight="1">
      <c r="A50" s="2478"/>
      <c r="B50" s="2469" t="s">
        <v>1372</v>
      </c>
      <c r="C50" s="2464"/>
      <c r="D50" s="1788">
        <v>0.1</v>
      </c>
      <c r="E50" s="1419"/>
      <c r="F50" s="1788">
        <v>-0.1</v>
      </c>
      <c r="G50" s="1419"/>
      <c r="H50" s="1788">
        <v>0.1</v>
      </c>
      <c r="I50" s="2468"/>
      <c r="J50" s="1788">
        <v>0.1</v>
      </c>
      <c r="K50" s="1997"/>
      <c r="L50" s="1788">
        <v>9.9999999999999978E-2</v>
      </c>
      <c r="M50" s="1997"/>
      <c r="N50" s="1788">
        <v>0.10000000000000006</v>
      </c>
      <c r="O50" s="1997"/>
      <c r="P50" s="1788">
        <f t="shared" si="10"/>
        <v>0.1</v>
      </c>
      <c r="Q50" s="1997"/>
      <c r="R50" s="1788"/>
      <c r="S50" s="1997"/>
      <c r="T50" s="1788"/>
      <c r="U50" s="1997"/>
      <c r="V50" s="1788"/>
      <c r="W50" s="1997"/>
      <c r="X50" s="1788"/>
      <c r="Y50" s="1997"/>
      <c r="Z50" s="1788"/>
      <c r="AA50" s="1998"/>
      <c r="AB50" s="2001"/>
      <c r="AC50" s="1804">
        <v>0.5</v>
      </c>
      <c r="AD50" s="2040"/>
      <c r="AE50" s="2001" t="s">
        <v>15</v>
      </c>
      <c r="AF50" s="1804">
        <v>0.4</v>
      </c>
      <c r="AG50" s="2184"/>
      <c r="AH50" s="2466"/>
      <c r="AI50" s="1999">
        <f>ROUND(SUM(+AC50-AF50),1)</f>
        <v>0.1</v>
      </c>
      <c r="AJ50" s="2467"/>
      <c r="AK50" s="1723">
        <f>ROUND(IF(AF50=0,1,AI50/ABS(AF50)),3)</f>
        <v>0.25</v>
      </c>
      <c r="AL50" s="2416"/>
    </row>
    <row r="51" spans="1:38" s="2480" customFormat="1" ht="15" customHeight="1">
      <c r="A51" s="2478"/>
      <c r="B51" s="2472" t="s">
        <v>1105</v>
      </c>
      <c r="C51" s="2427"/>
      <c r="D51" s="2474">
        <f>ROUND(SUM(D45:D50),1)</f>
        <v>73.599999999999994</v>
      </c>
      <c r="E51" s="1459"/>
      <c r="F51" s="2474">
        <f>ROUND(SUM(F45:F50),1)</f>
        <v>52.1</v>
      </c>
      <c r="G51" s="1459"/>
      <c r="H51" s="2474">
        <f>ROUND(SUM(H45:H50),1)</f>
        <v>148.19999999999999</v>
      </c>
      <c r="I51" s="1459"/>
      <c r="J51" s="2474">
        <f>ROUND(SUM(J45:J50),1)</f>
        <v>148.80000000000001</v>
      </c>
      <c r="K51" s="1459"/>
      <c r="L51" s="1458">
        <f>ROUND(SUM(L45:L50),1)</f>
        <v>57.3</v>
      </c>
      <c r="M51" s="1459"/>
      <c r="N51" s="1458">
        <f>ROUND(SUM(N45:N50),1)</f>
        <v>92.1</v>
      </c>
      <c r="O51" s="1459"/>
      <c r="P51" s="1458">
        <f>ROUND(SUM(P45:P50),1)</f>
        <v>136.80000000000001</v>
      </c>
      <c r="Q51" s="1459"/>
      <c r="R51" s="1458">
        <f>ROUND(SUM(R45:R50),1)</f>
        <v>0</v>
      </c>
      <c r="S51" s="1459"/>
      <c r="T51" s="1458">
        <f>ROUND(SUM(T45:T50),1)</f>
        <v>0</v>
      </c>
      <c r="U51" s="1459"/>
      <c r="V51" s="1458">
        <f>ROUND(SUM(V45:V50),1)</f>
        <v>0</v>
      </c>
      <c r="W51" s="1459"/>
      <c r="X51" s="1458">
        <f>ROUND(SUM(X45:X50),1)</f>
        <v>0</v>
      </c>
      <c r="Y51" s="1459"/>
      <c r="Z51" s="1458">
        <f>ROUND(SUM(Z45:Z50),1)</f>
        <v>0</v>
      </c>
      <c r="AA51" s="2009"/>
      <c r="AB51" s="2044"/>
      <c r="AC51" s="3154">
        <f>ROUND(SUM(AC45:AC50),1)</f>
        <v>708.9</v>
      </c>
      <c r="AD51" s="2049"/>
      <c r="AE51" s="2553"/>
      <c r="AF51" s="1458">
        <f>ROUND(SUM(AF45:AF50),1)</f>
        <v>594.5</v>
      </c>
      <c r="AG51" s="1459"/>
      <c r="AH51" s="2479"/>
      <c r="AI51" s="1458">
        <f>ROUND(SUM(AI45:AI50),1)</f>
        <v>114.4</v>
      </c>
      <c r="AJ51" s="1442"/>
      <c r="AK51" s="1443">
        <f>ROUND(SUM(+AI51/AF51),3)</f>
        <v>0.192</v>
      </c>
      <c r="AL51" s="2416"/>
    </row>
    <row r="52" spans="1:38" s="2480" customFormat="1" ht="15" customHeight="1">
      <c r="A52" s="2478"/>
      <c r="B52" s="2472"/>
      <c r="C52" s="2427"/>
      <c r="D52" s="1442"/>
      <c r="E52" s="1459"/>
      <c r="F52" s="1442"/>
      <c r="G52" s="1442"/>
      <c r="H52" s="1442"/>
      <c r="I52" s="1442"/>
      <c r="J52" s="1460"/>
      <c r="K52" s="1442"/>
      <c r="L52" s="1442"/>
      <c r="M52" s="1442"/>
      <c r="N52" s="1442"/>
      <c r="O52" s="1442"/>
      <c r="P52" s="1460"/>
      <c r="Q52" s="1442"/>
      <c r="R52" s="1442"/>
      <c r="S52" s="1442"/>
      <c r="T52" s="1442"/>
      <c r="U52" s="1442"/>
      <c r="V52" s="1442"/>
      <c r="W52" s="1442"/>
      <c r="X52" s="1460"/>
      <c r="Y52" s="1442"/>
      <c r="Z52" s="1460"/>
      <c r="AA52" s="2009"/>
      <c r="AB52" s="2044"/>
      <c r="AC52" s="1460"/>
      <c r="AD52" s="2049"/>
      <c r="AE52" s="2553"/>
      <c r="AF52" s="1460"/>
      <c r="AG52" s="1459"/>
      <c r="AH52" s="2479"/>
      <c r="AI52" s="1442"/>
      <c r="AJ52" s="1442"/>
      <c r="AK52" s="2477"/>
      <c r="AL52" s="2416"/>
    </row>
    <row r="53" spans="1:38" ht="15" customHeight="1">
      <c r="A53" s="2450"/>
      <c r="B53" s="2472" t="s">
        <v>1106</v>
      </c>
      <c r="C53" s="2021"/>
      <c r="D53" s="2481">
        <f>ROUND(SUM(D26+D36+D43+D51),1)</f>
        <v>1845.3</v>
      </c>
      <c r="E53" s="1441"/>
      <c r="F53" s="2481">
        <f>ROUND(SUM(F26+F36+F43+F51),1)</f>
        <v>1440.5</v>
      </c>
      <c r="G53" s="1441"/>
      <c r="H53" s="2481">
        <f>ROUND(SUM(H26+H36+H43+H51),1)</f>
        <v>3879.1</v>
      </c>
      <c r="I53" s="1441"/>
      <c r="J53" s="2481">
        <f>ROUND(SUM(J26+J36+J43+J51),1)</f>
        <v>6349.5</v>
      </c>
      <c r="K53" s="2005"/>
      <c r="L53" s="1982">
        <f>ROUND(SUM(L26+L36+L43+L51),1)</f>
        <v>2082.6</v>
      </c>
      <c r="M53" s="2005"/>
      <c r="N53" s="1982">
        <f>ROUND(SUM(N26+N36+N43+N51),1)</f>
        <v>4813.2</v>
      </c>
      <c r="O53" s="2005"/>
      <c r="P53" s="1982">
        <f>ROUND(SUM(P26+P36+P43+P51),1)</f>
        <v>2070.6</v>
      </c>
      <c r="Q53" s="2005"/>
      <c r="R53" s="1982">
        <f>ROUND(SUM(R26+R36+R43+R51),1)</f>
        <v>0</v>
      </c>
      <c r="S53" s="2005"/>
      <c r="T53" s="1982">
        <f>ROUND(SUM(T26+T36+T43+T51),1)</f>
        <v>0</v>
      </c>
      <c r="U53" s="2005"/>
      <c r="V53" s="1982">
        <f>ROUND(SUM(V26+V36+V43+V51),1)</f>
        <v>0</v>
      </c>
      <c r="W53" s="2005"/>
      <c r="X53" s="1982">
        <f>ROUND(SUM(X26+X36+X43+X51),1)</f>
        <v>0</v>
      </c>
      <c r="Y53" s="2005"/>
      <c r="Z53" s="1982">
        <f>ROUND(SUM(Z26+Z36+Z43+Z51),1)</f>
        <v>0</v>
      </c>
      <c r="AA53" s="1461"/>
      <c r="AB53" s="2042"/>
      <c r="AC53" s="3156">
        <f>ROUND(SUM(AC26+AC36+AC43+AC51),1)</f>
        <v>22480.799999999999</v>
      </c>
      <c r="AD53" s="1994"/>
      <c r="AE53" s="2038"/>
      <c r="AF53" s="1982">
        <f>ROUND(SUM(AF26+AF36+AF43+AF51),1)</f>
        <v>23561.9</v>
      </c>
      <c r="AG53" s="2005"/>
      <c r="AH53" s="2475"/>
      <c r="AI53" s="1982">
        <f>ROUND(SUM(AI26+AI36+AI43+AI51),1)</f>
        <v>-1081.0999999999999</v>
      </c>
      <c r="AJ53" s="2476"/>
      <c r="AK53" s="1433">
        <f>ROUND(SUM(+AI53/AF53),3)</f>
        <v>-4.5999999999999999E-2</v>
      </c>
    </row>
    <row r="54" spans="1:38" ht="8.25" customHeight="1">
      <c r="A54" s="2450"/>
      <c r="B54" s="2468"/>
      <c r="C54" s="2021"/>
      <c r="D54" s="1441"/>
      <c r="E54" s="1441"/>
      <c r="F54" s="1441"/>
      <c r="G54" s="1441"/>
      <c r="H54" s="1441"/>
      <c r="I54" s="1441"/>
      <c r="J54" s="1999"/>
      <c r="K54" s="2005"/>
      <c r="L54" s="2005"/>
      <c r="M54" s="2005"/>
      <c r="N54" s="2005"/>
      <c r="O54" s="2005"/>
      <c r="P54" s="1994"/>
      <c r="Q54" s="2005"/>
      <c r="R54" s="2005"/>
      <c r="S54" s="2005"/>
      <c r="T54" s="2005"/>
      <c r="U54" s="2005"/>
      <c r="V54" s="2005"/>
      <c r="W54" s="2005"/>
      <c r="X54" s="2005"/>
      <c r="Y54" s="2005"/>
      <c r="Z54" s="2005"/>
      <c r="AA54" s="1461"/>
      <c r="AB54" s="2042"/>
      <c r="AC54" s="1999"/>
      <c r="AD54" s="1994"/>
      <c r="AE54" s="2038"/>
      <c r="AF54" s="1994"/>
      <c r="AG54" s="2005"/>
      <c r="AH54" s="2475"/>
      <c r="AI54" s="1441"/>
      <c r="AJ54" s="2476"/>
      <c r="AK54" s="1430"/>
    </row>
    <row r="55" spans="1:38" ht="15" customHeight="1">
      <c r="A55" s="2450"/>
      <c r="B55" s="2461" t="s">
        <v>1014</v>
      </c>
      <c r="C55" s="2482"/>
      <c r="D55" s="1441"/>
      <c r="E55" s="2483"/>
      <c r="F55" s="1441"/>
      <c r="G55" s="2483"/>
      <c r="H55" s="1441"/>
      <c r="I55" s="1441"/>
      <c r="J55" s="1999"/>
      <c r="K55" s="2005"/>
      <c r="L55" s="2005"/>
      <c r="M55" s="2005"/>
      <c r="N55" s="2005"/>
      <c r="O55" s="2005"/>
      <c r="P55" s="1994"/>
      <c r="Q55" s="2005"/>
      <c r="R55" s="2005"/>
      <c r="S55" s="2005"/>
      <c r="T55" s="2005"/>
      <c r="U55" s="2005"/>
      <c r="V55" s="2005"/>
      <c r="W55" s="2005"/>
      <c r="X55" s="2005"/>
      <c r="Y55" s="2005"/>
      <c r="Z55" s="2005"/>
      <c r="AA55" s="1461"/>
      <c r="AB55" s="2042"/>
      <c r="AC55" s="1999"/>
      <c r="AD55" s="1994"/>
      <c r="AE55" s="2038"/>
      <c r="AF55" s="1994"/>
      <c r="AG55" s="2005"/>
      <c r="AH55" s="2475"/>
      <c r="AI55" s="1441"/>
      <c r="AJ55" s="2476"/>
      <c r="AK55" s="1430"/>
    </row>
    <row r="56" spans="1:38" ht="15" customHeight="1">
      <c r="A56" s="2450"/>
      <c r="B56" s="2484" t="s">
        <v>1133</v>
      </c>
      <c r="C56" s="2482"/>
      <c r="D56" s="1441"/>
      <c r="E56" s="2483"/>
      <c r="F56" s="1441"/>
      <c r="G56" s="2483"/>
      <c r="H56" s="1441"/>
      <c r="I56" s="1441"/>
      <c r="J56" s="1999"/>
      <c r="K56" s="2005"/>
      <c r="L56" s="2005"/>
      <c r="M56" s="2005"/>
      <c r="N56" s="2005"/>
      <c r="O56" s="2005"/>
      <c r="P56" s="1994"/>
      <c r="Q56" s="2005"/>
      <c r="R56" s="2005"/>
      <c r="S56" s="2005"/>
      <c r="T56" s="2005"/>
      <c r="U56" s="2005"/>
      <c r="V56" s="2005"/>
      <c r="W56" s="2005"/>
      <c r="X56" s="2005"/>
      <c r="Y56" s="2005"/>
      <c r="Z56" s="2005"/>
      <c r="AA56" s="1461"/>
      <c r="AB56" s="2045"/>
      <c r="AC56" s="1999"/>
      <c r="AD56" s="1994"/>
      <c r="AE56" s="2038"/>
      <c r="AF56" s="1999"/>
      <c r="AG56" s="2005"/>
      <c r="AH56" s="2475"/>
      <c r="AI56" s="1441"/>
      <c r="AJ56" s="2476"/>
      <c r="AK56" s="1430"/>
    </row>
    <row r="57" spans="1:38" ht="15" customHeight="1">
      <c r="A57" s="2450"/>
      <c r="B57" s="2484" t="s">
        <v>1012</v>
      </c>
      <c r="C57" s="2484"/>
      <c r="D57" s="1788">
        <v>0.4</v>
      </c>
      <c r="E57" s="2483"/>
      <c r="F57" s="1788">
        <v>0</v>
      </c>
      <c r="G57" s="2483"/>
      <c r="H57" s="1788">
        <v>0</v>
      </c>
      <c r="I57" s="1441"/>
      <c r="J57" s="1788">
        <v>0</v>
      </c>
      <c r="K57" s="1997"/>
      <c r="L57" s="1788">
        <v>25.1</v>
      </c>
      <c r="M57" s="1997"/>
      <c r="N57" s="1788">
        <v>84.799999999999983</v>
      </c>
      <c r="O57" s="1997"/>
      <c r="P57" s="1788">
        <f>$AC57-$D57-$F57-$H57-$J57-$L57-$N57</f>
        <v>10.600000000000023</v>
      </c>
      <c r="Q57" s="1997"/>
      <c r="R57" s="1788"/>
      <c r="S57" s="1997"/>
      <c r="T57" s="1788"/>
      <c r="U57" s="1997"/>
      <c r="V57" s="1788"/>
      <c r="W57" s="1997"/>
      <c r="X57" s="1788"/>
      <c r="Y57" s="1997"/>
      <c r="Z57" s="1788"/>
      <c r="AA57" s="1998"/>
      <c r="AB57" s="2001"/>
      <c r="AC57" s="1804">
        <v>120.9</v>
      </c>
      <c r="AD57" s="2040"/>
      <c r="AE57" s="2001" t="s">
        <v>15</v>
      </c>
      <c r="AF57" s="1804">
        <v>71.3</v>
      </c>
      <c r="AG57" s="2485"/>
      <c r="AH57" s="2486"/>
      <c r="AI57" s="1441">
        <f>ROUND(SUM(+AC57-AF57),1)</f>
        <v>49.6</v>
      </c>
      <c r="AJ57" s="2476"/>
      <c r="AK57" s="1436">
        <f>ROUND(IF(AF57=0,1,AI57/ABS(AF57)),3)</f>
        <v>0.69599999999999995</v>
      </c>
    </row>
    <row r="58" spans="1:38" ht="15" customHeight="1">
      <c r="A58" s="2450"/>
      <c r="B58" s="2484" t="s">
        <v>1013</v>
      </c>
      <c r="C58" s="2484"/>
      <c r="D58" s="1788">
        <v>0.7</v>
      </c>
      <c r="E58" s="2483"/>
      <c r="F58" s="1788">
        <v>0.30000000000000004</v>
      </c>
      <c r="G58" s="2483"/>
      <c r="H58" s="1788">
        <v>20.6</v>
      </c>
      <c r="I58" s="1441"/>
      <c r="J58" s="1788">
        <v>-4.6000000000000014</v>
      </c>
      <c r="K58" s="1997"/>
      <c r="L58" s="1788">
        <v>0.1</v>
      </c>
      <c r="M58" s="1997"/>
      <c r="N58" s="1788">
        <v>43.199999999999996</v>
      </c>
      <c r="O58" s="1997"/>
      <c r="P58" s="1788">
        <f t="shared" ref="P58:P91" si="11">$AC58-$D58-$F58-$H58-$J58-$L58-$N58</f>
        <v>2.1000000000000014</v>
      </c>
      <c r="Q58" s="1997"/>
      <c r="R58" s="1788"/>
      <c r="S58" s="1997"/>
      <c r="T58" s="1788"/>
      <c r="U58" s="1997"/>
      <c r="V58" s="1788"/>
      <c r="W58" s="1997"/>
      <c r="X58" s="1788"/>
      <c r="Y58" s="1997"/>
      <c r="Z58" s="1788"/>
      <c r="AA58" s="1998"/>
      <c r="AB58" s="2001"/>
      <c r="AC58" s="1804">
        <v>62.4</v>
      </c>
      <c r="AD58" s="2040"/>
      <c r="AE58" s="2001" t="s">
        <v>15</v>
      </c>
      <c r="AF58" s="1804">
        <v>48.5</v>
      </c>
      <c r="AG58" s="2006"/>
      <c r="AH58" s="2475"/>
      <c r="AI58" s="1441">
        <f>ROUND(SUM(+AC58-AF58),1)</f>
        <v>13.9</v>
      </c>
      <c r="AJ58" s="2476"/>
      <c r="AK58" s="1436">
        <f>ROUND(IF(AF58=0,0,AI58/ABS(AF58)),3)</f>
        <v>0.28699999999999998</v>
      </c>
    </row>
    <row r="59" spans="1:38" ht="15" customHeight="1">
      <c r="A59" s="2450"/>
      <c r="B59" s="2484" t="s">
        <v>1134</v>
      </c>
      <c r="C59" s="2484"/>
      <c r="D59" s="1788" t="s">
        <v>15</v>
      </c>
      <c r="E59" s="2483"/>
      <c r="F59" s="1788"/>
      <c r="G59" s="2483"/>
      <c r="H59" s="1788"/>
      <c r="I59" s="1441"/>
      <c r="J59" s="1788"/>
      <c r="K59" s="1994"/>
      <c r="L59" s="1788"/>
      <c r="M59" s="1994"/>
      <c r="N59" s="1788"/>
      <c r="O59" s="1994"/>
      <c r="P59" s="1788"/>
      <c r="Q59" s="1994"/>
      <c r="R59" s="1788"/>
      <c r="S59" s="1994"/>
      <c r="T59" s="1788"/>
      <c r="U59" s="1994"/>
      <c r="V59" s="1788"/>
      <c r="W59" s="1994"/>
      <c r="X59" s="1788"/>
      <c r="Y59" s="1994"/>
      <c r="Z59" s="1788"/>
      <c r="AA59" s="1990"/>
      <c r="AB59" s="2046"/>
      <c r="AC59" s="3157"/>
      <c r="AD59" s="1976"/>
      <c r="AE59" s="1996"/>
      <c r="AF59" s="3157"/>
      <c r="AG59" s="2006"/>
      <c r="AH59" s="2475"/>
      <c r="AI59" s="1441"/>
      <c r="AJ59" s="2476"/>
      <c r="AK59" s="1430"/>
    </row>
    <row r="60" spans="1:38" ht="15" customHeight="1">
      <c r="A60" s="2450"/>
      <c r="B60" s="2484" t="s">
        <v>1017</v>
      </c>
      <c r="C60" s="2484"/>
      <c r="D60" s="1788">
        <v>0</v>
      </c>
      <c r="E60" s="2483"/>
      <c r="F60" s="1788">
        <v>0</v>
      </c>
      <c r="G60" s="2483"/>
      <c r="H60" s="1788">
        <v>0</v>
      </c>
      <c r="I60" s="1441"/>
      <c r="J60" s="1788">
        <v>0</v>
      </c>
      <c r="K60" s="1997"/>
      <c r="L60" s="1788">
        <v>0</v>
      </c>
      <c r="M60" s="1997"/>
      <c r="N60" s="1788">
        <v>0</v>
      </c>
      <c r="O60" s="1997"/>
      <c r="P60" s="1788">
        <f t="shared" si="11"/>
        <v>0</v>
      </c>
      <c r="Q60" s="1997"/>
      <c r="R60" s="1788"/>
      <c r="S60" s="1997"/>
      <c r="T60" s="1788"/>
      <c r="U60" s="1997"/>
      <c r="V60" s="1788"/>
      <c r="W60" s="1997"/>
      <c r="X60" s="1788"/>
      <c r="Y60" s="1997"/>
      <c r="Z60" s="1788"/>
      <c r="AA60" s="1998"/>
      <c r="AB60" s="2001"/>
      <c r="AC60" s="1804">
        <v>0</v>
      </c>
      <c r="AD60" s="2040"/>
      <c r="AE60" s="2001" t="s">
        <v>15</v>
      </c>
      <c r="AF60" s="1804">
        <v>0</v>
      </c>
      <c r="AG60" s="2485"/>
      <c r="AH60" s="2486"/>
      <c r="AI60" s="1441">
        <f>ROUND(SUM(+AC60-AF60),1)</f>
        <v>0</v>
      </c>
      <c r="AJ60" s="2476"/>
      <c r="AK60" s="1436">
        <f>ROUND(IF(AF60=0,0,AI60/ABS(AF60)),3)</f>
        <v>0</v>
      </c>
    </row>
    <row r="61" spans="1:38" ht="15" customHeight="1">
      <c r="A61" s="2450"/>
      <c r="B61" s="2484" t="s">
        <v>1018</v>
      </c>
      <c r="C61" s="2484"/>
      <c r="D61" s="1788">
        <v>1.9</v>
      </c>
      <c r="E61" s="2483"/>
      <c r="F61" s="1788">
        <v>2.1</v>
      </c>
      <c r="G61" s="2483"/>
      <c r="H61" s="1788">
        <v>1.7000000000000002</v>
      </c>
      <c r="I61" s="1441"/>
      <c r="J61" s="1788">
        <v>1.7999999999999994</v>
      </c>
      <c r="K61" s="1997"/>
      <c r="L61" s="1788">
        <v>2.1</v>
      </c>
      <c r="M61" s="1997"/>
      <c r="N61" s="1788">
        <v>2.7000000000000006</v>
      </c>
      <c r="O61" s="1997"/>
      <c r="P61" s="1788">
        <f t="shared" si="11"/>
        <v>3.2999999999999994</v>
      </c>
      <c r="Q61" s="1997"/>
      <c r="R61" s="1788"/>
      <c r="S61" s="1997"/>
      <c r="T61" s="1788"/>
      <c r="U61" s="1997"/>
      <c r="V61" s="1788"/>
      <c r="W61" s="1997"/>
      <c r="X61" s="1788"/>
      <c r="Y61" s="1997"/>
      <c r="Z61" s="1788"/>
      <c r="AA61" s="1998"/>
      <c r="AB61" s="2001"/>
      <c r="AC61" s="1804">
        <v>15.6</v>
      </c>
      <c r="AD61" s="2040"/>
      <c r="AE61" s="2001" t="s">
        <v>15</v>
      </c>
      <c r="AF61" s="1804">
        <v>19.3</v>
      </c>
      <c r="AG61" s="2485"/>
      <c r="AH61" s="2486"/>
      <c r="AI61" s="1441">
        <f>ROUND(SUM(+AC61-AF61),1)</f>
        <v>-3.7</v>
      </c>
      <c r="AJ61" s="2476"/>
      <c r="AK61" s="1436">
        <f>ROUND(IF(AF61=0,1,AI61/ABS(AF61)),3)</f>
        <v>-0.192</v>
      </c>
    </row>
    <row r="62" spans="1:38" ht="15" customHeight="1">
      <c r="A62" s="2450"/>
      <c r="B62" s="2484" t="s">
        <v>1019</v>
      </c>
      <c r="C62" s="2484"/>
      <c r="D62" s="1788">
        <v>0</v>
      </c>
      <c r="E62" s="2483"/>
      <c r="F62" s="1788">
        <v>0</v>
      </c>
      <c r="G62" s="2483"/>
      <c r="H62" s="1788">
        <v>0</v>
      </c>
      <c r="I62" s="1441"/>
      <c r="J62" s="1788">
        <v>0</v>
      </c>
      <c r="K62" s="1997"/>
      <c r="L62" s="1788">
        <v>0</v>
      </c>
      <c r="M62" s="1997"/>
      <c r="N62" s="1788">
        <v>0</v>
      </c>
      <c r="O62" s="1997"/>
      <c r="P62" s="1788">
        <f t="shared" si="11"/>
        <v>0</v>
      </c>
      <c r="Q62" s="1997"/>
      <c r="R62" s="1788"/>
      <c r="S62" s="1997"/>
      <c r="T62" s="1788"/>
      <c r="U62" s="1997"/>
      <c r="V62" s="1788"/>
      <c r="W62" s="1997"/>
      <c r="X62" s="1788"/>
      <c r="Y62" s="1997"/>
      <c r="Z62" s="1788"/>
      <c r="AA62" s="1998"/>
      <c r="AB62" s="2001"/>
      <c r="AC62" s="1804">
        <v>0</v>
      </c>
      <c r="AD62" s="2040"/>
      <c r="AE62" s="2001" t="s">
        <v>15</v>
      </c>
      <c r="AF62" s="1804">
        <v>0</v>
      </c>
      <c r="AG62" s="2485"/>
      <c r="AH62" s="2486"/>
      <c r="AI62" s="1441">
        <f>ROUND(SUM(+AC62-AF62),1)</f>
        <v>0</v>
      </c>
      <c r="AJ62" s="2476"/>
      <c r="AK62" s="1436">
        <f>ROUND(IF(AF62=0,0,AI62/ABS(AF62)),3)</f>
        <v>0</v>
      </c>
    </row>
    <row r="63" spans="1:38" ht="15.5">
      <c r="A63" s="2450"/>
      <c r="B63" s="2484" t="s">
        <v>1020</v>
      </c>
      <c r="C63" s="2484"/>
      <c r="D63" s="1788">
        <v>0</v>
      </c>
      <c r="E63" s="2483"/>
      <c r="F63" s="1788">
        <v>0.1</v>
      </c>
      <c r="G63" s="2483"/>
      <c r="H63" s="1788">
        <v>0</v>
      </c>
      <c r="I63" s="1441"/>
      <c r="J63" s="1788">
        <v>0</v>
      </c>
      <c r="K63" s="1997"/>
      <c r="L63" s="1788">
        <v>0</v>
      </c>
      <c r="M63" s="1997"/>
      <c r="N63" s="1788">
        <v>0</v>
      </c>
      <c r="O63" s="1997"/>
      <c r="P63" s="1788">
        <f t="shared" si="11"/>
        <v>0</v>
      </c>
      <c r="Q63" s="1997"/>
      <c r="R63" s="1788"/>
      <c r="S63" s="1997"/>
      <c r="T63" s="1788"/>
      <c r="U63" s="1997"/>
      <c r="V63" s="1788"/>
      <c r="W63" s="1997"/>
      <c r="X63" s="1788"/>
      <c r="Y63" s="1997"/>
      <c r="Z63" s="1788"/>
      <c r="AA63" s="1998"/>
      <c r="AB63" s="2001"/>
      <c r="AC63" s="1804">
        <v>0.1</v>
      </c>
      <c r="AD63" s="2040"/>
      <c r="AE63" s="2001" t="s">
        <v>15</v>
      </c>
      <c r="AF63" s="1804">
        <v>0.3</v>
      </c>
      <c r="AG63" s="2485"/>
      <c r="AH63" s="2486"/>
      <c r="AI63" s="1441">
        <f>ROUND(SUM(+AC63-AF63),1)</f>
        <v>-0.2</v>
      </c>
      <c r="AJ63" s="2476"/>
      <c r="AK63" s="1436">
        <f>ROUND(IF(AF63=0,0,AI63/ABS(AF63)),3)</f>
        <v>-0.66700000000000004</v>
      </c>
    </row>
    <row r="64" spans="1:38" ht="15" customHeight="1">
      <c r="A64" s="2450"/>
      <c r="B64" s="2484" t="s">
        <v>1139</v>
      </c>
      <c r="C64" s="2484"/>
      <c r="D64" s="1788" t="s">
        <v>15</v>
      </c>
      <c r="E64" s="2483"/>
      <c r="F64" s="1788"/>
      <c r="G64" s="2483"/>
      <c r="H64" s="1788"/>
      <c r="I64" s="1441"/>
      <c r="J64" s="1788"/>
      <c r="K64" s="1994"/>
      <c r="L64" s="1788"/>
      <c r="M64" s="1994"/>
      <c r="N64" s="1788"/>
      <c r="O64" s="1994"/>
      <c r="P64" s="1788"/>
      <c r="Q64" s="1994"/>
      <c r="R64" s="1788"/>
      <c r="S64" s="1994"/>
      <c r="T64" s="1788"/>
      <c r="U64" s="1994"/>
      <c r="V64" s="1788"/>
      <c r="W64" s="1994"/>
      <c r="X64" s="1788"/>
      <c r="Y64" s="1994"/>
      <c r="Z64" s="1788"/>
      <c r="AA64" s="1990"/>
      <c r="AB64" s="2046"/>
      <c r="AC64" s="3157"/>
      <c r="AD64" s="1976"/>
      <c r="AE64" s="1996"/>
      <c r="AF64" s="3157"/>
      <c r="AG64" s="2006"/>
      <c r="AH64" s="2475"/>
      <c r="AI64" s="1441"/>
      <c r="AJ64" s="2476"/>
      <c r="AK64" s="1430"/>
    </row>
    <row r="65" spans="1:37" ht="15" customHeight="1">
      <c r="A65" s="2450"/>
      <c r="B65" s="2484" t="s">
        <v>1021</v>
      </c>
      <c r="C65" s="2484"/>
      <c r="D65" s="1788">
        <v>2.2000000000000002</v>
      </c>
      <c r="E65" s="2483"/>
      <c r="F65" s="1788">
        <v>2.8999999999999995</v>
      </c>
      <c r="G65" s="2483"/>
      <c r="H65" s="1788">
        <v>2.9000000000000004</v>
      </c>
      <c r="I65" s="1441"/>
      <c r="J65" s="1788">
        <v>4.8999999999999995</v>
      </c>
      <c r="K65" s="1997"/>
      <c r="L65" s="1788">
        <v>4.8000000000000016</v>
      </c>
      <c r="M65" s="1997"/>
      <c r="N65" s="1788">
        <v>5.4000000000000012</v>
      </c>
      <c r="O65" s="1997"/>
      <c r="P65" s="1788">
        <f t="shared" si="11"/>
        <v>5.0000000000000009</v>
      </c>
      <c r="Q65" s="1997"/>
      <c r="R65" s="1788"/>
      <c r="S65" s="1997"/>
      <c r="T65" s="1788"/>
      <c r="U65" s="1997"/>
      <c r="V65" s="1788"/>
      <c r="W65" s="1997"/>
      <c r="X65" s="1788"/>
      <c r="Y65" s="1997"/>
      <c r="Z65" s="1788"/>
      <c r="AA65" s="1998"/>
      <c r="AB65" s="2001"/>
      <c r="AC65" s="1804">
        <v>28.1</v>
      </c>
      <c r="AD65" s="2040"/>
      <c r="AE65" s="2001" t="s">
        <v>15</v>
      </c>
      <c r="AF65" s="1804">
        <v>44.4</v>
      </c>
      <c r="AG65" s="2006"/>
      <c r="AH65" s="2475"/>
      <c r="AI65" s="1441">
        <f t="shared" ref="AI65:AI72" si="12">ROUND(SUM(+AC65-AF65),1)</f>
        <v>-16.3</v>
      </c>
      <c r="AJ65" s="2476"/>
      <c r="AK65" s="1436">
        <f>ROUND(IF(AF65=0,0,AI65/ABS(AF65)),3)</f>
        <v>-0.36699999999999999</v>
      </c>
    </row>
    <row r="66" spans="1:37" ht="15" customHeight="1">
      <c r="A66" s="2450"/>
      <c r="B66" s="2484" t="s">
        <v>1232</v>
      </c>
      <c r="C66" s="2484"/>
      <c r="D66" s="1788">
        <v>0</v>
      </c>
      <c r="E66" s="2483"/>
      <c r="F66" s="1788">
        <v>0</v>
      </c>
      <c r="G66" s="2483"/>
      <c r="H66" s="1788">
        <v>0</v>
      </c>
      <c r="I66" s="1441"/>
      <c r="J66" s="1788">
        <v>0</v>
      </c>
      <c r="K66" s="1997"/>
      <c r="L66" s="1788">
        <v>0</v>
      </c>
      <c r="M66" s="1997"/>
      <c r="N66" s="1788">
        <v>0</v>
      </c>
      <c r="O66" s="1997"/>
      <c r="P66" s="1788">
        <f t="shared" si="11"/>
        <v>0</v>
      </c>
      <c r="Q66" s="1997"/>
      <c r="R66" s="1788"/>
      <c r="S66" s="1997"/>
      <c r="T66" s="1788"/>
      <c r="U66" s="1997"/>
      <c r="V66" s="1788"/>
      <c r="W66" s="1997"/>
      <c r="X66" s="1788"/>
      <c r="Y66" s="1997"/>
      <c r="Z66" s="1788"/>
      <c r="AA66" s="1998"/>
      <c r="AB66" s="2047"/>
      <c r="AC66" s="1804">
        <v>0</v>
      </c>
      <c r="AD66" s="2040"/>
      <c r="AE66" s="2047" t="s">
        <v>15</v>
      </c>
      <c r="AF66" s="1804">
        <v>0</v>
      </c>
      <c r="AG66" s="2006"/>
      <c r="AH66" s="2475"/>
      <c r="AI66" s="1441">
        <f>ROUND(SUM(+AC66-AF66),1)</f>
        <v>0</v>
      </c>
      <c r="AJ66" s="2476"/>
      <c r="AK66" s="1436">
        <f>ROUND(IF(AF66=0,0,AI66/ABS(AF66)),3)</f>
        <v>0</v>
      </c>
    </row>
    <row r="67" spans="1:37" ht="15" customHeight="1">
      <c r="A67" s="2450"/>
      <c r="B67" s="2484" t="s">
        <v>1022</v>
      </c>
      <c r="C67" s="2484"/>
      <c r="D67" s="1788">
        <v>19</v>
      </c>
      <c r="E67" s="2483"/>
      <c r="F67" s="1788">
        <v>-0.60000000000000142</v>
      </c>
      <c r="G67" s="2483"/>
      <c r="H67" s="1788">
        <v>27.9</v>
      </c>
      <c r="I67" s="1441"/>
      <c r="J67" s="1788">
        <v>13.5</v>
      </c>
      <c r="K67" s="1997"/>
      <c r="L67" s="1788">
        <v>9.7000000000000028</v>
      </c>
      <c r="M67" s="1997"/>
      <c r="N67" s="1788">
        <v>30.70000000000001</v>
      </c>
      <c r="O67" s="1997"/>
      <c r="P67" s="1788">
        <f t="shared" si="11"/>
        <v>17.89999999999997</v>
      </c>
      <c r="Q67" s="1997"/>
      <c r="R67" s="1788"/>
      <c r="S67" s="1997"/>
      <c r="T67" s="1788"/>
      <c r="U67" s="1997"/>
      <c r="V67" s="1788"/>
      <c r="W67" s="1997"/>
      <c r="X67" s="1788"/>
      <c r="Y67" s="1997"/>
      <c r="Z67" s="1788"/>
      <c r="AA67" s="1998"/>
      <c r="AB67" s="2001"/>
      <c r="AC67" s="1804">
        <v>118.1</v>
      </c>
      <c r="AD67" s="2040"/>
      <c r="AE67" s="2001" t="s">
        <v>15</v>
      </c>
      <c r="AF67" s="1804">
        <v>142.80000000000001</v>
      </c>
      <c r="AG67" s="2485"/>
      <c r="AH67" s="2486"/>
      <c r="AI67" s="1441">
        <f t="shared" si="12"/>
        <v>-24.7</v>
      </c>
      <c r="AJ67" s="2476"/>
      <c r="AK67" s="1436">
        <f>ROUND(IF(AF67=0,0,AI67/ABS(AF67)),3)</f>
        <v>-0.17299999999999999</v>
      </c>
    </row>
    <row r="68" spans="1:37" ht="15" customHeight="1">
      <c r="A68" s="2450"/>
      <c r="B68" s="2484" t="s">
        <v>1023</v>
      </c>
      <c r="C68" s="2484"/>
      <c r="D68" s="1788">
        <v>1.1000000000000001</v>
      </c>
      <c r="E68" s="2483"/>
      <c r="F68" s="1788">
        <v>0.89999999999999991</v>
      </c>
      <c r="G68" s="2483"/>
      <c r="H68" s="1788">
        <v>2.9000000000000004</v>
      </c>
      <c r="I68" s="1441"/>
      <c r="J68" s="1788">
        <v>1.6999999999999993</v>
      </c>
      <c r="K68" s="1997"/>
      <c r="L68" s="1788">
        <v>82.699999999999989</v>
      </c>
      <c r="M68" s="1997"/>
      <c r="N68" s="1788">
        <v>-14.5</v>
      </c>
      <c r="O68" s="1997"/>
      <c r="P68" s="1788">
        <f t="shared" si="11"/>
        <v>9.5</v>
      </c>
      <c r="Q68" s="1997"/>
      <c r="R68" s="1788"/>
      <c r="S68" s="1997"/>
      <c r="T68" s="1788"/>
      <c r="U68" s="1997"/>
      <c r="V68" s="1788"/>
      <c r="W68" s="1997"/>
      <c r="X68" s="1788"/>
      <c r="Y68" s="1997"/>
      <c r="Z68" s="1788"/>
      <c r="AA68" s="1998"/>
      <c r="AB68" s="2001"/>
      <c r="AC68" s="1804">
        <v>84.3</v>
      </c>
      <c r="AD68" s="2040"/>
      <c r="AE68" s="2001" t="s">
        <v>15</v>
      </c>
      <c r="AF68" s="1804">
        <v>132.1</v>
      </c>
      <c r="AG68" s="2485"/>
      <c r="AH68" s="2486"/>
      <c r="AI68" s="1441">
        <f t="shared" si="12"/>
        <v>-47.8</v>
      </c>
      <c r="AJ68" s="2476"/>
      <c r="AK68" s="1436">
        <f>ROUND(IF(AF68=0,0,AI68/ABS(AF68)),3)</f>
        <v>-0.36199999999999999</v>
      </c>
    </row>
    <row r="69" spans="1:37" ht="15" customHeight="1">
      <c r="A69" s="2450"/>
      <c r="B69" s="2484" t="s">
        <v>1024</v>
      </c>
      <c r="C69" s="2484"/>
      <c r="D69" s="1788">
        <v>0.1</v>
      </c>
      <c r="E69" s="2483"/>
      <c r="F69" s="1788">
        <v>0.1</v>
      </c>
      <c r="G69" s="2483"/>
      <c r="H69" s="1788">
        <v>9.9999999999999978E-2</v>
      </c>
      <c r="I69" s="1441"/>
      <c r="J69" s="1788">
        <v>0.10000000000000006</v>
      </c>
      <c r="K69" s="1997"/>
      <c r="L69" s="1788">
        <v>0</v>
      </c>
      <c r="M69" s="1997"/>
      <c r="N69" s="1788">
        <v>0.19999999999999998</v>
      </c>
      <c r="O69" s="1997"/>
      <c r="P69" s="1788">
        <f t="shared" si="11"/>
        <v>9.999999999999995E-2</v>
      </c>
      <c r="Q69" s="1997"/>
      <c r="R69" s="1788"/>
      <c r="S69" s="1997"/>
      <c r="T69" s="1788"/>
      <c r="U69" s="1997"/>
      <c r="V69" s="1788"/>
      <c r="W69" s="1997"/>
      <c r="X69" s="1788"/>
      <c r="Y69" s="1997"/>
      <c r="Z69" s="1788"/>
      <c r="AA69" s="1998"/>
      <c r="AB69" s="2001"/>
      <c r="AC69" s="1804">
        <v>0.7</v>
      </c>
      <c r="AD69" s="2040"/>
      <c r="AE69" s="2001" t="s">
        <v>15</v>
      </c>
      <c r="AF69" s="1804">
        <v>1</v>
      </c>
      <c r="AG69" s="2485"/>
      <c r="AH69" s="2486"/>
      <c r="AI69" s="1441">
        <f t="shared" si="12"/>
        <v>-0.3</v>
      </c>
      <c r="AJ69" s="2476"/>
      <c r="AK69" s="1436">
        <f>ROUND(IF(AF69=0,0,AI69/ABS(AF69)),3)</f>
        <v>-0.3</v>
      </c>
    </row>
    <row r="70" spans="1:37" ht="15" customHeight="1">
      <c r="A70" s="2450"/>
      <c r="B70" s="2484" t="s">
        <v>1025</v>
      </c>
      <c r="C70" s="2484"/>
      <c r="D70" s="1788">
        <v>-100.4</v>
      </c>
      <c r="E70" s="2483"/>
      <c r="F70" s="1788">
        <v>-49</v>
      </c>
      <c r="G70" s="2483"/>
      <c r="H70" s="1788">
        <v>127.2</v>
      </c>
      <c r="I70" s="1441"/>
      <c r="J70" s="1788">
        <v>109.7</v>
      </c>
      <c r="K70" s="1997"/>
      <c r="L70" s="1788">
        <v>13.200000000000017</v>
      </c>
      <c r="M70" s="1997"/>
      <c r="N70" s="1788">
        <v>43.2</v>
      </c>
      <c r="O70" s="1997"/>
      <c r="P70" s="1788">
        <f t="shared" si="11"/>
        <v>28.5</v>
      </c>
      <c r="Q70" s="1997"/>
      <c r="R70" s="1788"/>
      <c r="S70" s="1997"/>
      <c r="T70" s="1788"/>
      <c r="U70" s="1997"/>
      <c r="V70" s="1788"/>
      <c r="W70" s="1997"/>
      <c r="X70" s="1788"/>
      <c r="Y70" s="1997"/>
      <c r="Z70" s="1788"/>
      <c r="AA70" s="1998"/>
      <c r="AB70" s="2001"/>
      <c r="AC70" s="1804">
        <v>172.4</v>
      </c>
      <c r="AD70" s="2040"/>
      <c r="AE70" s="2001" t="s">
        <v>15</v>
      </c>
      <c r="AF70" s="1804">
        <v>197.6</v>
      </c>
      <c r="AG70" s="2485"/>
      <c r="AH70" s="2486"/>
      <c r="AI70" s="1441">
        <f t="shared" si="12"/>
        <v>-25.2</v>
      </c>
      <c r="AJ70" s="2476"/>
      <c r="AK70" s="1477">
        <f>ROUND(IF(AF70=0,1,AI70/ABS(AF70)),3)</f>
        <v>-0.128</v>
      </c>
    </row>
    <row r="71" spans="1:37" ht="15" customHeight="1">
      <c r="A71" s="2450"/>
      <c r="B71" s="2484" t="s">
        <v>1026</v>
      </c>
      <c r="C71" s="2484"/>
      <c r="D71" s="1788">
        <v>0</v>
      </c>
      <c r="E71" s="2483"/>
      <c r="F71" s="1788">
        <v>0</v>
      </c>
      <c r="G71" s="2483"/>
      <c r="H71" s="1788">
        <v>0.1</v>
      </c>
      <c r="I71" s="1441"/>
      <c r="J71" s="1788">
        <v>-0.1</v>
      </c>
      <c r="K71" s="1997"/>
      <c r="L71" s="1788">
        <v>0.5</v>
      </c>
      <c r="M71" s="1997"/>
      <c r="N71" s="1788">
        <v>3</v>
      </c>
      <c r="O71" s="1997"/>
      <c r="P71" s="1788">
        <f t="shared" si="11"/>
        <v>1.9000000000000004</v>
      </c>
      <c r="Q71" s="1997"/>
      <c r="R71" s="1788"/>
      <c r="S71" s="1997"/>
      <c r="T71" s="1788"/>
      <c r="U71" s="1997"/>
      <c r="V71" s="1788"/>
      <c r="W71" s="1997"/>
      <c r="X71" s="1788"/>
      <c r="Y71" s="1997"/>
      <c r="Z71" s="1788"/>
      <c r="AA71" s="1998"/>
      <c r="AB71" s="2001"/>
      <c r="AC71" s="1804">
        <v>5.4</v>
      </c>
      <c r="AD71" s="2040"/>
      <c r="AE71" s="2001" t="s">
        <v>15</v>
      </c>
      <c r="AF71" s="1804">
        <v>11</v>
      </c>
      <c r="AG71" s="2485"/>
      <c r="AH71" s="2486"/>
      <c r="AI71" s="1441">
        <f t="shared" si="12"/>
        <v>-5.6</v>
      </c>
      <c r="AJ71" s="2476"/>
      <c r="AK71" s="1436">
        <f>ROUND(IF(AF71=0,0,AI71/ABS(AF71)),3)</f>
        <v>-0.50900000000000001</v>
      </c>
    </row>
    <row r="72" spans="1:37" ht="15" customHeight="1">
      <c r="A72" s="2450"/>
      <c r="B72" s="2484" t="s">
        <v>1015</v>
      </c>
      <c r="C72" s="2484"/>
      <c r="D72" s="1788">
        <v>88.9</v>
      </c>
      <c r="E72" s="2483"/>
      <c r="F72" s="1788">
        <v>225.99999999999997</v>
      </c>
      <c r="G72" s="2483"/>
      <c r="H72" s="1788">
        <v>14.700000000000045</v>
      </c>
      <c r="I72" s="1441"/>
      <c r="J72" s="1788">
        <v>186.10000000000005</v>
      </c>
      <c r="K72" s="1997"/>
      <c r="L72" s="1788">
        <v>3.3</v>
      </c>
      <c r="M72" s="1997"/>
      <c r="N72" s="1788">
        <v>8.1999999999999993</v>
      </c>
      <c r="O72" s="1997"/>
      <c r="P72" s="1788">
        <f t="shared" si="11"/>
        <v>12.799999999999955</v>
      </c>
      <c r="Q72" s="1997"/>
      <c r="R72" s="1788"/>
      <c r="S72" s="1997"/>
      <c r="T72" s="1788"/>
      <c r="U72" s="1997"/>
      <c r="V72" s="1788"/>
      <c r="W72" s="1997"/>
      <c r="X72" s="1788"/>
      <c r="Y72" s="1997"/>
      <c r="Z72" s="1788"/>
      <c r="AA72" s="1998"/>
      <c r="AB72" s="2001"/>
      <c r="AC72" s="1804">
        <v>540</v>
      </c>
      <c r="AD72" s="2040"/>
      <c r="AE72" s="2001" t="s">
        <v>15</v>
      </c>
      <c r="AF72" s="1804">
        <v>963.5</v>
      </c>
      <c r="AG72" s="2485"/>
      <c r="AH72" s="2486"/>
      <c r="AI72" s="1441">
        <f t="shared" si="12"/>
        <v>-423.5</v>
      </c>
      <c r="AJ72" s="2476"/>
      <c r="AK72" s="1477">
        <f>ROUND(IF(AF72=0,0,AI72/ABS(AF72)),3)</f>
        <v>-0.44</v>
      </c>
    </row>
    <row r="73" spans="1:37" ht="15" customHeight="1">
      <c r="A73" s="2450"/>
      <c r="B73" s="2484" t="s">
        <v>1016</v>
      </c>
      <c r="C73" s="2484"/>
      <c r="D73" s="1788">
        <v>15.6</v>
      </c>
      <c r="E73" s="2483"/>
      <c r="F73" s="1788">
        <v>5.9</v>
      </c>
      <c r="G73" s="2483"/>
      <c r="H73" s="1788">
        <v>1.6000000000000014</v>
      </c>
      <c r="I73" s="1441"/>
      <c r="J73" s="1788">
        <v>0.89999999999999858</v>
      </c>
      <c r="K73" s="1997"/>
      <c r="L73" s="1788">
        <v>1.3999999999999986</v>
      </c>
      <c r="M73" s="1997"/>
      <c r="N73" s="1788">
        <v>1.9000000000000021</v>
      </c>
      <c r="O73" s="1997"/>
      <c r="P73" s="1788">
        <f t="shared" si="11"/>
        <v>1.6999999999999993</v>
      </c>
      <c r="Q73" s="1997"/>
      <c r="R73" s="1788"/>
      <c r="S73" s="1997"/>
      <c r="T73" s="1788"/>
      <c r="U73" s="1997"/>
      <c r="V73" s="1788"/>
      <c r="W73" s="1997"/>
      <c r="X73" s="1788"/>
      <c r="Y73" s="1997"/>
      <c r="Z73" s="1788"/>
      <c r="AA73" s="1998"/>
      <c r="AB73" s="2001"/>
      <c r="AC73" s="1804">
        <v>29</v>
      </c>
      <c r="AD73" s="2040"/>
      <c r="AE73" s="2001" t="s">
        <v>15</v>
      </c>
      <c r="AF73" s="1804">
        <v>112.2</v>
      </c>
      <c r="AG73" s="2006"/>
      <c r="AH73" s="2475"/>
      <c r="AI73" s="1441">
        <f>ROUND(SUM(+AC73-AF73),1)</f>
        <v>-83.2</v>
      </c>
      <c r="AJ73" s="2476"/>
      <c r="AK73" s="1477">
        <f>ROUND(IF(AF73=0,1,AI73/ABS(AF73)),3)</f>
        <v>-0.74199999999999999</v>
      </c>
    </row>
    <row r="74" spans="1:37" ht="15" customHeight="1">
      <c r="A74" s="2450"/>
      <c r="B74" s="2484" t="s">
        <v>1137</v>
      </c>
      <c r="C74" s="2484"/>
      <c r="D74" s="1788" t="s">
        <v>15</v>
      </c>
      <c r="E74" s="2483"/>
      <c r="F74" s="1788"/>
      <c r="G74" s="2483"/>
      <c r="H74" s="1788"/>
      <c r="I74" s="1441"/>
      <c r="J74" s="1788"/>
      <c r="K74" s="1994"/>
      <c r="L74" s="1788"/>
      <c r="M74" s="1994"/>
      <c r="N74" s="1788"/>
      <c r="O74" s="1994"/>
      <c r="P74" s="1788"/>
      <c r="Q74" s="1994"/>
      <c r="R74" s="1788"/>
      <c r="S74" s="1994"/>
      <c r="T74" s="1788"/>
      <c r="U74" s="1994"/>
      <c r="V74" s="1788"/>
      <c r="W74" s="1994"/>
      <c r="X74" s="1788"/>
      <c r="Y74" s="1994"/>
      <c r="Z74" s="1788"/>
      <c r="AA74" s="1990"/>
      <c r="AB74" s="2046"/>
      <c r="AC74" s="3157"/>
      <c r="AD74" s="1976"/>
      <c r="AE74" s="1996"/>
      <c r="AF74" s="3157"/>
      <c r="AG74" s="2006"/>
      <c r="AH74" s="2475"/>
      <c r="AI74" s="1441"/>
      <c r="AJ74" s="2476"/>
      <c r="AK74" s="1430"/>
    </row>
    <row r="75" spans="1:37" ht="15" customHeight="1">
      <c r="A75" s="2450"/>
      <c r="B75" s="2484" t="s">
        <v>1030</v>
      </c>
      <c r="C75" s="2484"/>
      <c r="D75" s="1788">
        <v>0</v>
      </c>
      <c r="E75" s="2483"/>
      <c r="F75" s="1788">
        <v>1000</v>
      </c>
      <c r="G75" s="2483"/>
      <c r="H75" s="1788">
        <v>3500</v>
      </c>
      <c r="I75" s="1441"/>
      <c r="J75" s="1788">
        <v>0</v>
      </c>
      <c r="K75" s="1994"/>
      <c r="L75" s="1788">
        <v>0</v>
      </c>
      <c r="M75" s="1994"/>
      <c r="N75" s="1788">
        <v>0</v>
      </c>
      <c r="O75" s="1994"/>
      <c r="P75" s="1788">
        <f t="shared" si="11"/>
        <v>0</v>
      </c>
      <c r="Q75" s="1994"/>
      <c r="R75" s="1788"/>
      <c r="S75" s="1994"/>
      <c r="T75" s="1788"/>
      <c r="U75" s="1994"/>
      <c r="V75" s="1788"/>
      <c r="W75" s="1994"/>
      <c r="X75" s="1788"/>
      <c r="Y75" s="1994"/>
      <c r="Z75" s="1788"/>
      <c r="AA75" s="1990"/>
      <c r="AB75" s="3700"/>
      <c r="AC75" s="1804">
        <v>4500</v>
      </c>
      <c r="AD75" s="1976"/>
      <c r="AE75" s="3173"/>
      <c r="AF75" s="1804">
        <v>0</v>
      </c>
      <c r="AG75" s="2006"/>
      <c r="AH75" s="2475"/>
      <c r="AI75" s="1441">
        <f t="shared" ref="AI75:AI80" si="13">ROUND(SUM(+AC75-AF75),1)</f>
        <v>4500</v>
      </c>
      <c r="AJ75" s="2476"/>
      <c r="AK75" s="1436">
        <f>ROUND(IF(AF75=0,1,AI75/ABS(AF75)),3)</f>
        <v>1</v>
      </c>
    </row>
    <row r="76" spans="1:37" ht="15" customHeight="1">
      <c r="A76" s="2450"/>
      <c r="B76" s="2484" t="s">
        <v>1031</v>
      </c>
      <c r="C76" s="2484"/>
      <c r="D76" s="1788">
        <v>0</v>
      </c>
      <c r="E76" s="2483"/>
      <c r="F76" s="1788">
        <v>0</v>
      </c>
      <c r="G76" s="2483"/>
      <c r="H76" s="1788">
        <v>0</v>
      </c>
      <c r="I76" s="1441"/>
      <c r="J76" s="1788">
        <v>0</v>
      </c>
      <c r="K76" s="1997"/>
      <c r="L76" s="1788">
        <v>0</v>
      </c>
      <c r="M76" s="1997"/>
      <c r="N76" s="1788">
        <v>0</v>
      </c>
      <c r="O76" s="1997"/>
      <c r="P76" s="1788">
        <f t="shared" si="11"/>
        <v>0</v>
      </c>
      <c r="Q76" s="1997"/>
      <c r="R76" s="1788"/>
      <c r="S76" s="1997"/>
      <c r="T76" s="1788"/>
      <c r="U76" s="1997"/>
      <c r="V76" s="1788"/>
      <c r="W76" s="1997"/>
      <c r="X76" s="1788"/>
      <c r="Y76" s="1997"/>
      <c r="Z76" s="1788"/>
      <c r="AA76" s="1998"/>
      <c r="AB76" s="2001"/>
      <c r="AC76" s="1804">
        <v>0</v>
      </c>
      <c r="AD76" s="2040"/>
      <c r="AE76" s="2001" t="s">
        <v>15</v>
      </c>
      <c r="AF76" s="1804">
        <v>18</v>
      </c>
      <c r="AG76" s="2485"/>
      <c r="AH76" s="2486"/>
      <c r="AI76" s="1441">
        <f t="shared" si="13"/>
        <v>-18</v>
      </c>
      <c r="AJ76" s="2476"/>
      <c r="AK76" s="1436">
        <f>ROUND(IF(AF76=0,0,AI76/ABS(AF76)),3)</f>
        <v>-1</v>
      </c>
    </row>
    <row r="77" spans="1:37" ht="15" customHeight="1">
      <c r="A77" s="2450"/>
      <c r="B77" s="2484" t="s">
        <v>1032</v>
      </c>
      <c r="C77" s="2484"/>
      <c r="D77" s="1788">
        <v>0</v>
      </c>
      <c r="E77" s="2483"/>
      <c r="F77" s="1788">
        <v>0</v>
      </c>
      <c r="G77" s="2483"/>
      <c r="H77" s="1788">
        <v>20.2</v>
      </c>
      <c r="I77" s="1441"/>
      <c r="J77" s="1788">
        <v>24.7</v>
      </c>
      <c r="K77" s="1997"/>
      <c r="L77" s="1788">
        <v>0</v>
      </c>
      <c r="M77" s="1997"/>
      <c r="N77" s="1788">
        <v>1.8000000000000043</v>
      </c>
      <c r="O77" s="1997"/>
      <c r="P77" s="1788">
        <f t="shared" si="11"/>
        <v>30.199999999999996</v>
      </c>
      <c r="Q77" s="1997"/>
      <c r="R77" s="1788"/>
      <c r="S77" s="1997"/>
      <c r="T77" s="1788"/>
      <c r="U77" s="1997"/>
      <c r="V77" s="1788"/>
      <c r="W77" s="1997"/>
      <c r="X77" s="1788"/>
      <c r="Y77" s="1997"/>
      <c r="Z77" s="1788"/>
      <c r="AA77" s="1998"/>
      <c r="AB77" s="2001"/>
      <c r="AC77" s="1804">
        <v>76.900000000000006</v>
      </c>
      <c r="AD77" s="2040"/>
      <c r="AE77" s="2001" t="s">
        <v>15</v>
      </c>
      <c r="AF77" s="1804">
        <v>33.5</v>
      </c>
      <c r="AG77" s="2485"/>
      <c r="AH77" s="2486"/>
      <c r="AI77" s="1441">
        <f t="shared" si="13"/>
        <v>43.4</v>
      </c>
      <c r="AJ77" s="2476"/>
      <c r="AK77" s="1436">
        <f>ROUND(IF(AF77=0,0,AI77/ABS(AF77)),3)</f>
        <v>1.296</v>
      </c>
    </row>
    <row r="78" spans="1:37" ht="15" customHeight="1">
      <c r="A78" s="2450"/>
      <c r="B78" s="2484" t="s">
        <v>1033</v>
      </c>
      <c r="C78" s="2484"/>
      <c r="D78" s="1788">
        <v>0</v>
      </c>
      <c r="E78" s="2483"/>
      <c r="F78" s="1788">
        <v>0</v>
      </c>
      <c r="G78" s="2483"/>
      <c r="H78" s="1788">
        <v>0</v>
      </c>
      <c r="I78" s="1441"/>
      <c r="J78" s="1788">
        <v>0</v>
      </c>
      <c r="K78" s="1997"/>
      <c r="L78" s="1788">
        <v>0</v>
      </c>
      <c r="M78" s="1997"/>
      <c r="N78" s="1788">
        <v>0</v>
      </c>
      <c r="O78" s="1997"/>
      <c r="P78" s="1788">
        <f t="shared" si="11"/>
        <v>0</v>
      </c>
      <c r="Q78" s="1997"/>
      <c r="R78" s="1788"/>
      <c r="S78" s="1997"/>
      <c r="T78" s="1788"/>
      <c r="U78" s="1997"/>
      <c r="V78" s="1788"/>
      <c r="W78" s="1997"/>
      <c r="X78" s="1788"/>
      <c r="Y78" s="1997"/>
      <c r="Z78" s="1788"/>
      <c r="AA78" s="1998"/>
      <c r="AB78" s="2001"/>
      <c r="AC78" s="1804">
        <v>0</v>
      </c>
      <c r="AD78" s="2040"/>
      <c r="AE78" s="2001" t="s">
        <v>15</v>
      </c>
      <c r="AF78" s="1804">
        <v>25.2</v>
      </c>
      <c r="AG78" s="2485"/>
      <c r="AH78" s="2486"/>
      <c r="AI78" s="1441">
        <f t="shared" si="13"/>
        <v>-25.2</v>
      </c>
      <c r="AJ78" s="2476"/>
      <c r="AK78" s="1477">
        <f>ROUND(IF(AF78=0,1,AI78/ABS(AF78)),3)</f>
        <v>-1</v>
      </c>
    </row>
    <row r="79" spans="1:37" ht="15" customHeight="1">
      <c r="A79" s="2450"/>
      <c r="B79" s="2484" t="s">
        <v>1034</v>
      </c>
      <c r="C79" s="2484"/>
      <c r="D79" s="1788">
        <v>0</v>
      </c>
      <c r="E79" s="2483"/>
      <c r="F79" s="1788">
        <v>0</v>
      </c>
      <c r="G79" s="2483"/>
      <c r="H79" s="1788">
        <v>0</v>
      </c>
      <c r="I79" s="1441"/>
      <c r="J79" s="1788">
        <v>0</v>
      </c>
      <c r="K79" s="1997"/>
      <c r="L79" s="1788">
        <v>0.1</v>
      </c>
      <c r="M79" s="1997"/>
      <c r="N79" s="1788">
        <v>0</v>
      </c>
      <c r="O79" s="1997"/>
      <c r="P79" s="1788">
        <f t="shared" si="11"/>
        <v>0</v>
      </c>
      <c r="Q79" s="1997"/>
      <c r="R79" s="1788"/>
      <c r="S79" s="1997"/>
      <c r="T79" s="1788"/>
      <c r="U79" s="1997"/>
      <c r="V79" s="1788"/>
      <c r="W79" s="1997"/>
      <c r="X79" s="1788"/>
      <c r="Y79" s="1997"/>
      <c r="Z79" s="1788"/>
      <c r="AA79" s="1998"/>
      <c r="AB79" s="2001"/>
      <c r="AC79" s="1804">
        <v>0.1</v>
      </c>
      <c r="AD79" s="2040"/>
      <c r="AE79" s="2001" t="s">
        <v>15</v>
      </c>
      <c r="AF79" s="1804">
        <v>16.8</v>
      </c>
      <c r="AG79" s="2485"/>
      <c r="AH79" s="2486"/>
      <c r="AI79" s="1441">
        <f t="shared" si="13"/>
        <v>-16.7</v>
      </c>
      <c r="AJ79" s="2476"/>
      <c r="AK79" s="1436">
        <f>ROUND(IF(AF79=0,1,AI79/ABS(AF79)),3)</f>
        <v>-0.99399999999999999</v>
      </c>
    </row>
    <row r="80" spans="1:37" ht="15" customHeight="1">
      <c r="A80" s="2450"/>
      <c r="B80" s="2484" t="s">
        <v>1035</v>
      </c>
      <c r="C80" s="2484"/>
      <c r="D80" s="1788">
        <v>0.2</v>
      </c>
      <c r="E80" s="2483"/>
      <c r="F80" s="1788">
        <v>9.9999999999999978E-2</v>
      </c>
      <c r="G80" s="2483"/>
      <c r="H80" s="1788">
        <v>0.10000000000000003</v>
      </c>
      <c r="I80" s="1441"/>
      <c r="J80" s="1788">
        <v>9.9999999999999978E-2</v>
      </c>
      <c r="K80" s="1997"/>
      <c r="L80" s="1788">
        <v>0.19999999999999996</v>
      </c>
      <c r="M80" s="1997"/>
      <c r="N80" s="1788">
        <v>0.10000000000000014</v>
      </c>
      <c r="O80" s="1997"/>
      <c r="P80" s="1788">
        <f t="shared" si="11"/>
        <v>0</v>
      </c>
      <c r="Q80" s="1997"/>
      <c r="R80" s="1788"/>
      <c r="S80" s="1997"/>
      <c r="T80" s="1788"/>
      <c r="U80" s="1997"/>
      <c r="V80" s="1788"/>
      <c r="W80" s="1997"/>
      <c r="X80" s="1788"/>
      <c r="Y80" s="1997"/>
      <c r="Z80" s="1788"/>
      <c r="AA80" s="1998"/>
      <c r="AB80" s="2001"/>
      <c r="AC80" s="1804">
        <v>0.8</v>
      </c>
      <c r="AD80" s="2040"/>
      <c r="AE80" s="2001" t="s">
        <v>15</v>
      </c>
      <c r="AF80" s="1804">
        <v>1.4</v>
      </c>
      <c r="AG80" s="2485"/>
      <c r="AH80" s="2486"/>
      <c r="AI80" s="1441">
        <f t="shared" si="13"/>
        <v>-0.6</v>
      </c>
      <c r="AJ80" s="2476"/>
      <c r="AK80" s="1477">
        <f>ROUND(IF(AF80=0,0,AI80/ABS(AF80)),3)</f>
        <v>-0.42899999999999999</v>
      </c>
    </row>
    <row r="81" spans="1:38" ht="15" customHeight="1">
      <c r="A81" s="2450"/>
      <c r="B81" s="2484" t="s">
        <v>1138</v>
      </c>
      <c r="C81" s="2484"/>
      <c r="D81" s="1788" t="s">
        <v>15</v>
      </c>
      <c r="E81" s="2483"/>
      <c r="F81" s="1788"/>
      <c r="G81" s="2483"/>
      <c r="H81" s="1788"/>
      <c r="I81" s="1441"/>
      <c r="J81" s="1788"/>
      <c r="K81" s="1994"/>
      <c r="L81" s="1788"/>
      <c r="M81" s="1994"/>
      <c r="N81" s="1788"/>
      <c r="O81" s="1994"/>
      <c r="P81" s="1788"/>
      <c r="Q81" s="1994"/>
      <c r="R81" s="1788"/>
      <c r="S81" s="1994"/>
      <c r="T81" s="1788"/>
      <c r="U81" s="1994"/>
      <c r="V81" s="1788"/>
      <c r="W81" s="1994"/>
      <c r="X81" s="1788"/>
      <c r="Y81" s="1994"/>
      <c r="Z81" s="1788"/>
      <c r="AA81" s="1990"/>
      <c r="AB81" s="2046"/>
      <c r="AC81" s="3157"/>
      <c r="AD81" s="1976"/>
      <c r="AE81" s="2001" t="s">
        <v>15</v>
      </c>
      <c r="AF81" s="3157"/>
      <c r="AG81" s="2006"/>
      <c r="AH81" s="2475"/>
      <c r="AI81" s="1441"/>
      <c r="AJ81" s="2476"/>
      <c r="AK81" s="1430"/>
    </row>
    <row r="82" spans="1:38" ht="15" customHeight="1">
      <c r="A82" s="2450"/>
      <c r="B82" s="2484" t="s">
        <v>1036</v>
      </c>
      <c r="C82" s="2484"/>
      <c r="D82" s="1788">
        <v>0.4</v>
      </c>
      <c r="E82" s="2483"/>
      <c r="F82" s="1788">
        <v>0.29999999999999993</v>
      </c>
      <c r="G82" s="2483"/>
      <c r="H82" s="1788">
        <v>16.7</v>
      </c>
      <c r="I82" s="1441"/>
      <c r="J82" s="1788">
        <v>0.40000000000000213</v>
      </c>
      <c r="K82" s="1997"/>
      <c r="L82" s="1788">
        <v>0.1</v>
      </c>
      <c r="M82" s="1997"/>
      <c r="N82" s="1788">
        <v>15.500000000000002</v>
      </c>
      <c r="O82" s="1997"/>
      <c r="P82" s="1788">
        <f t="shared" si="11"/>
        <v>0.30000000000000426</v>
      </c>
      <c r="Q82" s="1997"/>
      <c r="R82" s="1788"/>
      <c r="S82" s="1997"/>
      <c r="T82" s="1788"/>
      <c r="U82" s="1997"/>
      <c r="V82" s="1788"/>
      <c r="W82" s="1997"/>
      <c r="X82" s="1788"/>
      <c r="Y82" s="1997"/>
      <c r="Z82" s="1788"/>
      <c r="AA82" s="1998"/>
      <c r="AB82" s="2001"/>
      <c r="AC82" s="1804">
        <v>33.700000000000003</v>
      </c>
      <c r="AD82" s="2040"/>
      <c r="AE82" s="2001" t="s">
        <v>15</v>
      </c>
      <c r="AF82" s="1804">
        <v>40.700000000000003</v>
      </c>
      <c r="AG82" s="2485"/>
      <c r="AH82" s="2486"/>
      <c r="AI82" s="1441">
        <f t="shared" ref="AI82:AI91" si="14">ROUND(SUM(+AC82-AF82),1)</f>
        <v>-7</v>
      </c>
      <c r="AJ82" s="2476"/>
      <c r="AK82" s="1436">
        <f t="shared" ref="AK82" si="15">ROUND(IF(AF82=0,1,AI82/ABS(AF82)),3)</f>
        <v>-0.17199999999999999</v>
      </c>
    </row>
    <row r="83" spans="1:38" ht="15" customHeight="1">
      <c r="A83" s="2450"/>
      <c r="B83" s="2484" t="s">
        <v>1037</v>
      </c>
      <c r="C83" s="2484"/>
      <c r="D83" s="1788">
        <v>0.4</v>
      </c>
      <c r="E83" s="2483"/>
      <c r="F83" s="1788">
        <v>-0.4</v>
      </c>
      <c r="G83" s="2483"/>
      <c r="H83" s="1788">
        <v>9.9999999999999978E-2</v>
      </c>
      <c r="I83" s="1441"/>
      <c r="J83" s="1788">
        <v>0</v>
      </c>
      <c r="K83" s="1997"/>
      <c r="L83" s="1788">
        <v>-0.30000000000000004</v>
      </c>
      <c r="M83" s="1997"/>
      <c r="N83" s="1788">
        <v>0.5</v>
      </c>
      <c r="O83" s="1997"/>
      <c r="P83" s="1788">
        <f t="shared" si="11"/>
        <v>-0.5</v>
      </c>
      <c r="Q83" s="1997"/>
      <c r="R83" s="1788"/>
      <c r="S83" s="1997"/>
      <c r="T83" s="1788"/>
      <c r="U83" s="1997"/>
      <c r="V83" s="1788"/>
      <c r="W83" s="1997"/>
      <c r="X83" s="1788"/>
      <c r="Y83" s="1997"/>
      <c r="Z83" s="1788"/>
      <c r="AA83" s="1998"/>
      <c r="AB83" s="2047"/>
      <c r="AC83" s="1804">
        <v>-0.2</v>
      </c>
      <c r="AD83" s="2040"/>
      <c r="AE83" s="2001" t="s">
        <v>15</v>
      </c>
      <c r="AF83" s="1804">
        <v>0.3</v>
      </c>
      <c r="AG83" s="2485"/>
      <c r="AH83" s="2486"/>
      <c r="AI83" s="1441">
        <f t="shared" ref="AI83" si="16">ROUND(SUM(+AC83-AF83),1)</f>
        <v>-0.5</v>
      </c>
      <c r="AJ83" s="2476"/>
      <c r="AK83" s="1477">
        <f>ROUND(IF(AF83=0,1,AI83/ABS(AF83)),3)</f>
        <v>-1.667</v>
      </c>
    </row>
    <row r="84" spans="1:38" ht="15" customHeight="1">
      <c r="A84" s="2450"/>
      <c r="B84" s="2484" t="s">
        <v>1038</v>
      </c>
      <c r="C84" s="2484"/>
      <c r="D84" s="1788">
        <v>0</v>
      </c>
      <c r="E84" s="2483"/>
      <c r="F84" s="1788">
        <v>0</v>
      </c>
      <c r="G84" s="2483"/>
      <c r="H84" s="1788">
        <v>0</v>
      </c>
      <c r="I84" s="1441"/>
      <c r="J84" s="1788">
        <v>0</v>
      </c>
      <c r="K84" s="1997"/>
      <c r="L84" s="1788">
        <v>0</v>
      </c>
      <c r="M84" s="1997"/>
      <c r="N84" s="1788">
        <v>0</v>
      </c>
      <c r="O84" s="1997"/>
      <c r="P84" s="1788">
        <f t="shared" si="11"/>
        <v>0</v>
      </c>
      <c r="Q84" s="1997"/>
      <c r="R84" s="1788"/>
      <c r="S84" s="1997"/>
      <c r="T84" s="1788"/>
      <c r="U84" s="1997"/>
      <c r="V84" s="1788"/>
      <c r="W84" s="1997"/>
      <c r="X84" s="1788"/>
      <c r="Y84" s="1997"/>
      <c r="Z84" s="1788"/>
      <c r="AA84" s="1998"/>
      <c r="AB84" s="2001"/>
      <c r="AC84" s="1804">
        <v>0</v>
      </c>
      <c r="AD84" s="2040"/>
      <c r="AE84" s="2001" t="s">
        <v>15</v>
      </c>
      <c r="AF84" s="1804">
        <v>0</v>
      </c>
      <c r="AG84" s="2485"/>
      <c r="AH84" s="2486"/>
      <c r="AI84" s="1441">
        <f t="shared" si="14"/>
        <v>0</v>
      </c>
      <c r="AJ84" s="2476"/>
      <c r="AK84" s="1436">
        <f>ROUND(IF(AF84=0,0,AI84/ABS(AF84)),3)</f>
        <v>0</v>
      </c>
    </row>
    <row r="85" spans="1:38" ht="15" customHeight="1">
      <c r="A85" s="2450"/>
      <c r="B85" s="2484" t="s">
        <v>1039</v>
      </c>
      <c r="C85" s="2484"/>
      <c r="D85" s="1788">
        <v>5.5</v>
      </c>
      <c r="E85" s="2483"/>
      <c r="F85" s="1788">
        <v>5.4</v>
      </c>
      <c r="G85" s="2483"/>
      <c r="H85" s="1788">
        <v>7.4</v>
      </c>
      <c r="I85" s="1441"/>
      <c r="J85" s="1788">
        <v>5.8999999999999986</v>
      </c>
      <c r="K85" s="1997"/>
      <c r="L85" s="1788">
        <v>6.1</v>
      </c>
      <c r="M85" s="1997"/>
      <c r="N85" s="1788">
        <v>5.7000000000000046</v>
      </c>
      <c r="O85" s="1997"/>
      <c r="P85" s="1788">
        <f t="shared" si="11"/>
        <v>5</v>
      </c>
      <c r="Q85" s="1997"/>
      <c r="R85" s="1788"/>
      <c r="S85" s="1997"/>
      <c r="T85" s="1788"/>
      <c r="U85" s="1997"/>
      <c r="V85" s="1788"/>
      <c r="W85" s="1997"/>
      <c r="X85" s="1788"/>
      <c r="Y85" s="1997"/>
      <c r="Z85" s="1788"/>
      <c r="AA85" s="1998"/>
      <c r="AB85" s="2001"/>
      <c r="AC85" s="1804">
        <v>41</v>
      </c>
      <c r="AD85" s="2040"/>
      <c r="AE85" s="2001" t="s">
        <v>15</v>
      </c>
      <c r="AF85" s="1804">
        <v>47.8</v>
      </c>
      <c r="AG85" s="2485"/>
      <c r="AH85" s="2486"/>
      <c r="AI85" s="1441">
        <f t="shared" si="14"/>
        <v>-6.8</v>
      </c>
      <c r="AJ85" s="2476"/>
      <c r="AK85" s="1436">
        <f>ROUND(IF(AF85=0,1,AI85/ABS(AF85)),3)</f>
        <v>-0.14199999999999999</v>
      </c>
    </row>
    <row r="86" spans="1:38" ht="15" customHeight="1">
      <c r="A86" s="2450"/>
      <c r="B86" s="2484" t="s">
        <v>1040</v>
      </c>
      <c r="C86" s="2484"/>
      <c r="D86" s="1788">
        <v>-3.7</v>
      </c>
      <c r="E86" s="2483"/>
      <c r="F86" s="1788">
        <v>53.7</v>
      </c>
      <c r="G86" s="2483"/>
      <c r="H86" s="1788">
        <v>2.2000000000000028</v>
      </c>
      <c r="I86" s="1441"/>
      <c r="J86" s="1788">
        <v>-17.100000000000001</v>
      </c>
      <c r="K86" s="1997"/>
      <c r="L86" s="1788">
        <v>7.6999999999999957</v>
      </c>
      <c r="M86" s="1997"/>
      <c r="N86" s="1788">
        <v>-107.29999999999998</v>
      </c>
      <c r="O86" s="1997"/>
      <c r="P86" s="1788">
        <f t="shared" si="11"/>
        <v>49.299999999999983</v>
      </c>
      <c r="Q86" s="1997"/>
      <c r="R86" s="1788"/>
      <c r="S86" s="1997"/>
      <c r="T86" s="1788"/>
      <c r="U86" s="1997"/>
      <c r="V86" s="1788"/>
      <c r="W86" s="1997"/>
      <c r="X86" s="1788"/>
      <c r="Y86" s="1997"/>
      <c r="Z86" s="1788"/>
      <c r="AA86" s="1998"/>
      <c r="AB86" s="2047"/>
      <c r="AC86" s="1804">
        <v>-15.2</v>
      </c>
      <c r="AD86" s="2040"/>
      <c r="AE86" s="2047" t="s">
        <v>15</v>
      </c>
      <c r="AF86" s="1804">
        <v>-20.9</v>
      </c>
      <c r="AG86" s="2485"/>
      <c r="AH86" s="2486"/>
      <c r="AI86" s="1441">
        <f>ROUND(SUM(+AC86-AF86),1)</f>
        <v>5.7</v>
      </c>
      <c r="AJ86" s="2476"/>
      <c r="AK86" s="1477">
        <f>ROUND(IF(AF86=0,1,AI86/ABS(AF86)),3)</f>
        <v>0.27300000000000002</v>
      </c>
    </row>
    <row r="87" spans="1:38" ht="15" customHeight="1">
      <c r="A87" s="2450"/>
      <c r="B87" s="2484" t="s">
        <v>1041</v>
      </c>
      <c r="C87" s="2484"/>
      <c r="D87" s="1788">
        <v>0</v>
      </c>
      <c r="E87" s="2483"/>
      <c r="F87" s="1788">
        <v>1.7</v>
      </c>
      <c r="G87" s="2483"/>
      <c r="H87" s="1788">
        <v>-0.89999999999999991</v>
      </c>
      <c r="I87" s="1441"/>
      <c r="J87" s="1788">
        <v>0</v>
      </c>
      <c r="K87" s="1997"/>
      <c r="L87" s="1788">
        <v>3.1999999999999997</v>
      </c>
      <c r="M87" s="1997"/>
      <c r="N87" s="1788">
        <v>0</v>
      </c>
      <c r="O87" s="1997"/>
      <c r="P87" s="1788">
        <f t="shared" si="11"/>
        <v>-0.69999999999999973</v>
      </c>
      <c r="Q87" s="1997"/>
      <c r="R87" s="1788"/>
      <c r="S87" s="1997"/>
      <c r="T87" s="1788"/>
      <c r="U87" s="1997"/>
      <c r="V87" s="1788"/>
      <c r="W87" s="1997"/>
      <c r="X87" s="1788"/>
      <c r="Y87" s="1997"/>
      <c r="Z87" s="1788"/>
      <c r="AA87" s="1998"/>
      <c r="AB87" s="2001"/>
      <c r="AC87" s="1804">
        <v>3.3</v>
      </c>
      <c r="AD87" s="2040"/>
      <c r="AE87" s="2001" t="s">
        <v>15</v>
      </c>
      <c r="AF87" s="1804">
        <v>2.8</v>
      </c>
      <c r="AG87" s="2485"/>
      <c r="AH87" s="2486"/>
      <c r="AI87" s="1441">
        <f t="shared" si="14"/>
        <v>0.5</v>
      </c>
      <c r="AJ87" s="2476"/>
      <c r="AK87" s="1477">
        <f>ROUND(IF(AF87=0,1,AI87/ABS(AF87)),3)</f>
        <v>0.17899999999999999</v>
      </c>
    </row>
    <row r="88" spans="1:38" ht="15" customHeight="1">
      <c r="A88" s="2450"/>
      <c r="B88" s="2484" t="s">
        <v>1042</v>
      </c>
      <c r="C88" s="2484"/>
      <c r="D88" s="1788">
        <v>0.2</v>
      </c>
      <c r="E88" s="2483"/>
      <c r="F88" s="1788">
        <v>0</v>
      </c>
      <c r="G88" s="2483"/>
      <c r="H88" s="1788">
        <v>0</v>
      </c>
      <c r="I88" s="1441"/>
      <c r="J88" s="1788">
        <v>9.9999999999999978E-2</v>
      </c>
      <c r="K88" s="1997"/>
      <c r="L88" s="1788">
        <v>0</v>
      </c>
      <c r="M88" s="1997"/>
      <c r="N88" s="1788">
        <v>0</v>
      </c>
      <c r="O88" s="1997"/>
      <c r="P88" s="1788">
        <f t="shared" si="11"/>
        <v>0</v>
      </c>
      <c r="Q88" s="1997"/>
      <c r="R88" s="1788"/>
      <c r="S88" s="1997"/>
      <c r="T88" s="1788"/>
      <c r="U88" s="1997"/>
      <c r="V88" s="1788"/>
      <c r="W88" s="1997"/>
      <c r="X88" s="1788"/>
      <c r="Y88" s="1997"/>
      <c r="Z88" s="1788"/>
      <c r="AA88" s="1998"/>
      <c r="AB88" s="2001"/>
      <c r="AC88" s="1804">
        <v>0.3</v>
      </c>
      <c r="AD88" s="2040"/>
      <c r="AE88" s="2001" t="s">
        <v>15</v>
      </c>
      <c r="AF88" s="1804">
        <v>0.4</v>
      </c>
      <c r="AG88" s="2485"/>
      <c r="AH88" s="2486"/>
      <c r="AI88" s="1441">
        <f t="shared" si="14"/>
        <v>-0.1</v>
      </c>
      <c r="AJ88" s="2476"/>
      <c r="AK88" s="1477">
        <f>ROUND(IF(AF88=0,1,AI88/ABS(AF88)),3)</f>
        <v>-0.25</v>
      </c>
    </row>
    <row r="89" spans="1:38" ht="15" customHeight="1">
      <c r="A89" s="2450"/>
      <c r="B89" s="2484" t="s">
        <v>1043</v>
      </c>
      <c r="C89" s="2484"/>
      <c r="D89" s="1788">
        <v>0</v>
      </c>
      <c r="E89" s="2483"/>
      <c r="F89" s="1788">
        <v>0</v>
      </c>
      <c r="G89" s="2483"/>
      <c r="H89" s="1788">
        <v>0</v>
      </c>
      <c r="I89" s="1441"/>
      <c r="J89" s="1788">
        <v>0</v>
      </c>
      <c r="K89" s="1997"/>
      <c r="L89" s="1788">
        <v>0</v>
      </c>
      <c r="M89" s="1997"/>
      <c r="N89" s="1788">
        <v>0</v>
      </c>
      <c r="O89" s="1997"/>
      <c r="P89" s="1788">
        <f t="shared" si="11"/>
        <v>0</v>
      </c>
      <c r="Q89" s="1997"/>
      <c r="R89" s="1788"/>
      <c r="S89" s="1997"/>
      <c r="T89" s="1788"/>
      <c r="U89" s="1997"/>
      <c r="V89" s="1788"/>
      <c r="W89" s="1997"/>
      <c r="X89" s="1788"/>
      <c r="Y89" s="1997"/>
      <c r="Z89" s="1788"/>
      <c r="AA89" s="1998"/>
      <c r="AB89" s="2001"/>
      <c r="AC89" s="1804">
        <v>0</v>
      </c>
      <c r="AD89" s="2040"/>
      <c r="AE89" s="2001" t="s">
        <v>15</v>
      </c>
      <c r="AF89" s="1804">
        <v>0</v>
      </c>
      <c r="AG89" s="2485"/>
      <c r="AH89" s="2486"/>
      <c r="AI89" s="1441">
        <f t="shared" si="14"/>
        <v>0</v>
      </c>
      <c r="AJ89" s="2476"/>
      <c r="AK89" s="1436">
        <f>ROUND(IF(AF89=0,0,AI89/ABS(AF89)),3)</f>
        <v>0</v>
      </c>
    </row>
    <row r="90" spans="1:38" ht="15" customHeight="1">
      <c r="A90" s="2450"/>
      <c r="B90" s="2484" t="s">
        <v>1044</v>
      </c>
      <c r="C90" s="2484"/>
      <c r="D90" s="1788">
        <v>4.8</v>
      </c>
      <c r="E90" s="2483"/>
      <c r="F90" s="1788">
        <v>4.5000000000000009</v>
      </c>
      <c r="G90" s="2483"/>
      <c r="H90" s="1788">
        <v>4.8999999999999977</v>
      </c>
      <c r="I90" s="1441"/>
      <c r="J90" s="1788">
        <v>11.900000000000002</v>
      </c>
      <c r="K90" s="1997"/>
      <c r="L90" s="1788">
        <v>6.1000000000000014</v>
      </c>
      <c r="M90" s="1997"/>
      <c r="N90" s="1788">
        <v>3.1999999999999957</v>
      </c>
      <c r="O90" s="1997"/>
      <c r="P90" s="1788">
        <f t="shared" si="11"/>
        <v>12.700000000000006</v>
      </c>
      <c r="Q90" s="1997"/>
      <c r="R90" s="1788"/>
      <c r="S90" s="1997"/>
      <c r="T90" s="1788"/>
      <c r="U90" s="1997"/>
      <c r="V90" s="1788"/>
      <c r="W90" s="1997"/>
      <c r="X90" s="1788"/>
      <c r="Y90" s="1997"/>
      <c r="Z90" s="1788"/>
      <c r="AA90" s="1998"/>
      <c r="AB90" s="2001"/>
      <c r="AC90" s="1788">
        <v>48.1</v>
      </c>
      <c r="AD90" s="2040"/>
      <c r="AE90" s="2001" t="s">
        <v>15</v>
      </c>
      <c r="AF90" s="1788">
        <v>49.1</v>
      </c>
      <c r="AG90" s="2040"/>
      <c r="AH90" s="2486"/>
      <c r="AI90" s="1441">
        <f t="shared" si="14"/>
        <v>-1</v>
      </c>
      <c r="AJ90" s="2476"/>
      <c r="AK90" s="1477">
        <f>ROUND(IF(AF90=0,0,AI90/ABS(AF90)),3)</f>
        <v>-0.02</v>
      </c>
    </row>
    <row r="91" spans="1:38" ht="15" customHeight="1">
      <c r="A91" s="2450"/>
      <c r="B91" s="2484" t="s">
        <v>1045</v>
      </c>
      <c r="C91" s="2484"/>
      <c r="D91" s="1788">
        <v>0</v>
      </c>
      <c r="E91" s="2483"/>
      <c r="F91" s="1788">
        <v>0</v>
      </c>
      <c r="G91" s="2483"/>
      <c r="H91" s="1788">
        <v>1.8</v>
      </c>
      <c r="I91" s="1441"/>
      <c r="J91" s="1788">
        <v>2.2999999999999998</v>
      </c>
      <c r="K91" s="1997"/>
      <c r="L91" s="1788">
        <v>0</v>
      </c>
      <c r="M91" s="1997"/>
      <c r="N91" s="1788">
        <v>0</v>
      </c>
      <c r="O91" s="1997"/>
      <c r="P91" s="1788">
        <f t="shared" si="11"/>
        <v>0.5</v>
      </c>
      <c r="Q91" s="1997"/>
      <c r="R91" s="1788"/>
      <c r="S91" s="1997"/>
      <c r="T91" s="1788"/>
      <c r="U91" s="1997"/>
      <c r="V91" s="1788"/>
      <c r="W91" s="1997"/>
      <c r="X91" s="1788"/>
      <c r="Y91" s="1997"/>
      <c r="Z91" s="1788"/>
      <c r="AA91" s="1998"/>
      <c r="AB91" s="2001"/>
      <c r="AC91" s="1804">
        <v>4.5999999999999996</v>
      </c>
      <c r="AD91" s="2040"/>
      <c r="AE91" s="2001" t="s">
        <v>15</v>
      </c>
      <c r="AF91" s="1804">
        <v>0</v>
      </c>
      <c r="AG91" s="2040"/>
      <c r="AH91" s="2486"/>
      <c r="AI91" s="1441">
        <f t="shared" si="14"/>
        <v>4.5999999999999996</v>
      </c>
      <c r="AJ91" s="2476"/>
      <c r="AK91" s="2487">
        <f>ROUND(IF(AF91=0,1,AI91/ABS(AF91)),3)</f>
        <v>1</v>
      </c>
    </row>
    <row r="92" spans="1:38" s="2480" customFormat="1" ht="15" customHeight="1">
      <c r="A92" s="2478"/>
      <c r="B92" s="2472" t="s">
        <v>1080</v>
      </c>
      <c r="C92" s="2427"/>
      <c r="D92" s="2474">
        <f>ROUND(SUM(D57:D91),1)</f>
        <v>37.299999999999997</v>
      </c>
      <c r="E92" s="2488"/>
      <c r="F92" s="2473">
        <f>ROUND(SUM(F57:F91),1)</f>
        <v>1254</v>
      </c>
      <c r="G92" s="2488"/>
      <c r="H92" s="2473">
        <f>ROUND(SUM(H57:H91),1)</f>
        <v>3752.2</v>
      </c>
      <c r="I92" s="1459"/>
      <c r="J92" s="2474">
        <f>ROUND(SUM(J57:J91),1)</f>
        <v>342.3</v>
      </c>
      <c r="K92" s="1459"/>
      <c r="L92" s="2474">
        <f>ROUND(SUM(L57:L91),1)</f>
        <v>166.1</v>
      </c>
      <c r="M92" s="1459"/>
      <c r="N92" s="2041">
        <f>ROUND(SUM(N57:N91),1)</f>
        <v>128.30000000000001</v>
      </c>
      <c r="O92" s="1459"/>
      <c r="P92" s="1458">
        <f>ROUND(SUM(P57:P91),1)</f>
        <v>190.2</v>
      </c>
      <c r="Q92" s="1459"/>
      <c r="R92" s="2041">
        <f>ROUND(SUM(R57:R91),1)</f>
        <v>0</v>
      </c>
      <c r="S92" s="1459"/>
      <c r="T92" s="2041">
        <f>ROUND(SUM(T57:T91),1)</f>
        <v>0</v>
      </c>
      <c r="U92" s="1459"/>
      <c r="V92" s="2041">
        <f>ROUND(SUM(V57:V91),1)</f>
        <v>0</v>
      </c>
      <c r="W92" s="1459"/>
      <c r="X92" s="2041">
        <f>ROUND(SUM(X57:X91),1)</f>
        <v>0</v>
      </c>
      <c r="Y92" s="1459"/>
      <c r="Z92" s="2041">
        <f>ROUND(SUM(Z57:Z91),1)</f>
        <v>0</v>
      </c>
      <c r="AA92" s="2009"/>
      <c r="AB92" s="2048"/>
      <c r="AC92" s="3154">
        <f>ROUND(SUM(AC57:AC91),1)</f>
        <v>5870.4</v>
      </c>
      <c r="AD92" s="2049"/>
      <c r="AE92" s="3158" t="s">
        <v>15</v>
      </c>
      <c r="AF92" s="3487">
        <f>ROUND(SUM(AF57:AF91),1)</f>
        <v>1959.1</v>
      </c>
      <c r="AG92" s="1459"/>
      <c r="AH92" s="2479"/>
      <c r="AI92" s="2041">
        <f>ROUND(SUM(AI57:AI91),1)</f>
        <v>3911.3</v>
      </c>
      <c r="AJ92" s="1442"/>
      <c r="AK92" s="1443">
        <f>ROUND(SUM(+AI92/AF92),3)</f>
        <v>1.996</v>
      </c>
      <c r="AL92" s="2416"/>
    </row>
    <row r="93" spans="1:38" s="2480" customFormat="1" ht="8.25" customHeight="1">
      <c r="A93" s="2478"/>
      <c r="B93" s="2426"/>
      <c r="C93" s="2427"/>
      <c r="D93" s="1459"/>
      <c r="E93" s="2488"/>
      <c r="F93" s="1459"/>
      <c r="G93" s="2488"/>
      <c r="H93" s="1459"/>
      <c r="I93" s="1459"/>
      <c r="J93" s="2049"/>
      <c r="K93" s="1459"/>
      <c r="L93" s="1459"/>
      <c r="M93" s="1459"/>
      <c r="N93" s="1459"/>
      <c r="O93" s="1459"/>
      <c r="P93" s="2049"/>
      <c r="Q93" s="1459"/>
      <c r="R93" s="1459"/>
      <c r="S93" s="1459"/>
      <c r="T93" s="1459"/>
      <c r="U93" s="1459"/>
      <c r="V93" s="1459"/>
      <c r="W93" s="1459"/>
      <c r="X93" s="1459"/>
      <c r="Y93" s="1459"/>
      <c r="Z93" s="1459"/>
      <c r="AA93" s="2009"/>
      <c r="AB93" s="2048"/>
      <c r="AC93" s="2049"/>
      <c r="AD93" s="2049"/>
      <c r="AE93" s="3158"/>
      <c r="AF93" s="2049"/>
      <c r="AG93" s="1459"/>
      <c r="AH93" s="2479"/>
      <c r="AI93" s="1459"/>
      <c r="AJ93" s="1442"/>
      <c r="AK93" s="2489"/>
      <c r="AL93" s="2416"/>
    </row>
    <row r="94" spans="1:38" ht="15" customHeight="1">
      <c r="A94" s="2450"/>
      <c r="B94" s="2468" t="s">
        <v>1228</v>
      </c>
      <c r="C94" s="2021"/>
      <c r="D94" s="1788">
        <v>0</v>
      </c>
      <c r="E94" s="1441"/>
      <c r="F94" s="1788">
        <v>0</v>
      </c>
      <c r="G94" s="1441"/>
      <c r="H94" s="1788">
        <v>0</v>
      </c>
      <c r="I94" s="1441"/>
      <c r="J94" s="1788">
        <v>0</v>
      </c>
      <c r="K94" s="1997"/>
      <c r="L94" s="1788">
        <v>0</v>
      </c>
      <c r="M94" s="1997"/>
      <c r="N94" s="1788">
        <f>$AC94-$D94-$F94-$H94-$J94-$L94</f>
        <v>0.1</v>
      </c>
      <c r="O94" s="1997"/>
      <c r="P94" s="1788">
        <f>$AC94-$D94-$F94-$H94-$J94-$L94-$N94</f>
        <v>0</v>
      </c>
      <c r="Q94" s="1997"/>
      <c r="R94" s="1788"/>
      <c r="S94" s="1997"/>
      <c r="T94" s="1788"/>
      <c r="U94" s="1997"/>
      <c r="V94" s="1788"/>
      <c r="W94" s="1997"/>
      <c r="X94" s="1788"/>
      <c r="Y94" s="1997"/>
      <c r="Z94" s="1788"/>
      <c r="AA94" s="1998"/>
      <c r="AB94" s="2001"/>
      <c r="AC94" s="1804">
        <v>0.1</v>
      </c>
      <c r="AD94" s="2040"/>
      <c r="AE94" s="2001" t="s">
        <v>15</v>
      </c>
      <c r="AF94" s="1804">
        <v>0.4</v>
      </c>
      <c r="AG94" s="2006"/>
      <c r="AH94" s="2475"/>
      <c r="AI94" s="2490">
        <f>ROUND(SUM(+AC94-AF94),1)</f>
        <v>-0.3</v>
      </c>
      <c r="AJ94" s="2476"/>
      <c r="AK94" s="2491">
        <f>ROUND(IF(AF94=0,0,AI94/ABS(AF94)),3)</f>
        <v>-0.75</v>
      </c>
    </row>
    <row r="95" spans="1:38" ht="4.4000000000000004" customHeight="1">
      <c r="A95" s="2450"/>
      <c r="B95" s="2043"/>
      <c r="C95" s="2021"/>
      <c r="D95" s="2492"/>
      <c r="E95" s="1441"/>
      <c r="F95" s="2492"/>
      <c r="G95" s="1441"/>
      <c r="H95" s="2492"/>
      <c r="I95" s="1441"/>
      <c r="J95" s="2493"/>
      <c r="K95" s="2005"/>
      <c r="L95" s="2004"/>
      <c r="M95" s="2005"/>
      <c r="N95" s="2004"/>
      <c r="O95" s="2005"/>
      <c r="P95" s="3583"/>
      <c r="Q95" s="2005"/>
      <c r="R95" s="2004"/>
      <c r="S95" s="2005"/>
      <c r="T95" s="2004"/>
      <c r="U95" s="2005"/>
      <c r="V95" s="2004"/>
      <c r="W95" s="2005"/>
      <c r="X95" s="2004"/>
      <c r="Y95" s="2005"/>
      <c r="Z95" s="2004"/>
      <c r="AA95" s="2020"/>
      <c r="AB95" s="2045"/>
      <c r="AC95" s="3159"/>
      <c r="AD95" s="1994"/>
      <c r="AE95" s="2001" t="s">
        <v>15</v>
      </c>
      <c r="AF95" s="2050"/>
      <c r="AG95" s="2006"/>
      <c r="AH95" s="2475"/>
      <c r="AI95" s="1441"/>
      <c r="AJ95" s="2476"/>
      <c r="AK95" s="1430"/>
    </row>
    <row r="96" spans="1:38" ht="15" customHeight="1">
      <c r="A96" s="2450"/>
      <c r="B96" s="2426" t="s">
        <v>150</v>
      </c>
      <c r="C96" s="2021"/>
      <c r="D96" s="2019">
        <f>ROUND(SUM(D94+D92+D53),1)</f>
        <v>1882.6</v>
      </c>
      <c r="E96" s="1459"/>
      <c r="F96" s="2019">
        <f>ROUND(SUM(F94+F92+F53),1)</f>
        <v>2694.5</v>
      </c>
      <c r="G96" s="1459"/>
      <c r="H96" s="2019">
        <f>ROUND(SUM(H94+H92+H53),1)</f>
        <v>7631.3</v>
      </c>
      <c r="I96" s="1459"/>
      <c r="J96" s="1558">
        <f>ROUND(SUM(J94+J92+J53),1)</f>
        <v>6691.8</v>
      </c>
      <c r="K96" s="1459"/>
      <c r="L96" s="1558">
        <f>ROUND(SUM(L94+L92+L53),1)</f>
        <v>2248.6999999999998</v>
      </c>
      <c r="M96" s="1459"/>
      <c r="N96" s="1459">
        <f>ROUND(SUM(N94+N92+N53),1)</f>
        <v>4941.6000000000004</v>
      </c>
      <c r="O96" s="1459"/>
      <c r="P96" s="2053">
        <f>ROUND(SUM(P94+P92+P53),1)</f>
        <v>2260.8000000000002</v>
      </c>
      <c r="Q96" s="1459"/>
      <c r="R96" s="2051">
        <f>ROUND(SUM(R94+R92+R53),1)</f>
        <v>0</v>
      </c>
      <c r="S96" s="1459"/>
      <c r="T96" s="2051">
        <f>ROUND(SUM(T94+T92+T53),1)</f>
        <v>0</v>
      </c>
      <c r="U96" s="1459"/>
      <c r="V96" s="2051">
        <f>ROUND(SUM(V94+V92+V53),1)</f>
        <v>0</v>
      </c>
      <c r="W96" s="1459"/>
      <c r="X96" s="2051">
        <f>ROUND(SUM(X94+X92+X53),1)</f>
        <v>0</v>
      </c>
      <c r="Y96" s="1459"/>
      <c r="Z96" s="2051">
        <f>ROUND(SUM(Z94+Z92+Z53),1)</f>
        <v>0</v>
      </c>
      <c r="AA96" s="2052"/>
      <c r="AB96" s="2048"/>
      <c r="AC96" s="2053">
        <f>ROUND(SUM(AC94+AC92+AC53),1)</f>
        <v>28351.3</v>
      </c>
      <c r="AD96" s="2049"/>
      <c r="AE96" s="3158"/>
      <c r="AF96" s="2053">
        <f>ROUND(SUM(AF94+AF92+AF53),1)</f>
        <v>25521.4</v>
      </c>
      <c r="AG96" s="1442"/>
      <c r="AH96" s="2479"/>
      <c r="AI96" s="2051">
        <f>ROUND(SUM(AI94+AI92+AI53),1)</f>
        <v>2829.9</v>
      </c>
      <c r="AJ96" s="1442"/>
      <c r="AK96" s="1433">
        <f>ROUND(SUM(+AI96/AF96),3)</f>
        <v>0.111</v>
      </c>
    </row>
    <row r="97" spans="1:37" ht="15" customHeight="1">
      <c r="A97" s="2450"/>
      <c r="B97" s="2043"/>
      <c r="C97" s="2021"/>
      <c r="D97" s="2476"/>
      <c r="E97" s="1441"/>
      <c r="F97" s="2476"/>
      <c r="G97" s="1441"/>
      <c r="H97" s="2476"/>
      <c r="I97" s="1441"/>
      <c r="J97" s="2040"/>
      <c r="K97" s="2005"/>
      <c r="L97" s="2004"/>
      <c r="M97" s="2005"/>
      <c r="N97" s="2004"/>
      <c r="O97" s="2005"/>
      <c r="P97" s="1976"/>
      <c r="Q97" s="2005"/>
      <c r="R97" s="2006"/>
      <c r="S97" s="2005"/>
      <c r="T97" s="2006"/>
      <c r="U97" s="2005"/>
      <c r="V97" s="2006"/>
      <c r="W97" s="2005"/>
      <c r="X97" s="2006"/>
      <c r="Y97" s="2005"/>
      <c r="Z97" s="2006"/>
      <c r="AA97" s="2012"/>
      <c r="AB97" s="2045"/>
      <c r="AC97" s="2040"/>
      <c r="AD97" s="1994"/>
      <c r="AE97" s="1996"/>
      <c r="AF97" s="1976"/>
      <c r="AG97" s="2006"/>
      <c r="AH97" s="2475"/>
      <c r="AI97" s="1441"/>
      <c r="AJ97" s="2476"/>
      <c r="AK97" s="1430"/>
    </row>
    <row r="98" spans="1:37" ht="15" customHeight="1">
      <c r="A98" s="2450"/>
      <c r="B98" s="2426" t="s">
        <v>23</v>
      </c>
      <c r="C98" s="2021"/>
      <c r="D98" s="1441"/>
      <c r="E98" s="1441"/>
      <c r="F98" s="1441"/>
      <c r="G98" s="1441"/>
      <c r="H98" s="1441"/>
      <c r="I98" s="1441"/>
      <c r="J98" s="1999"/>
      <c r="K98" s="2005"/>
      <c r="L98" s="2005"/>
      <c r="M98" s="2005"/>
      <c r="N98" s="2005"/>
      <c r="O98" s="2005"/>
      <c r="P98" s="1994"/>
      <c r="Q98" s="2005"/>
      <c r="R98" s="2005"/>
      <c r="S98" s="2005"/>
      <c r="T98" s="2005"/>
      <c r="U98" s="2005"/>
      <c r="V98" s="2005"/>
      <c r="W98" s="2005"/>
      <c r="X98" s="2005"/>
      <c r="Y98" s="2005"/>
      <c r="Z98" s="2005"/>
      <c r="AA98" s="1461"/>
      <c r="AB98" s="2045"/>
      <c r="AC98" s="1999"/>
      <c r="AD98" s="1994"/>
      <c r="AE98" s="1996"/>
      <c r="AF98" s="1994"/>
      <c r="AG98" s="2005"/>
      <c r="AH98" s="2475"/>
      <c r="AI98" s="1441"/>
      <c r="AJ98" s="2476"/>
      <c r="AK98" s="1430"/>
    </row>
    <row r="99" spans="1:37" ht="15" customHeight="1">
      <c r="A99" s="2450"/>
      <c r="B99" s="2043" t="s">
        <v>151</v>
      </c>
      <c r="C99" s="2021"/>
      <c r="D99" s="2476"/>
      <c r="E99" s="2476"/>
      <c r="F99" s="2476"/>
      <c r="G99" s="2476"/>
      <c r="H99" s="2476"/>
      <c r="I99" s="2476"/>
      <c r="J99" s="2040"/>
      <c r="K99" s="2006"/>
      <c r="L99" s="2006"/>
      <c r="M99" s="2006"/>
      <c r="N99" s="2006"/>
      <c r="O99" s="2006"/>
      <c r="P99" s="1976"/>
      <c r="Q99" s="2006"/>
      <c r="R99" s="2006"/>
      <c r="S99" s="2006"/>
      <c r="T99" s="2006"/>
      <c r="U99" s="2006"/>
      <c r="V99" s="2006"/>
      <c r="W99" s="2006"/>
      <c r="X99" s="2006"/>
      <c r="Y99" s="2006"/>
      <c r="Z99" s="1788"/>
      <c r="AA99" s="1461"/>
      <c r="AB99" s="2045"/>
      <c r="AC99" s="3160"/>
      <c r="AD99" s="1994"/>
      <c r="AE99" s="1996"/>
      <c r="AF99" s="3488"/>
      <c r="AG99" s="2494"/>
      <c r="AH99" s="2475"/>
      <c r="AI99" s="1441"/>
      <c r="AJ99" s="2476"/>
      <c r="AK99" s="1430"/>
    </row>
    <row r="100" spans="1:37" ht="15" customHeight="1">
      <c r="A100" s="2450"/>
      <c r="B100" s="2459" t="s">
        <v>25</v>
      </c>
      <c r="C100" s="2021"/>
      <c r="D100" s="1788">
        <v>754.2</v>
      </c>
      <c r="E100" s="2476"/>
      <c r="F100" s="1788">
        <v>4030.1000000000004</v>
      </c>
      <c r="G100" s="2476"/>
      <c r="H100" s="1788">
        <v>3112.0999999999995</v>
      </c>
      <c r="I100" s="2476"/>
      <c r="J100" s="1788">
        <v>563.30000000000109</v>
      </c>
      <c r="K100" s="1997"/>
      <c r="L100" s="1788">
        <v>856.3</v>
      </c>
      <c r="M100" s="1997"/>
      <c r="N100" s="1788">
        <v>1571.4999999999984</v>
      </c>
      <c r="O100" s="1997"/>
      <c r="P100" s="1788">
        <f>$AC100-$D100-$F100-$H100-$J100-$L100-$N100</f>
        <v>1051.2000000000005</v>
      </c>
      <c r="Q100" s="1997"/>
      <c r="R100" s="1788"/>
      <c r="S100" s="1997"/>
      <c r="T100" s="1788"/>
      <c r="U100" s="1997"/>
      <c r="V100" s="1788"/>
      <c r="W100" s="1997"/>
      <c r="X100" s="1788"/>
      <c r="Y100" s="1997"/>
      <c r="Z100" s="1788"/>
      <c r="AA100" s="1998"/>
      <c r="AB100" s="2001"/>
      <c r="AC100" s="1804">
        <v>11938.7</v>
      </c>
      <c r="AD100" s="2040"/>
      <c r="AE100" s="2001" t="s">
        <v>15</v>
      </c>
      <c r="AF100" s="1804">
        <v>12802.4</v>
      </c>
      <c r="AG100" s="2494"/>
      <c r="AH100" s="2475"/>
      <c r="AI100" s="1441">
        <f>ROUND(SUM(+AC100-AF100),1)</f>
        <v>-863.7</v>
      </c>
      <c r="AJ100" s="2476"/>
      <c r="AK100" s="1436">
        <f>ROUND(IF(AF100=0,0,AI100/ABS(AF100)),3)</f>
        <v>-6.7000000000000004E-2</v>
      </c>
    </row>
    <row r="101" spans="1:37" ht="15" customHeight="1">
      <c r="A101" s="2450"/>
      <c r="B101" s="2459" t="s">
        <v>26</v>
      </c>
      <c r="C101" s="2021"/>
      <c r="D101" s="1788">
        <v>0.1</v>
      </c>
      <c r="E101" s="1441"/>
      <c r="F101" s="1788">
        <v>0</v>
      </c>
      <c r="G101" s="1441"/>
      <c r="H101" s="1788">
        <v>0</v>
      </c>
      <c r="I101" s="1441"/>
      <c r="J101" s="1788">
        <v>0</v>
      </c>
      <c r="K101" s="1997"/>
      <c r="L101" s="1788">
        <v>-0.1</v>
      </c>
      <c r="M101" s="1997"/>
      <c r="N101" s="1788">
        <v>0</v>
      </c>
      <c r="O101" s="1997"/>
      <c r="P101" s="1788">
        <f t="shared" ref="P101:P109" si="17">$AC101-$D101-$F101-$H101-$J101-$L101-$N101</f>
        <v>0</v>
      </c>
      <c r="Q101" s="1997"/>
      <c r="R101" s="1788"/>
      <c r="S101" s="1997"/>
      <c r="T101" s="1788"/>
      <c r="U101" s="1997"/>
      <c r="V101" s="1788"/>
      <c r="W101" s="1997"/>
      <c r="X101" s="1788"/>
      <c r="Y101" s="1997"/>
      <c r="Z101" s="1788"/>
      <c r="AA101" s="1998"/>
      <c r="AB101" s="2001"/>
      <c r="AC101" s="1804">
        <v>0</v>
      </c>
      <c r="AD101" s="2040"/>
      <c r="AE101" s="2001" t="s">
        <v>15</v>
      </c>
      <c r="AF101" s="1804">
        <v>2</v>
      </c>
      <c r="AG101" s="2005"/>
      <c r="AH101" s="2475"/>
      <c r="AI101" s="1441">
        <f t="shared" ref="AI101:AI109" si="18">ROUND(SUM(+AC101-AF101),1)</f>
        <v>-2</v>
      </c>
      <c r="AJ101" s="2476"/>
      <c r="AK101" s="1436">
        <f>ROUND(IF(AF101=0,1,AI101/ABS(AF101)),3)</f>
        <v>-1</v>
      </c>
    </row>
    <row r="102" spans="1:37" ht="15" customHeight="1">
      <c r="A102" s="2450"/>
      <c r="B102" s="2459" t="s">
        <v>27</v>
      </c>
      <c r="C102" s="2021"/>
      <c r="D102" s="1788">
        <v>6.8</v>
      </c>
      <c r="E102" s="1441"/>
      <c r="F102" s="1788">
        <v>0.70000000000000018</v>
      </c>
      <c r="G102" s="1441"/>
      <c r="H102" s="1788">
        <v>493.7</v>
      </c>
      <c r="I102" s="1441"/>
      <c r="J102" s="1788">
        <v>12.400000000000034</v>
      </c>
      <c r="K102" s="1997"/>
      <c r="L102" s="1788">
        <v>0.6</v>
      </c>
      <c r="M102" s="1997"/>
      <c r="N102" s="1788">
        <v>51.699999999999953</v>
      </c>
      <c r="O102" s="1997"/>
      <c r="P102" s="1788">
        <f t="shared" si="17"/>
        <v>62.399999999999984</v>
      </c>
      <c r="Q102" s="1997"/>
      <c r="R102" s="1788"/>
      <c r="S102" s="1997"/>
      <c r="T102" s="1788"/>
      <c r="U102" s="1997"/>
      <c r="V102" s="1788"/>
      <c r="W102" s="1997"/>
      <c r="X102" s="1788"/>
      <c r="Y102" s="1997"/>
      <c r="Z102" s="1788"/>
      <c r="AA102" s="1998"/>
      <c r="AB102" s="2001"/>
      <c r="AC102" s="1804">
        <v>628.29999999999995</v>
      </c>
      <c r="AD102" s="2040"/>
      <c r="AE102" s="2001" t="s">
        <v>15</v>
      </c>
      <c r="AF102" s="1804">
        <v>707.4</v>
      </c>
      <c r="AG102" s="2005"/>
      <c r="AH102" s="2475"/>
      <c r="AI102" s="1441">
        <f t="shared" si="18"/>
        <v>-79.099999999999994</v>
      </c>
      <c r="AJ102" s="2476"/>
      <c r="AK102" s="1436">
        <f>ROUND(IF(AF102=0,0,AI102/ABS(AF102)),3)</f>
        <v>-0.112</v>
      </c>
    </row>
    <row r="103" spans="1:37" ht="15" customHeight="1">
      <c r="A103" s="2450"/>
      <c r="B103" s="2459" t="s">
        <v>28</v>
      </c>
      <c r="C103" s="2021"/>
      <c r="D103" s="1788" t="s">
        <v>15</v>
      </c>
      <c r="E103" s="1441"/>
      <c r="F103" s="1788"/>
      <c r="G103" s="1441"/>
      <c r="H103" s="1788"/>
      <c r="I103" s="1441"/>
      <c r="J103" s="1788"/>
      <c r="K103" s="1997"/>
      <c r="L103" s="1788"/>
      <c r="M103" s="1997"/>
      <c r="N103" s="1788"/>
      <c r="O103" s="1997"/>
      <c r="P103" s="1788"/>
      <c r="Q103" s="1997"/>
      <c r="R103" s="1788"/>
      <c r="S103" s="1997"/>
      <c r="T103" s="1788"/>
      <c r="U103" s="1997"/>
      <c r="V103" s="1788"/>
      <c r="W103" s="1997"/>
      <c r="X103" s="1788"/>
      <c r="Y103" s="1997"/>
      <c r="Z103" s="1788"/>
      <c r="AA103" s="1998"/>
      <c r="AB103" s="2001"/>
      <c r="AC103" s="1804"/>
      <c r="AD103" s="2040"/>
      <c r="AE103" s="2001" t="s">
        <v>15</v>
      </c>
      <c r="AF103" s="1804"/>
      <c r="AG103" s="2005"/>
      <c r="AH103" s="2475"/>
      <c r="AI103" s="1441" t="s">
        <v>15</v>
      </c>
      <c r="AJ103" s="2476"/>
      <c r="AK103" s="1430" t="s">
        <v>15</v>
      </c>
    </row>
    <row r="104" spans="1:37" ht="15" customHeight="1">
      <c r="A104" s="2450"/>
      <c r="B104" s="2495" t="s">
        <v>29</v>
      </c>
      <c r="C104" s="2021"/>
      <c r="D104" s="1788">
        <v>229.4</v>
      </c>
      <c r="E104" s="1441"/>
      <c r="F104" s="1788">
        <v>1283.5999999999999</v>
      </c>
      <c r="G104" s="1441"/>
      <c r="H104" s="1788">
        <v>2466.9</v>
      </c>
      <c r="I104" s="1441"/>
      <c r="J104" s="1788">
        <v>1220.8000000000002</v>
      </c>
      <c r="K104" s="1997"/>
      <c r="L104" s="1788">
        <v>1431.7999999999997</v>
      </c>
      <c r="M104" s="1997"/>
      <c r="N104" s="1788">
        <v>1614.5000000000005</v>
      </c>
      <c r="O104" s="1997"/>
      <c r="P104" s="1788">
        <f t="shared" si="17"/>
        <v>999.5</v>
      </c>
      <c r="Q104" s="1997"/>
      <c r="R104" s="1788"/>
      <c r="S104" s="1997"/>
      <c r="T104" s="1788"/>
      <c r="U104" s="1997"/>
      <c r="V104" s="1788"/>
      <c r="W104" s="1997"/>
      <c r="X104" s="1788"/>
      <c r="Y104" s="1997"/>
      <c r="Z104" s="1788"/>
      <c r="AA104" s="1998"/>
      <c r="AB104" s="2001"/>
      <c r="AC104" s="1804">
        <v>9246.5</v>
      </c>
      <c r="AD104" s="2040"/>
      <c r="AE104" s="2001" t="s">
        <v>15</v>
      </c>
      <c r="AF104" s="1804">
        <v>11631.4</v>
      </c>
      <c r="AG104" s="2005"/>
      <c r="AH104" s="2475"/>
      <c r="AI104" s="1441">
        <f t="shared" si="18"/>
        <v>-2384.9</v>
      </c>
      <c r="AJ104" s="2476"/>
      <c r="AK104" s="1436">
        <f t="shared" ref="AK104:AK108" si="19">ROUND(IF(AF104=0,0,AI104/ABS(AF104)),3)</f>
        <v>-0.20499999999999999</v>
      </c>
    </row>
    <row r="105" spans="1:37" ht="15" customHeight="1">
      <c r="A105" s="2450"/>
      <c r="B105" s="2459" t="s">
        <v>30</v>
      </c>
      <c r="C105" s="2021"/>
      <c r="D105" s="1788">
        <v>63.9</v>
      </c>
      <c r="E105" s="1441"/>
      <c r="F105" s="1788">
        <v>47.300000000000004</v>
      </c>
      <c r="G105" s="1441"/>
      <c r="H105" s="1788">
        <v>239.8</v>
      </c>
      <c r="I105" s="1441"/>
      <c r="J105" s="1788">
        <v>433.90000000000003</v>
      </c>
      <c r="K105" s="1997"/>
      <c r="L105" s="1788">
        <v>72.700000000000045</v>
      </c>
      <c r="M105" s="1997"/>
      <c r="N105" s="1788">
        <v>247.29999999999978</v>
      </c>
      <c r="O105" s="1997"/>
      <c r="P105" s="1788">
        <f t="shared" si="17"/>
        <v>193.60000000000031</v>
      </c>
      <c r="Q105" s="1997"/>
      <c r="R105" s="1788"/>
      <c r="S105" s="1997"/>
      <c r="T105" s="1788"/>
      <c r="U105" s="1997"/>
      <c r="V105" s="1788"/>
      <c r="W105" s="1997"/>
      <c r="X105" s="1788"/>
      <c r="Y105" s="1997"/>
      <c r="Z105" s="1788"/>
      <c r="AA105" s="1998"/>
      <c r="AB105" s="2001"/>
      <c r="AC105" s="1804">
        <v>1298.5000000000002</v>
      </c>
      <c r="AD105" s="2040"/>
      <c r="AE105" s="2001" t="s">
        <v>15</v>
      </c>
      <c r="AF105" s="1804">
        <v>1369.9</v>
      </c>
      <c r="AG105" s="2005"/>
      <c r="AH105" s="2475"/>
      <c r="AI105" s="1441">
        <f t="shared" si="18"/>
        <v>-71.400000000000006</v>
      </c>
      <c r="AJ105" s="2476"/>
      <c r="AK105" s="1436">
        <f t="shared" si="19"/>
        <v>-5.1999999999999998E-2</v>
      </c>
    </row>
    <row r="106" spans="1:37" ht="15" customHeight="1">
      <c r="A106" s="2450"/>
      <c r="B106" s="2459" t="s">
        <v>31</v>
      </c>
      <c r="C106" s="2021"/>
      <c r="D106" s="1788">
        <v>2.9</v>
      </c>
      <c r="E106" s="1441"/>
      <c r="F106" s="1788">
        <v>1.4</v>
      </c>
      <c r="G106" s="1441"/>
      <c r="H106" s="1788">
        <v>0.29999999999999982</v>
      </c>
      <c r="I106" s="1441"/>
      <c r="J106" s="1788">
        <v>2.7000000000000006</v>
      </c>
      <c r="K106" s="1997"/>
      <c r="L106" s="1788">
        <v>7.8999999999999968</v>
      </c>
      <c r="M106" s="1997"/>
      <c r="N106" s="1788">
        <v>14.100000000000007</v>
      </c>
      <c r="O106" s="1997"/>
      <c r="P106" s="1788">
        <f t="shared" si="17"/>
        <v>7.300000000000006</v>
      </c>
      <c r="Q106" s="1997"/>
      <c r="R106" s="1788"/>
      <c r="S106" s="1997"/>
      <c r="T106" s="1788"/>
      <c r="U106" s="1997"/>
      <c r="V106" s="1788"/>
      <c r="W106" s="1997"/>
      <c r="X106" s="1788"/>
      <c r="Y106" s="1997"/>
      <c r="Z106" s="1788"/>
      <c r="AA106" s="1998"/>
      <c r="AB106" s="2001"/>
      <c r="AC106" s="1804">
        <v>36.6</v>
      </c>
      <c r="AD106" s="2040"/>
      <c r="AE106" s="2001" t="s">
        <v>15</v>
      </c>
      <c r="AF106" s="1804">
        <v>104.9</v>
      </c>
      <c r="AG106" s="2005"/>
      <c r="AH106" s="2475" t="s">
        <v>15</v>
      </c>
      <c r="AI106" s="1441">
        <f t="shared" si="18"/>
        <v>-68.3</v>
      </c>
      <c r="AJ106" s="2476"/>
      <c r="AK106" s="1436">
        <f t="shared" si="19"/>
        <v>-0.65100000000000002</v>
      </c>
    </row>
    <row r="107" spans="1:37" ht="15" customHeight="1">
      <c r="A107" s="2450"/>
      <c r="B107" s="2459" t="s">
        <v>32</v>
      </c>
      <c r="C107" s="2021"/>
      <c r="D107" s="1788">
        <v>76.900000000000006</v>
      </c>
      <c r="E107" s="1441"/>
      <c r="F107" s="1788">
        <v>158</v>
      </c>
      <c r="G107" s="1441"/>
      <c r="H107" s="1788">
        <v>61.400000000000006</v>
      </c>
      <c r="I107" s="1441"/>
      <c r="J107" s="1788">
        <v>577.5</v>
      </c>
      <c r="K107" s="1997"/>
      <c r="L107" s="1788">
        <v>57.100000000000023</v>
      </c>
      <c r="M107" s="1997"/>
      <c r="N107" s="1788">
        <v>426.6999999999997</v>
      </c>
      <c r="O107" s="1997"/>
      <c r="P107" s="1788">
        <f t="shared" si="17"/>
        <v>70.300000000000182</v>
      </c>
      <c r="Q107" s="1997"/>
      <c r="R107" s="1788"/>
      <c r="S107" s="1997"/>
      <c r="T107" s="1788"/>
      <c r="U107" s="1997"/>
      <c r="V107" s="1788"/>
      <c r="W107" s="1997"/>
      <c r="X107" s="1788"/>
      <c r="Y107" s="1997"/>
      <c r="Z107" s="1788"/>
      <c r="AA107" s="1998"/>
      <c r="AB107" s="2001"/>
      <c r="AC107" s="1804">
        <v>1427.9</v>
      </c>
      <c r="AD107" s="2040"/>
      <c r="AE107" s="2001" t="s">
        <v>15</v>
      </c>
      <c r="AF107" s="1804">
        <v>1256.5</v>
      </c>
      <c r="AG107" s="2005"/>
      <c r="AH107" s="2475"/>
      <c r="AI107" s="1441">
        <f t="shared" si="18"/>
        <v>171.4</v>
      </c>
      <c r="AJ107" s="2476"/>
      <c r="AK107" s="1436">
        <f t="shared" si="19"/>
        <v>0.13600000000000001</v>
      </c>
    </row>
    <row r="108" spans="1:37" ht="15" customHeight="1">
      <c r="A108" s="2450"/>
      <c r="B108" s="2459" t="s">
        <v>33</v>
      </c>
      <c r="C108" s="2021"/>
      <c r="D108" s="1788">
        <v>4.6000000000000005</v>
      </c>
      <c r="E108" s="1441"/>
      <c r="F108" s="1788">
        <v>6.7</v>
      </c>
      <c r="G108" s="1441"/>
      <c r="H108" s="1788">
        <v>4.6000000000000005</v>
      </c>
      <c r="I108" s="1441"/>
      <c r="J108" s="1788">
        <v>4.799999999999998</v>
      </c>
      <c r="K108" s="1997"/>
      <c r="L108" s="1788">
        <v>4.3</v>
      </c>
      <c r="M108" s="1997"/>
      <c r="N108" s="1788">
        <v>5.6000000000000023</v>
      </c>
      <c r="O108" s="1997"/>
      <c r="P108" s="1788">
        <f t="shared" si="17"/>
        <v>9</v>
      </c>
      <c r="Q108" s="1997"/>
      <c r="R108" s="1788"/>
      <c r="S108" s="1997"/>
      <c r="T108" s="1788"/>
      <c r="U108" s="1997"/>
      <c r="V108" s="1788"/>
      <c r="W108" s="1997"/>
      <c r="X108" s="1788"/>
      <c r="Y108" s="1997"/>
      <c r="Z108" s="1788"/>
      <c r="AA108" s="1998"/>
      <c r="AB108" s="2001"/>
      <c r="AC108" s="1804">
        <v>39.6</v>
      </c>
      <c r="AD108" s="2040"/>
      <c r="AE108" s="2001" t="s">
        <v>15</v>
      </c>
      <c r="AF108" s="1804">
        <v>90.7</v>
      </c>
      <c r="AG108" s="2005"/>
      <c r="AH108" s="2475"/>
      <c r="AI108" s="1441">
        <f t="shared" si="18"/>
        <v>-51.1</v>
      </c>
      <c r="AJ108" s="2476"/>
      <c r="AK108" s="1436">
        <f t="shared" si="19"/>
        <v>-0.56299999999999994</v>
      </c>
    </row>
    <row r="109" spans="1:37" ht="15" customHeight="1">
      <c r="A109" s="2450"/>
      <c r="B109" s="2459" t="s">
        <v>34</v>
      </c>
      <c r="C109" s="2021"/>
      <c r="D109" s="1788">
        <v>0.1</v>
      </c>
      <c r="E109" s="1441"/>
      <c r="F109" s="1788">
        <v>0</v>
      </c>
      <c r="G109" s="1441"/>
      <c r="H109" s="1788">
        <v>0</v>
      </c>
      <c r="I109" s="1441"/>
      <c r="J109" s="1788">
        <v>24.5</v>
      </c>
      <c r="K109" s="1997"/>
      <c r="L109" s="1788">
        <v>12.699999999999996</v>
      </c>
      <c r="M109" s="1997"/>
      <c r="N109" s="1788">
        <v>2</v>
      </c>
      <c r="O109" s="1997"/>
      <c r="P109" s="1788">
        <f t="shared" si="17"/>
        <v>2.9000000000000057</v>
      </c>
      <c r="Q109" s="1997"/>
      <c r="R109" s="1788"/>
      <c r="S109" s="1997"/>
      <c r="T109" s="1788"/>
      <c r="U109" s="1997"/>
      <c r="V109" s="1788"/>
      <c r="W109" s="1997"/>
      <c r="X109" s="1788"/>
      <c r="Y109" s="1997"/>
      <c r="Z109" s="1788"/>
      <c r="AA109" s="1998"/>
      <c r="AB109" s="2001"/>
      <c r="AC109" s="1804">
        <v>42.2</v>
      </c>
      <c r="AD109" s="2040"/>
      <c r="AE109" s="2001" t="s">
        <v>15</v>
      </c>
      <c r="AF109" s="1804">
        <v>62</v>
      </c>
      <c r="AG109" s="2037"/>
      <c r="AH109" s="2496"/>
      <c r="AI109" s="1441">
        <f t="shared" si="18"/>
        <v>-19.8</v>
      </c>
      <c r="AJ109" s="2497"/>
      <c r="AK109" s="1436">
        <f>ROUND(IF(AF109=0,1,AI109/ABS(AF109)),3)</f>
        <v>-0.31900000000000001</v>
      </c>
    </row>
    <row r="110" spans="1:37" ht="15" customHeight="1">
      <c r="A110" s="2450"/>
      <c r="B110" s="2468" t="s">
        <v>973</v>
      </c>
      <c r="C110" s="2021"/>
      <c r="D110" s="2041">
        <f>ROUND(SUM(D100:D109),1)</f>
        <v>1138.9000000000001</v>
      </c>
      <c r="E110" s="1459"/>
      <c r="F110" s="2041">
        <f>ROUND(SUM(F100:F109),1)</f>
        <v>5527.8</v>
      </c>
      <c r="G110" s="1459"/>
      <c r="H110" s="2041">
        <f>ROUND(SUM(H100:H109),1)</f>
        <v>6378.8</v>
      </c>
      <c r="I110" s="1442"/>
      <c r="J110" s="1458">
        <f>ROUND(SUM(J100:J109),1)</f>
        <v>2839.9</v>
      </c>
      <c r="K110" s="1442"/>
      <c r="L110" s="2041">
        <f>ROUND(SUM(L100:L109),1)</f>
        <v>2443.3000000000002</v>
      </c>
      <c r="M110" s="1442"/>
      <c r="N110" s="2041">
        <f>ROUND(SUM(N100:N109),1)</f>
        <v>3933.4</v>
      </c>
      <c r="O110" s="1442"/>
      <c r="P110" s="1458">
        <f>ROUND(SUM(P100:P109),1)</f>
        <v>2396.1999999999998</v>
      </c>
      <c r="Q110" s="1442"/>
      <c r="R110" s="2041">
        <f>ROUND(SUM(R100:R109),1)</f>
        <v>0</v>
      </c>
      <c r="S110" s="1442"/>
      <c r="T110" s="2041">
        <f>ROUND(SUM(T100:T109),1)</f>
        <v>0</v>
      </c>
      <c r="U110" s="1442"/>
      <c r="V110" s="2041">
        <f>ROUND(SUM(V100:V109),1)</f>
        <v>0</v>
      </c>
      <c r="W110" s="1442"/>
      <c r="X110" s="2041">
        <f>ROUND(SUM(X100:X109),1)</f>
        <v>0</v>
      </c>
      <c r="Y110" s="1442"/>
      <c r="Z110" s="2041">
        <f>ROUND(SUM(Z100:Z109),1)</f>
        <v>0</v>
      </c>
      <c r="AA110" s="2052"/>
      <c r="AB110" s="2048"/>
      <c r="AC110" s="1458">
        <f>SUM(AC100:AC109)</f>
        <v>24658.3</v>
      </c>
      <c r="AD110" s="2049"/>
      <c r="AE110" s="3158" t="s">
        <v>15</v>
      </c>
      <c r="AF110" s="1458">
        <f>ROUND(SUM(AF100:AF109),1)</f>
        <v>28027.200000000001</v>
      </c>
      <c r="AG110" s="1442"/>
      <c r="AH110" s="2479"/>
      <c r="AI110" s="2041">
        <f>ROUND(SUM(+AC110-AF110),1)</f>
        <v>-3368.9</v>
      </c>
      <c r="AJ110" s="1442"/>
      <c r="AK110" s="2498">
        <f>ROUND(SUM(AI110/AF110),3)</f>
        <v>-0.12</v>
      </c>
    </row>
    <row r="111" spans="1:37" ht="15" customHeight="1">
      <c r="A111" s="2450"/>
      <c r="B111" s="2043" t="s">
        <v>152</v>
      </c>
      <c r="C111" s="2021"/>
      <c r="D111" s="1441"/>
      <c r="E111" s="1441"/>
      <c r="F111" s="1441"/>
      <c r="G111" s="1441"/>
      <c r="H111" s="1441"/>
      <c r="I111" s="1441"/>
      <c r="J111" s="1999"/>
      <c r="K111" s="2005"/>
      <c r="L111" s="2005"/>
      <c r="M111" s="2005"/>
      <c r="N111" s="2005"/>
      <c r="O111" s="2005"/>
      <c r="P111" s="1994"/>
      <c r="Q111" s="2005"/>
      <c r="R111" s="2005"/>
      <c r="S111" s="2005"/>
      <c r="T111" s="2005"/>
      <c r="U111" s="2005"/>
      <c r="V111" s="2005"/>
      <c r="W111" s="2005"/>
      <c r="X111" s="2005"/>
      <c r="Y111" s="2005"/>
      <c r="Z111" s="2005"/>
      <c r="AA111" s="1461"/>
      <c r="AB111" s="2045"/>
      <c r="AC111" s="1999"/>
      <c r="AD111" s="1994"/>
      <c r="AE111" s="1996"/>
      <c r="AF111" s="1994"/>
      <c r="AG111" s="2005"/>
      <c r="AH111" s="2475"/>
      <c r="AI111" s="1441"/>
      <c r="AJ111" s="2476"/>
      <c r="AK111" s="1430"/>
    </row>
    <row r="112" spans="1:37" ht="15" customHeight="1">
      <c r="A112" s="2450"/>
      <c r="B112" s="2043" t="s">
        <v>153</v>
      </c>
      <c r="C112" s="2021"/>
      <c r="D112" s="1788">
        <v>893.7</v>
      </c>
      <c r="E112" s="1441"/>
      <c r="F112" s="1788">
        <v>691.3</v>
      </c>
      <c r="G112" s="1441"/>
      <c r="H112" s="1788">
        <v>564.59999999999991</v>
      </c>
      <c r="I112" s="1441"/>
      <c r="J112" s="1788">
        <v>738.80000000000018</v>
      </c>
      <c r="K112" s="1997"/>
      <c r="L112" s="1788">
        <v>663.19999999999959</v>
      </c>
      <c r="M112" s="1997"/>
      <c r="N112" s="1788">
        <v>835.8</v>
      </c>
      <c r="O112" s="1997"/>
      <c r="P112" s="1788">
        <f>$AC112-$D112-$F112-$H112-$J112-$L112-$N112</f>
        <v>598</v>
      </c>
      <c r="Q112" s="1997"/>
      <c r="R112" s="1788"/>
      <c r="S112" s="1997"/>
      <c r="T112" s="1788"/>
      <c r="U112" s="1997"/>
      <c r="V112" s="1788"/>
      <c r="W112" s="1997"/>
      <c r="X112" s="1788"/>
      <c r="Y112" s="1997"/>
      <c r="Z112" s="1788"/>
      <c r="AA112" s="1998"/>
      <c r="AB112" s="2001"/>
      <c r="AC112" s="1804">
        <v>4985.3999999999996</v>
      </c>
      <c r="AD112" s="2040"/>
      <c r="AE112" s="2001" t="s">
        <v>15</v>
      </c>
      <c r="AF112" s="1804">
        <v>5471.3</v>
      </c>
      <c r="AG112" s="2005"/>
      <c r="AH112" s="2475"/>
      <c r="AI112" s="1441">
        <f>ROUND(SUM(+AC112-AF112),1)</f>
        <v>-485.9</v>
      </c>
      <c r="AJ112" s="2476"/>
      <c r="AK112" s="1436">
        <f>ROUND(IF(AF112=0,0,AI112/ABS(AF112)),3)</f>
        <v>-8.8999999999999996E-2</v>
      </c>
    </row>
    <row r="113" spans="1:38" ht="15" customHeight="1">
      <c r="A113" s="2450"/>
      <c r="B113" s="2499" t="s">
        <v>154</v>
      </c>
      <c r="C113" s="2021"/>
      <c r="D113" s="1788">
        <v>313.2</v>
      </c>
      <c r="E113" s="1441"/>
      <c r="F113" s="1788">
        <v>195.2</v>
      </c>
      <c r="G113" s="1441"/>
      <c r="H113" s="1788">
        <v>165</v>
      </c>
      <c r="I113" s="1441"/>
      <c r="J113" s="1788">
        <v>-506.7</v>
      </c>
      <c r="K113" s="1997"/>
      <c r="L113" s="1788">
        <v>222.40000000000003</v>
      </c>
      <c r="M113" s="1997"/>
      <c r="N113" s="1788">
        <v>260.69999999999993</v>
      </c>
      <c r="O113" s="1997"/>
      <c r="P113" s="1788">
        <f t="shared" ref="P113:P114" si="20">$AC113-$D113-$F113-$H113-$J113-$L113-$N113</f>
        <v>183.60000000000008</v>
      </c>
      <c r="Q113" s="1997"/>
      <c r="R113" s="1788"/>
      <c r="S113" s="1997"/>
      <c r="T113" s="1788"/>
      <c r="U113" s="1997"/>
      <c r="V113" s="1788"/>
      <c r="W113" s="1997"/>
      <c r="X113" s="1788"/>
      <c r="Y113" s="1997"/>
      <c r="Z113" s="1788"/>
      <c r="AA113" s="1998"/>
      <c r="AB113" s="2001"/>
      <c r="AC113" s="1804">
        <v>833.4</v>
      </c>
      <c r="AD113" s="2040"/>
      <c r="AE113" s="2001" t="s">
        <v>15</v>
      </c>
      <c r="AF113" s="1804">
        <v>1484.7</v>
      </c>
      <c r="AG113" s="2005"/>
      <c r="AH113" s="2475"/>
      <c r="AI113" s="1441">
        <f>ROUND(SUM(+AC113-AF113),1)</f>
        <v>-651.29999999999995</v>
      </c>
      <c r="AJ113" s="2476"/>
      <c r="AK113" s="1436">
        <f>ROUND(IF(AF113=0,0,AI113/ABS(AF113)),3)</f>
        <v>-0.439</v>
      </c>
    </row>
    <row r="114" spans="1:38" ht="15" customHeight="1">
      <c r="A114" s="2450"/>
      <c r="B114" s="2499" t="s">
        <v>155</v>
      </c>
      <c r="C114" s="2021"/>
      <c r="D114" s="1788">
        <v>460.2</v>
      </c>
      <c r="E114" s="2483"/>
      <c r="F114" s="1788">
        <v>330.50000000000006</v>
      </c>
      <c r="G114" s="2483"/>
      <c r="H114" s="1788">
        <v>2511.9</v>
      </c>
      <c r="I114" s="1441"/>
      <c r="J114" s="1788">
        <v>335.90000000000009</v>
      </c>
      <c r="K114" s="1997"/>
      <c r="L114" s="1788">
        <v>271.09999999999991</v>
      </c>
      <c r="M114" s="1997"/>
      <c r="N114" s="1788">
        <v>476.29999999999973</v>
      </c>
      <c r="O114" s="1997"/>
      <c r="P114" s="1788">
        <f t="shared" si="20"/>
        <v>387.40000000000055</v>
      </c>
      <c r="Q114" s="1997"/>
      <c r="R114" s="1788"/>
      <c r="S114" s="1997"/>
      <c r="T114" s="1788"/>
      <c r="U114" s="1997"/>
      <c r="V114" s="1788"/>
      <c r="W114" s="1997"/>
      <c r="X114" s="1788"/>
      <c r="Y114" s="1997"/>
      <c r="Z114" s="1788"/>
      <c r="AA114" s="1998"/>
      <c r="AB114" s="2001"/>
      <c r="AC114" s="1804">
        <v>4773.3</v>
      </c>
      <c r="AD114" s="2040"/>
      <c r="AE114" s="2001" t="s">
        <v>15</v>
      </c>
      <c r="AF114" s="1804">
        <v>5300.2</v>
      </c>
      <c r="AG114" s="2006"/>
      <c r="AH114" s="2475"/>
      <c r="AI114" s="2490">
        <f>ROUND(SUM(+AC114-AF114),1)</f>
        <v>-526.9</v>
      </c>
      <c r="AJ114" s="2476"/>
      <c r="AK114" s="1439">
        <f>ROUND(IF(AF114=0,0,AI114/ABS(AF114)),3)</f>
        <v>-9.9000000000000005E-2</v>
      </c>
    </row>
    <row r="115" spans="1:38" ht="7.5" customHeight="1">
      <c r="A115" s="2450"/>
      <c r="B115" s="2043"/>
      <c r="C115" s="2021"/>
      <c r="D115" s="2492"/>
      <c r="E115" s="1441"/>
      <c r="F115" s="2492"/>
      <c r="G115" s="1441"/>
      <c r="H115" s="2492"/>
      <c r="I115" s="1441"/>
      <c r="J115" s="2493"/>
      <c r="K115" s="2005"/>
      <c r="L115" s="2004"/>
      <c r="M115" s="2005"/>
      <c r="N115" s="2004"/>
      <c r="O115" s="2005"/>
      <c r="P115" s="2050"/>
      <c r="Q115" s="2005"/>
      <c r="R115" s="2148"/>
      <c r="S115" s="2005"/>
      <c r="T115" s="2004"/>
      <c r="U115" s="2005"/>
      <c r="V115" s="2004"/>
      <c r="W115" s="2005"/>
      <c r="X115" s="2004"/>
      <c r="Y115" s="2005"/>
      <c r="Z115" s="2004"/>
      <c r="AA115" s="2012"/>
      <c r="AB115" s="2045"/>
      <c r="AC115" s="3159"/>
      <c r="AD115" s="1994"/>
      <c r="AE115" s="1996"/>
      <c r="AF115" s="2050"/>
      <c r="AG115" s="2006"/>
      <c r="AH115" s="2475"/>
      <c r="AI115" s="1441"/>
      <c r="AJ115" s="2476"/>
      <c r="AK115" s="1430"/>
    </row>
    <row r="116" spans="1:38" ht="15" customHeight="1">
      <c r="A116" s="2450"/>
      <c r="B116" s="2426" t="s">
        <v>156</v>
      </c>
      <c r="C116" s="2021"/>
      <c r="D116" s="1459">
        <f>ROUND(SUM(D112:D114)+D110,1)</f>
        <v>2806</v>
      </c>
      <c r="E116" s="1459"/>
      <c r="F116" s="1459">
        <f>ROUND(SUM(F110:F114),1)</f>
        <v>6744.8</v>
      </c>
      <c r="G116" s="1459"/>
      <c r="H116" s="1459">
        <f>ROUND(SUM(H110:H114),1)</f>
        <v>9620.2999999999993</v>
      </c>
      <c r="I116" s="1459"/>
      <c r="J116" s="2049">
        <f>ROUND(SUM(J110:J114),1)</f>
        <v>3407.9</v>
      </c>
      <c r="K116" s="1459"/>
      <c r="L116" s="1459">
        <f>ROUND(SUM(L110:L114),1)</f>
        <v>3600</v>
      </c>
      <c r="M116" s="1459"/>
      <c r="N116" s="1459">
        <f>ROUND(SUM(N110:N114),1)</f>
        <v>5506.2</v>
      </c>
      <c r="O116" s="1459"/>
      <c r="P116" s="2049">
        <f>ROUND(SUM(P110:P114),1)</f>
        <v>3565.2</v>
      </c>
      <c r="Q116" s="1459"/>
      <c r="R116" s="1459">
        <f>ROUND(SUM(R110:R114),1)</f>
        <v>0</v>
      </c>
      <c r="S116" s="1459"/>
      <c r="T116" s="1459">
        <f>ROUND(SUM(T110:T114),1)</f>
        <v>0</v>
      </c>
      <c r="U116" s="1459"/>
      <c r="V116" s="1459">
        <f>ROUND(SUM(V110:V114),1)</f>
        <v>0</v>
      </c>
      <c r="W116" s="1459"/>
      <c r="X116" s="1459">
        <f>ROUND(SUM(X110:X114),1)</f>
        <v>0</v>
      </c>
      <c r="Y116" s="1459"/>
      <c r="Z116" s="1459">
        <f>ROUND(SUM(Z110:Z114),1)</f>
        <v>0</v>
      </c>
      <c r="AA116" s="2052"/>
      <c r="AB116" s="2048"/>
      <c r="AC116" s="2049">
        <f>ROUND(SUM(AC110:AC114),1)</f>
        <v>35250.400000000001</v>
      </c>
      <c r="AD116" s="2049"/>
      <c r="AE116" s="3158"/>
      <c r="AF116" s="2049">
        <f>ROUND(SUM(AF110:AF114),1)</f>
        <v>40283.4</v>
      </c>
      <c r="AG116" s="1442"/>
      <c r="AH116" s="2479"/>
      <c r="AI116" s="1558">
        <f>ROUND(SUM(AI110:AI114),1)</f>
        <v>-5033</v>
      </c>
      <c r="AJ116" s="1442"/>
      <c r="AK116" s="2500">
        <f>ROUND(SUM(AI116/AF116),3)</f>
        <v>-0.125</v>
      </c>
    </row>
    <row r="117" spans="1:38" ht="15" customHeight="1">
      <c r="A117" s="2450"/>
      <c r="B117" s="2043"/>
      <c r="C117" s="2021"/>
      <c r="D117" s="2492"/>
      <c r="E117" s="1441"/>
      <c r="F117" s="2492"/>
      <c r="G117" s="1441"/>
      <c r="H117" s="2492"/>
      <c r="I117" s="1441"/>
      <c r="J117" s="2493"/>
      <c r="K117" s="2005"/>
      <c r="L117" s="2004"/>
      <c r="M117" s="2005"/>
      <c r="N117" s="2004"/>
      <c r="O117" s="2005"/>
      <c r="P117" s="2050"/>
      <c r="Q117" s="2005"/>
      <c r="R117" s="2004"/>
      <c r="S117" s="2005"/>
      <c r="T117" s="2004"/>
      <c r="U117" s="2005"/>
      <c r="V117" s="2004"/>
      <c r="W117" s="2005"/>
      <c r="X117" s="2004"/>
      <c r="Y117" s="2005"/>
      <c r="Z117" s="2004"/>
      <c r="AA117" s="2012"/>
      <c r="AB117" s="2045"/>
      <c r="AC117" s="3159"/>
      <c r="AD117" s="1994"/>
      <c r="AE117" s="1996"/>
      <c r="AF117" s="2050"/>
      <c r="AG117" s="2006"/>
      <c r="AH117" s="2475"/>
      <c r="AI117" s="1441"/>
      <c r="AJ117" s="2476"/>
      <c r="AK117" s="1430"/>
    </row>
    <row r="118" spans="1:38" ht="15" customHeight="1">
      <c r="A118" s="2450"/>
      <c r="B118" s="2426" t="s">
        <v>157</v>
      </c>
      <c r="C118" s="2021"/>
      <c r="D118" s="1441"/>
      <c r="E118" s="1441"/>
      <c r="F118" s="1441"/>
      <c r="G118" s="1441"/>
      <c r="H118" s="1441"/>
      <c r="I118" s="1441"/>
      <c r="J118" s="1999"/>
      <c r="K118" s="2005"/>
      <c r="L118" s="2005"/>
      <c r="M118" s="2005"/>
      <c r="N118" s="2005"/>
      <c r="O118" s="2005"/>
      <c r="P118" s="1994"/>
      <c r="Q118" s="2005"/>
      <c r="R118" s="2005"/>
      <c r="S118" s="2005"/>
      <c r="T118" s="2005"/>
      <c r="U118" s="2005"/>
      <c r="V118" s="2005"/>
      <c r="W118" s="2005"/>
      <c r="X118" s="2005"/>
      <c r="Y118" s="2005"/>
      <c r="Z118" s="2005"/>
      <c r="AA118" s="1461"/>
      <c r="AB118" s="2045"/>
      <c r="AC118" s="1999"/>
      <c r="AD118" s="1994"/>
      <c r="AE118" s="1996"/>
      <c r="AF118" s="1994"/>
      <c r="AG118" s="2005"/>
      <c r="AH118" s="2475"/>
      <c r="AI118" s="1441"/>
      <c r="AJ118" s="2476"/>
      <c r="AK118" s="1430"/>
    </row>
    <row r="119" spans="1:38" ht="15" customHeight="1">
      <c r="A119" s="2450"/>
      <c r="B119" s="2426" t="s">
        <v>45</v>
      </c>
      <c r="C119" s="2021"/>
      <c r="D119" s="1459">
        <f>ROUND(SUM(D96-D116),1)</f>
        <v>-923.4</v>
      </c>
      <c r="E119" s="1459"/>
      <c r="F119" s="1459">
        <f>ROUND(SUM(F96-F116),1)</f>
        <v>-4050.3</v>
      </c>
      <c r="G119" s="1459"/>
      <c r="H119" s="1459">
        <f>ROUND(SUM(H96-H116),1)</f>
        <v>-1989</v>
      </c>
      <c r="I119" s="1459"/>
      <c r="J119" s="2049">
        <f>ROUND(SUM(J96-J116),1)</f>
        <v>3283.9</v>
      </c>
      <c r="K119" s="1459"/>
      <c r="L119" s="1459">
        <f>ROUND(SUM(L96-L116),1)</f>
        <v>-1351.3</v>
      </c>
      <c r="M119" s="1459"/>
      <c r="N119" s="1459">
        <f>ROUND(SUM(N96-N116),1)</f>
        <v>-564.6</v>
      </c>
      <c r="O119" s="1459"/>
      <c r="P119" s="2049">
        <f>ROUND(SUM(P96-P116),1)</f>
        <v>-1304.4000000000001</v>
      </c>
      <c r="Q119" s="1459"/>
      <c r="R119" s="1459">
        <f>ROUND(SUM(R96-R116),1)</f>
        <v>0</v>
      </c>
      <c r="S119" s="1459"/>
      <c r="T119" s="1459">
        <f>ROUND(SUM(T96-T116),1)</f>
        <v>0</v>
      </c>
      <c r="U119" s="1459"/>
      <c r="V119" s="1459">
        <f>ROUND(SUM(V96-V116),1)</f>
        <v>0</v>
      </c>
      <c r="W119" s="1459"/>
      <c r="X119" s="1459">
        <f>ROUND(SUM(X96-X116),1)</f>
        <v>0</v>
      </c>
      <c r="Y119" s="1459"/>
      <c r="Z119" s="1459">
        <f>ROUND(SUM(Z96-Z116),1)</f>
        <v>0</v>
      </c>
      <c r="AA119" s="2052"/>
      <c r="AB119" s="2048"/>
      <c r="AC119" s="2049">
        <f>ROUND(SUM(AC96-AC116),1)</f>
        <v>-6899.1</v>
      </c>
      <c r="AD119" s="2049"/>
      <c r="AE119" s="3158"/>
      <c r="AF119" s="2049">
        <f>ROUND(SUM(AF96-AF116),1)</f>
        <v>-14762</v>
      </c>
      <c r="AG119" s="1459"/>
      <c r="AH119" s="2479"/>
      <c r="AI119" s="2051">
        <f>ROUND(SUM(+AC119-AF119),1)</f>
        <v>7862.9</v>
      </c>
      <c r="AJ119" s="1442"/>
      <c r="AK119" s="2506">
        <f>-ROUND(AI119/AF119,3)</f>
        <v>0.53300000000000003</v>
      </c>
    </row>
    <row r="120" spans="1:38" ht="15" customHeight="1">
      <c r="A120" s="2450"/>
      <c r="B120" s="2043"/>
      <c r="C120" s="2021"/>
      <c r="D120" s="2492"/>
      <c r="E120" s="1441"/>
      <c r="F120" s="2492"/>
      <c r="G120" s="1441"/>
      <c r="H120" s="2492"/>
      <c r="I120" s="1441"/>
      <c r="J120" s="2493"/>
      <c r="K120" s="2005"/>
      <c r="L120" s="2004"/>
      <c r="M120" s="2005"/>
      <c r="N120" s="2004"/>
      <c r="O120" s="2005"/>
      <c r="P120" s="2050"/>
      <c r="Q120" s="2005"/>
      <c r="R120" s="2004"/>
      <c r="S120" s="2005"/>
      <c r="T120" s="2004"/>
      <c r="U120" s="2005"/>
      <c r="V120" s="2004"/>
      <c r="W120" s="2005"/>
      <c r="X120" s="2004"/>
      <c r="Y120" s="2005"/>
      <c r="Z120" s="2004"/>
      <c r="AA120" s="2012"/>
      <c r="AB120" s="2045"/>
      <c r="AC120" s="3159"/>
      <c r="AD120" s="1994"/>
      <c r="AE120" s="1996"/>
      <c r="AF120" s="2050"/>
      <c r="AG120" s="2004"/>
      <c r="AH120" s="2475"/>
      <c r="AI120" s="1441"/>
      <c r="AJ120" s="2476"/>
      <c r="AK120" s="1430"/>
    </row>
    <row r="121" spans="1:38" ht="15" customHeight="1">
      <c r="A121" s="2450"/>
      <c r="B121" s="2426" t="s">
        <v>46</v>
      </c>
      <c r="C121" s="2021"/>
      <c r="D121" s="1441"/>
      <c r="E121" s="1441"/>
      <c r="F121" s="1441"/>
      <c r="G121" s="1441"/>
      <c r="H121" s="1441"/>
      <c r="I121" s="1441"/>
      <c r="J121" s="1999"/>
      <c r="K121" s="2005"/>
      <c r="L121" s="2005"/>
      <c r="M121" s="2005"/>
      <c r="N121" s="2005"/>
      <c r="O121" s="2005"/>
      <c r="P121" s="1994"/>
      <c r="Q121" s="2005"/>
      <c r="R121" s="2005"/>
      <c r="S121" s="2005"/>
      <c r="T121" s="2005"/>
      <c r="U121" s="2005"/>
      <c r="V121" s="2005"/>
      <c r="W121" s="2005"/>
      <c r="X121" s="2005"/>
      <c r="Y121" s="2005"/>
      <c r="Z121" s="2005"/>
      <c r="AA121" s="1461"/>
      <c r="AB121" s="2045"/>
      <c r="AC121" s="1999"/>
      <c r="AD121" s="1994"/>
      <c r="AE121" s="1996"/>
      <c r="AF121" s="1994"/>
      <c r="AG121" s="2005"/>
      <c r="AH121" s="2475"/>
      <c r="AI121" s="1441"/>
      <c r="AJ121" s="2476"/>
      <c r="AK121" s="1430"/>
    </row>
    <row r="122" spans="1:38" ht="15" customHeight="1">
      <c r="A122" s="2450"/>
      <c r="B122" s="2426"/>
      <c r="C122" s="2021"/>
      <c r="D122" s="1441"/>
      <c r="E122" s="1441"/>
      <c r="F122" s="1441"/>
      <c r="G122" s="1441"/>
      <c r="H122" s="1441"/>
      <c r="I122" s="1441"/>
      <c r="J122" s="1999"/>
      <c r="K122" s="2005"/>
      <c r="L122" s="2005"/>
      <c r="M122" s="2005"/>
      <c r="N122" s="2005"/>
      <c r="O122" s="2005"/>
      <c r="P122" s="1994"/>
      <c r="Q122" s="2005"/>
      <c r="R122" s="2005"/>
      <c r="S122" s="2005"/>
      <c r="T122" s="2005"/>
      <c r="U122" s="2005"/>
      <c r="V122" s="2005"/>
      <c r="W122" s="2005"/>
      <c r="X122" s="2005"/>
      <c r="Y122" s="2005"/>
      <c r="Z122" s="2005"/>
      <c r="AA122" s="1461"/>
      <c r="AB122" s="2045"/>
      <c r="AC122" s="1999"/>
      <c r="AD122" s="1994"/>
      <c r="AE122" s="1996"/>
      <c r="AF122" s="1994"/>
      <c r="AG122" s="2005"/>
      <c r="AH122" s="2475"/>
      <c r="AI122" s="1441"/>
      <c r="AJ122" s="2476"/>
      <c r="AK122" s="1430"/>
    </row>
    <row r="123" spans="1:38" ht="15" customHeight="1">
      <c r="A123" s="2450"/>
      <c r="B123" s="2501" t="s">
        <v>984</v>
      </c>
      <c r="C123" s="2184"/>
      <c r="D123" s="1788">
        <v>1032.9000000000001</v>
      </c>
      <c r="E123" s="1999"/>
      <c r="F123" s="1788">
        <v>1098.9000000000001</v>
      </c>
      <c r="G123" s="1999"/>
      <c r="H123" s="1788">
        <v>2178.3000000000002</v>
      </c>
      <c r="I123" s="1999"/>
      <c r="J123" s="1788">
        <v>4323.6000000000013</v>
      </c>
      <c r="K123" s="1997"/>
      <c r="L123" s="1788">
        <v>487.1</v>
      </c>
      <c r="M123" s="1997"/>
      <c r="N123" s="1788">
        <v>1889.599999999999</v>
      </c>
      <c r="O123" s="1997"/>
      <c r="P123" s="1788">
        <f>$AC123-$D123-$F123-$H123-$J123-$L123-$N123</f>
        <v>665.89999999999964</v>
      </c>
      <c r="Q123" s="1997"/>
      <c r="R123" s="1788"/>
      <c r="S123" s="1997"/>
      <c r="T123" s="1788"/>
      <c r="U123" s="1997"/>
      <c r="V123" s="1788"/>
      <c r="W123" s="1997"/>
      <c r="X123" s="1788"/>
      <c r="Y123" s="1997"/>
      <c r="Z123" s="1788"/>
      <c r="AA123" s="1998"/>
      <c r="AB123" s="2001"/>
      <c r="AC123" s="1804">
        <v>11676.3</v>
      </c>
      <c r="AD123" s="2040"/>
      <c r="AE123" s="2001" t="s">
        <v>15</v>
      </c>
      <c r="AF123" s="1804">
        <v>15445.7</v>
      </c>
      <c r="AG123" s="1994"/>
      <c r="AH123" s="2475"/>
      <c r="AI123" s="1441">
        <f>ROUND(SUM(+AC123-AF123),1)</f>
        <v>-3769.4</v>
      </c>
      <c r="AJ123" s="2476"/>
      <c r="AK123" s="1436">
        <f t="shared" ref="AK123:AK127" si="21">ROUND(IF(AF123=0,0,AI123/ABS(AF123)),3)</f>
        <v>-0.24399999999999999</v>
      </c>
    </row>
    <row r="124" spans="1:38" s="2418" customFormat="1" ht="15" customHeight="1">
      <c r="A124" s="2463"/>
      <c r="B124" s="2501" t="s">
        <v>1004</v>
      </c>
      <c r="C124" s="2184"/>
      <c r="D124" s="1788">
        <v>284.60000000000002</v>
      </c>
      <c r="E124" s="1999"/>
      <c r="F124" s="1788">
        <v>162.19999999999999</v>
      </c>
      <c r="G124" s="1999"/>
      <c r="H124" s="1788">
        <v>560.40000000000009</v>
      </c>
      <c r="I124" s="1999"/>
      <c r="J124" s="1788">
        <v>420.09999999999968</v>
      </c>
      <c r="K124" s="1997"/>
      <c r="L124" s="1788">
        <v>426.70000000000027</v>
      </c>
      <c r="M124" s="1997"/>
      <c r="N124" s="1788">
        <v>656.40000000000032</v>
      </c>
      <c r="O124" s="1997"/>
      <c r="P124" s="1788">
        <f t="shared" ref="P124:P130" si="22">$AC124-$D124-$F124-$H124-$J124-$L124-$N124</f>
        <v>440.19999999999982</v>
      </c>
      <c r="Q124" s="1997"/>
      <c r="R124" s="1788"/>
      <c r="S124" s="1997"/>
      <c r="T124" s="1788"/>
      <c r="U124" s="1997"/>
      <c r="V124" s="1788"/>
      <c r="W124" s="1997"/>
      <c r="X124" s="1788"/>
      <c r="Y124" s="1997"/>
      <c r="Z124" s="1788"/>
      <c r="AA124" s="1998"/>
      <c r="AB124" s="2001"/>
      <c r="AC124" s="1804">
        <v>2950.6</v>
      </c>
      <c r="AD124" s="2040"/>
      <c r="AE124" s="2001" t="s">
        <v>15</v>
      </c>
      <c r="AF124" s="1804">
        <v>3823.7</v>
      </c>
      <c r="AG124" s="1994"/>
      <c r="AH124" s="2502"/>
      <c r="AI124" s="1999">
        <f>ROUND(SUM(+AC124-AF124),1)</f>
        <v>-873.1</v>
      </c>
      <c r="AJ124" s="2040"/>
      <c r="AK124" s="1723">
        <f t="shared" si="21"/>
        <v>-0.22800000000000001</v>
      </c>
      <c r="AL124" s="2416"/>
    </row>
    <row r="125" spans="1:38" s="2418" customFormat="1" ht="15" customHeight="1">
      <c r="A125" s="2463"/>
      <c r="B125" s="2501" t="s">
        <v>985</v>
      </c>
      <c r="C125" s="2184"/>
      <c r="D125" s="1788">
        <v>43.8</v>
      </c>
      <c r="E125" s="1999"/>
      <c r="F125" s="1788">
        <v>48.399999999999991</v>
      </c>
      <c r="G125" s="1999"/>
      <c r="H125" s="1788">
        <v>37.5</v>
      </c>
      <c r="I125" s="1999"/>
      <c r="J125" s="1788">
        <v>50.499999999999986</v>
      </c>
      <c r="K125" s="1997"/>
      <c r="L125" s="1788">
        <v>52.300000000000026</v>
      </c>
      <c r="M125" s="1997"/>
      <c r="N125" s="1788">
        <v>66.100000000000023</v>
      </c>
      <c r="O125" s="1997"/>
      <c r="P125" s="1788">
        <f t="shared" si="22"/>
        <v>61.79999999999994</v>
      </c>
      <c r="Q125" s="1997"/>
      <c r="R125" s="1788"/>
      <c r="S125" s="1997"/>
      <c r="T125" s="1788"/>
      <c r="U125" s="1997"/>
      <c r="V125" s="1788"/>
      <c r="W125" s="1997"/>
      <c r="X125" s="1788"/>
      <c r="Y125" s="1997"/>
      <c r="Z125" s="1788"/>
      <c r="AA125" s="1998"/>
      <c r="AB125" s="2001"/>
      <c r="AC125" s="1804">
        <v>360.4</v>
      </c>
      <c r="AD125" s="2040"/>
      <c r="AE125" s="2001" t="s">
        <v>15</v>
      </c>
      <c r="AF125" s="1804">
        <v>579.4</v>
      </c>
      <c r="AG125" s="1994"/>
      <c r="AH125" s="2502"/>
      <c r="AI125" s="1999">
        <f>ROUND(SUM(+AC125-AF125),1)</f>
        <v>-219</v>
      </c>
      <c r="AJ125" s="2040"/>
      <c r="AK125" s="1723">
        <f t="shared" si="21"/>
        <v>-0.378</v>
      </c>
      <c r="AL125" s="2416"/>
    </row>
    <row r="126" spans="1:38" s="2418" customFormat="1" ht="15" customHeight="1">
      <c r="A126" s="2463"/>
      <c r="B126" s="2503" t="s">
        <v>159</v>
      </c>
      <c r="C126" s="2184"/>
      <c r="D126" s="1788">
        <v>74.899999999999935</v>
      </c>
      <c r="E126" s="1999"/>
      <c r="F126" s="1788">
        <v>193.60000000000008</v>
      </c>
      <c r="G126" s="1999"/>
      <c r="H126" s="1788">
        <v>83.499999999999602</v>
      </c>
      <c r="I126" s="1999"/>
      <c r="J126" s="1788">
        <v>126.50000000000045</v>
      </c>
      <c r="K126" s="1997"/>
      <c r="L126" s="1788">
        <v>195.3</v>
      </c>
      <c r="M126" s="1997"/>
      <c r="N126" s="1788">
        <v>151.5000000000008</v>
      </c>
      <c r="O126" s="1997"/>
      <c r="P126" s="1788">
        <f t="shared" si="22"/>
        <v>45.000000000000284</v>
      </c>
      <c r="Q126" s="1997"/>
      <c r="R126" s="1788"/>
      <c r="S126" s="1997"/>
      <c r="T126" s="1788"/>
      <c r="U126" s="1997"/>
      <c r="V126" s="1788"/>
      <c r="W126" s="1997"/>
      <c r="X126" s="1788"/>
      <c r="Y126" s="1997"/>
      <c r="Z126" s="1788"/>
      <c r="AA126" s="1998"/>
      <c r="AB126" s="2001"/>
      <c r="AC126" s="1804">
        <v>870.30000000000121</v>
      </c>
      <c r="AD126" s="2040"/>
      <c r="AE126" s="2001" t="s">
        <v>15</v>
      </c>
      <c r="AF126" s="1804">
        <v>799.49999999999875</v>
      </c>
      <c r="AG126" s="1994"/>
      <c r="AH126" s="2502"/>
      <c r="AI126" s="1999">
        <f>ROUND(SUM(+AC126-AF126),1)</f>
        <v>70.8</v>
      </c>
      <c r="AJ126" s="2040"/>
      <c r="AK126" s="1728">
        <f t="shared" si="21"/>
        <v>8.8999999999999996E-2</v>
      </c>
      <c r="AL126" s="2416"/>
    </row>
    <row r="127" spans="1:38" ht="15" customHeight="1">
      <c r="A127" s="2450" t="s">
        <v>15</v>
      </c>
      <c r="B127" s="2043" t="s">
        <v>160</v>
      </c>
      <c r="C127" s="2021"/>
      <c r="D127" s="1788">
        <v>800.3</v>
      </c>
      <c r="E127" s="1441"/>
      <c r="F127" s="1788">
        <v>-203.79999999999995</v>
      </c>
      <c r="G127" s="1441"/>
      <c r="H127" s="1788">
        <v>-312.39999999999998</v>
      </c>
      <c r="I127" s="1441"/>
      <c r="J127" s="1788">
        <v>-306.10000000000002</v>
      </c>
      <c r="K127" s="1997"/>
      <c r="L127" s="1788">
        <v>-565.60000000000014</v>
      </c>
      <c r="M127" s="1997"/>
      <c r="N127" s="1788">
        <v>-229.00000000000011</v>
      </c>
      <c r="O127" s="1997"/>
      <c r="P127" s="1788">
        <f t="shared" si="22"/>
        <v>-90.799999999999727</v>
      </c>
      <c r="Q127" s="1997"/>
      <c r="R127" s="1788"/>
      <c r="S127" s="1997"/>
      <c r="T127" s="1788"/>
      <c r="U127" s="1997"/>
      <c r="V127" s="1788"/>
      <c r="W127" s="1997"/>
      <c r="X127" s="1788"/>
      <c r="Y127" s="1997"/>
      <c r="Z127" s="1788"/>
      <c r="AA127" s="1998"/>
      <c r="AB127" s="2001"/>
      <c r="AC127" s="1804">
        <v>-907.4</v>
      </c>
      <c r="AD127" s="2040"/>
      <c r="AE127" s="2001" t="s">
        <v>15</v>
      </c>
      <c r="AF127" s="1804">
        <v>-1428.3</v>
      </c>
      <c r="AG127" s="2005"/>
      <c r="AH127" s="2475"/>
      <c r="AI127" s="1441">
        <f>ROUND(SUM(+AC127-AF127)*-1,1)</f>
        <v>-520.9</v>
      </c>
      <c r="AJ127" s="2476"/>
      <c r="AK127" s="1477">
        <f t="shared" si="21"/>
        <v>-0.36499999999999999</v>
      </c>
    </row>
    <row r="128" spans="1:38" s="2418" customFormat="1" ht="15" customHeight="1">
      <c r="A128" s="2463"/>
      <c r="B128" s="2504" t="s">
        <v>1225</v>
      </c>
      <c r="C128" s="2184"/>
      <c r="D128" s="1788">
        <v>0</v>
      </c>
      <c r="E128" s="1999"/>
      <c r="F128" s="1788">
        <v>0</v>
      </c>
      <c r="G128" s="1999"/>
      <c r="H128" s="1788">
        <v>-30.5</v>
      </c>
      <c r="I128" s="1999"/>
      <c r="J128" s="1788">
        <v>-204</v>
      </c>
      <c r="K128" s="1997"/>
      <c r="L128" s="1788">
        <v>0</v>
      </c>
      <c r="M128" s="1997"/>
      <c r="N128" s="1788">
        <v>-16.5</v>
      </c>
      <c r="O128" s="1997"/>
      <c r="P128" s="1788">
        <f t="shared" si="22"/>
        <v>0</v>
      </c>
      <c r="Q128" s="1997"/>
      <c r="R128" s="1788"/>
      <c r="S128" s="1997"/>
      <c r="T128" s="1788"/>
      <c r="U128" s="1997"/>
      <c r="V128" s="1788"/>
      <c r="W128" s="1997"/>
      <c r="X128" s="1788"/>
      <c r="Y128" s="1997"/>
      <c r="Z128" s="1788"/>
      <c r="AA128" s="1998"/>
      <c r="AB128" s="2001"/>
      <c r="AC128" s="1804">
        <v>-251</v>
      </c>
      <c r="AD128" s="2040"/>
      <c r="AE128" s="2001" t="s">
        <v>15</v>
      </c>
      <c r="AF128" s="1804">
        <v>-803</v>
      </c>
      <c r="AG128" s="1994"/>
      <c r="AH128" s="2502"/>
      <c r="AI128" s="1999">
        <f>ROUND(SUM(+AC128-AF128)*-1,1)</f>
        <v>-552</v>
      </c>
      <c r="AJ128" s="2040"/>
      <c r="AK128" s="1728">
        <f>ROUND(IF(AF128=0,1,AI128/ABS(AF128)),3)</f>
        <v>-0.68700000000000006</v>
      </c>
      <c r="AL128" s="2416"/>
    </row>
    <row r="129" spans="1:38" s="2418" customFormat="1" ht="15" customHeight="1">
      <c r="A129" s="2463"/>
      <c r="B129" s="2464" t="s">
        <v>161</v>
      </c>
      <c r="C129" s="2184"/>
      <c r="D129" s="1788">
        <v>-32</v>
      </c>
      <c r="E129" s="1441"/>
      <c r="F129" s="1788">
        <v>1.6999999999999993</v>
      </c>
      <c r="G129" s="1441"/>
      <c r="H129" s="1788">
        <v>-3.6999999999999993</v>
      </c>
      <c r="I129" s="1441"/>
      <c r="J129" s="1788">
        <v>-82.7</v>
      </c>
      <c r="K129" s="1997"/>
      <c r="L129" s="1788">
        <v>4</v>
      </c>
      <c r="M129" s="1997"/>
      <c r="N129" s="1788">
        <v>21.600000000000009</v>
      </c>
      <c r="O129" s="1997"/>
      <c r="P129" s="1788">
        <f t="shared" si="22"/>
        <v>-75.599999999999994</v>
      </c>
      <c r="Q129" s="1997"/>
      <c r="R129" s="1788"/>
      <c r="S129" s="1997"/>
      <c r="T129" s="1788"/>
      <c r="U129" s="1997"/>
      <c r="V129" s="1788"/>
      <c r="W129" s="1997"/>
      <c r="X129" s="1788"/>
      <c r="Y129" s="1997"/>
      <c r="Z129" s="1788"/>
      <c r="AA129" s="1998"/>
      <c r="AB129" s="2001"/>
      <c r="AC129" s="1804">
        <v>-166.7</v>
      </c>
      <c r="AD129" s="2040"/>
      <c r="AE129" s="2001" t="s">
        <v>15</v>
      </c>
      <c r="AF129" s="1804">
        <v>-355.6</v>
      </c>
      <c r="AG129" s="1994"/>
      <c r="AH129" s="2502"/>
      <c r="AI129" s="1999">
        <f>ROUND(SUM(+AC129-AF129)*-1,1)</f>
        <v>-188.9</v>
      </c>
      <c r="AJ129" s="2040"/>
      <c r="AK129" s="1723">
        <f>ROUND(IF(AF129=0,0,AI129/ABS(AF129)),3)</f>
        <v>-0.53100000000000003</v>
      </c>
      <c r="AL129" s="2416"/>
    </row>
    <row r="130" spans="1:38" s="2418" customFormat="1" ht="15" customHeight="1">
      <c r="A130" s="2463"/>
      <c r="B130" s="2464" t="s">
        <v>162</v>
      </c>
      <c r="C130" s="2184"/>
      <c r="D130" s="1788">
        <v>-142.79999999999995</v>
      </c>
      <c r="E130" s="1999"/>
      <c r="F130" s="1788">
        <v>-23.000000000000114</v>
      </c>
      <c r="G130" s="1999"/>
      <c r="H130" s="1788">
        <v>-970.69999999999993</v>
      </c>
      <c r="I130" s="1999"/>
      <c r="J130" s="1788">
        <v>-92.399999999999977</v>
      </c>
      <c r="K130" s="1997"/>
      <c r="L130" s="1788">
        <v>-108.79999999999973</v>
      </c>
      <c r="M130" s="1997"/>
      <c r="N130" s="1788">
        <v>-56.000000000000455</v>
      </c>
      <c r="O130" s="1997"/>
      <c r="P130" s="1788">
        <f t="shared" si="22"/>
        <v>-253.09999999999991</v>
      </c>
      <c r="Q130" s="1997"/>
      <c r="R130" s="1788"/>
      <c r="S130" s="1997"/>
      <c r="T130" s="1788"/>
      <c r="U130" s="1997"/>
      <c r="V130" s="1788"/>
      <c r="W130" s="1997"/>
      <c r="X130" s="1788"/>
      <c r="Y130" s="1997"/>
      <c r="Z130" s="1788"/>
      <c r="AA130" s="1998"/>
      <c r="AB130" s="2001"/>
      <c r="AC130" s="1804">
        <v>-1646.8</v>
      </c>
      <c r="AD130" s="2040"/>
      <c r="AE130" s="2001" t="s">
        <v>15</v>
      </c>
      <c r="AF130" s="1804">
        <v>-1689.9</v>
      </c>
      <c r="AG130" s="1976"/>
      <c r="AH130" s="2502"/>
      <c r="AI130" s="2505">
        <f>ROUND(SUM(+AC130-AF130)*-1,1)</f>
        <v>-43.1</v>
      </c>
      <c r="AJ130" s="2040"/>
      <c r="AK130" s="1811">
        <f>ROUND(IF(AF130=0,0,AI130/ABS(AF130)),3)</f>
        <v>-2.5999999999999999E-2</v>
      </c>
      <c r="AL130" s="2416"/>
    </row>
    <row r="131" spans="1:38" ht="5.15" customHeight="1">
      <c r="A131" s="2450"/>
      <c r="B131" s="2464"/>
      <c r="C131" s="2184"/>
      <c r="D131" s="2050"/>
      <c r="E131" s="1994"/>
      <c r="F131" s="2050"/>
      <c r="G131" s="1994"/>
      <c r="H131" s="2050" t="s">
        <v>15</v>
      </c>
      <c r="I131" s="1994"/>
      <c r="J131" s="2050"/>
      <c r="K131" s="1994"/>
      <c r="L131" s="2050"/>
      <c r="M131" s="1994"/>
      <c r="N131" s="2050"/>
      <c r="O131" s="1994"/>
      <c r="P131" s="2050"/>
      <c r="Q131" s="1994"/>
      <c r="R131" s="2050"/>
      <c r="S131" s="1994"/>
      <c r="T131" s="2050"/>
      <c r="U131" s="1994"/>
      <c r="V131" s="2050"/>
      <c r="W131" s="1994"/>
      <c r="X131" s="2050"/>
      <c r="Y131" s="1994"/>
      <c r="Z131" s="2050"/>
      <c r="AA131" s="2017"/>
      <c r="AB131" s="2046"/>
      <c r="AC131" s="3159"/>
      <c r="AD131" s="1994"/>
      <c r="AE131" s="1996"/>
      <c r="AF131" s="2050"/>
      <c r="AG131" s="1976"/>
      <c r="AH131" s="2475"/>
      <c r="AI131" s="1441"/>
      <c r="AJ131" s="2476"/>
      <c r="AK131" s="1430"/>
    </row>
    <row r="132" spans="1:38" ht="15" customHeight="1">
      <c r="A132" s="2450"/>
      <c r="B132" s="2426" t="s">
        <v>163</v>
      </c>
      <c r="C132" s="2021"/>
      <c r="D132" s="2005"/>
      <c r="E132" s="2005"/>
      <c r="F132" s="2005"/>
      <c r="G132" s="2005"/>
      <c r="H132" s="2005"/>
      <c r="I132" s="2005"/>
      <c r="J132" s="1994"/>
      <c r="K132" s="2005"/>
      <c r="L132" s="2005"/>
      <c r="M132" s="2005"/>
      <c r="N132" s="2005"/>
      <c r="O132" s="2005"/>
      <c r="P132" s="1994"/>
      <c r="Q132" s="2005"/>
      <c r="R132" s="2005"/>
      <c r="S132" s="2005"/>
      <c r="T132" s="2005"/>
      <c r="U132" s="2005"/>
      <c r="V132" s="2005"/>
      <c r="W132" s="2005"/>
      <c r="X132" s="2005"/>
      <c r="Y132" s="1461"/>
      <c r="Z132" s="1461"/>
      <c r="AA132" s="1461"/>
      <c r="AB132" s="2045"/>
      <c r="AC132" s="1999"/>
      <c r="AD132" s="1994"/>
      <c r="AE132" s="1996"/>
      <c r="AF132" s="1994"/>
      <c r="AG132" s="2005"/>
      <c r="AH132" s="2475"/>
      <c r="AI132" s="1441"/>
      <c r="AJ132" s="2476"/>
      <c r="AK132" s="1430"/>
    </row>
    <row r="133" spans="1:38" ht="15" customHeight="1">
      <c r="A133" s="2450"/>
      <c r="B133" s="2426" t="s">
        <v>164</v>
      </c>
      <c r="C133" s="2021"/>
      <c r="D133" s="1459">
        <f>ROUND(SUM(D123:D131),1)</f>
        <v>2061.6999999999998</v>
      </c>
      <c r="E133" s="1459"/>
      <c r="F133" s="1459">
        <f>ROUND(SUM(F123:F131),1)</f>
        <v>1278</v>
      </c>
      <c r="G133" s="1459"/>
      <c r="H133" s="1459">
        <f>ROUND(SUM(H123:H131),1)</f>
        <v>1542.4</v>
      </c>
      <c r="I133" s="1459"/>
      <c r="J133" s="2049">
        <f>ROUND(SUM(J123:J130),1)</f>
        <v>4235.5</v>
      </c>
      <c r="K133" s="1459"/>
      <c r="L133" s="1459">
        <f>ROUND(SUM(L123:L130),1)</f>
        <v>491</v>
      </c>
      <c r="M133" s="1459"/>
      <c r="N133" s="1459">
        <f>ROUND(SUM(N123:N130),1)</f>
        <v>2483.6999999999998</v>
      </c>
      <c r="O133" s="1459"/>
      <c r="P133" s="2049">
        <f>ROUND(SUM(P123:P130),1)</f>
        <v>793.4</v>
      </c>
      <c r="Q133" s="1459"/>
      <c r="R133" s="1459">
        <f>ROUND(SUM(R123:R130),1)</f>
        <v>0</v>
      </c>
      <c r="S133" s="1459"/>
      <c r="T133" s="1459">
        <f>ROUND(SUM(T123:T130),1)</f>
        <v>0</v>
      </c>
      <c r="U133" s="1459"/>
      <c r="V133" s="1459">
        <f>ROUND(SUM(V123:V130),1)</f>
        <v>0</v>
      </c>
      <c r="W133" s="1459"/>
      <c r="X133" s="1459">
        <f>ROUND(SUM(X123:X130),1)</f>
        <v>0</v>
      </c>
      <c r="Y133" s="2009"/>
      <c r="Z133" s="1459">
        <f>ROUND(SUM(Z123:Z130),1)</f>
        <v>0</v>
      </c>
      <c r="AA133" s="2052"/>
      <c r="AB133" s="2048"/>
      <c r="AC133" s="2049">
        <f>ROUND(SUM(AC123:AC130),1)</f>
        <v>12885.7</v>
      </c>
      <c r="AD133" s="2049"/>
      <c r="AE133" s="3158"/>
      <c r="AF133" s="2049">
        <f>ROUND(SUM(AF123:AF130),1)</f>
        <v>16371.5</v>
      </c>
      <c r="AG133" s="1442"/>
      <c r="AH133" s="2479"/>
      <c r="AI133" s="2051">
        <f>ROUND(SUM(+AC133-AF133),1)</f>
        <v>-3485.8</v>
      </c>
      <c r="AJ133" s="1442"/>
      <c r="AK133" s="2506">
        <f>ROUND(SUM(+AI133/AF133),3)</f>
        <v>-0.21299999999999999</v>
      </c>
    </row>
    <row r="134" spans="1:38" ht="15" customHeight="1">
      <c r="A134" s="2450"/>
      <c r="B134" s="2043"/>
      <c r="C134" s="2021"/>
      <c r="D134" s="2004"/>
      <c r="E134" s="2005"/>
      <c r="F134" s="2004"/>
      <c r="G134" s="2005"/>
      <c r="H134" s="2004"/>
      <c r="I134" s="2005"/>
      <c r="J134" s="2050"/>
      <c r="K134" s="2005"/>
      <c r="L134" s="2004"/>
      <c r="M134" s="2005"/>
      <c r="N134" s="2004"/>
      <c r="O134" s="2005"/>
      <c r="P134" s="2050"/>
      <c r="Q134" s="2005"/>
      <c r="R134" s="2004"/>
      <c r="S134" s="2005"/>
      <c r="T134" s="2004"/>
      <c r="U134" s="2005"/>
      <c r="V134" s="2004"/>
      <c r="W134" s="2005"/>
      <c r="X134" s="2004"/>
      <c r="Y134" s="1461"/>
      <c r="Z134" s="1465"/>
      <c r="AA134" s="2012"/>
      <c r="AB134" s="2045"/>
      <c r="AC134" s="3159"/>
      <c r="AD134" s="1994"/>
      <c r="AE134" s="1996"/>
      <c r="AF134" s="2050"/>
      <c r="AG134" s="2006"/>
      <c r="AH134" s="2475"/>
      <c r="AI134" s="2507"/>
      <c r="AJ134" s="2508"/>
      <c r="AK134" s="1447"/>
    </row>
    <row r="135" spans="1:38" ht="15" customHeight="1">
      <c r="A135" s="2450"/>
      <c r="B135" s="2426" t="s">
        <v>165</v>
      </c>
      <c r="C135" s="2021"/>
      <c r="D135" s="2005"/>
      <c r="E135" s="2005"/>
      <c r="F135" s="2005"/>
      <c r="G135" s="2005"/>
      <c r="H135" s="2005"/>
      <c r="I135" s="2005"/>
      <c r="J135" s="1994"/>
      <c r="K135" s="2005"/>
      <c r="L135" s="2005"/>
      <c r="M135" s="2005"/>
      <c r="N135" s="2005"/>
      <c r="O135" s="2005"/>
      <c r="P135" s="1994"/>
      <c r="Q135" s="2005"/>
      <c r="R135" s="2005"/>
      <c r="S135" s="2005"/>
      <c r="T135" s="2005"/>
      <c r="U135" s="2005"/>
      <c r="V135" s="2005"/>
      <c r="W135" s="2005"/>
      <c r="X135" s="2005"/>
      <c r="Y135" s="1461"/>
      <c r="Z135" s="1461"/>
      <c r="AA135" s="1461"/>
      <c r="AB135" s="2045"/>
      <c r="AC135" s="1999"/>
      <c r="AD135" s="1994"/>
      <c r="AE135" s="1996"/>
      <c r="AF135" s="1994"/>
      <c r="AG135" s="2005"/>
      <c r="AH135" s="2475"/>
      <c r="AI135" s="2507"/>
      <c r="AJ135" s="2508"/>
      <c r="AK135" s="1447"/>
      <c r="AL135" s="2416" t="s">
        <v>15</v>
      </c>
    </row>
    <row r="136" spans="1:38" ht="15" customHeight="1">
      <c r="A136" s="2450"/>
      <c r="B136" s="2426" t="s">
        <v>166</v>
      </c>
      <c r="C136" s="2021"/>
      <c r="D136" s="2005"/>
      <c r="E136" s="2005"/>
      <c r="F136" s="2005"/>
      <c r="G136" s="2005"/>
      <c r="H136" s="2005"/>
      <c r="I136" s="2005"/>
      <c r="J136" s="1994"/>
      <c r="K136" s="2005"/>
      <c r="L136" s="2005"/>
      <c r="M136" s="2005"/>
      <c r="N136" s="2005"/>
      <c r="O136" s="2005"/>
      <c r="P136" s="1994"/>
      <c r="Q136" s="2005"/>
      <c r="R136" s="2005"/>
      <c r="S136" s="2005"/>
      <c r="T136" s="2005"/>
      <c r="U136" s="2005"/>
      <c r="V136" s="2005"/>
      <c r="W136" s="2005"/>
      <c r="X136" s="2005"/>
      <c r="Y136" s="1461"/>
      <c r="Z136" s="1461"/>
      <c r="AA136" s="1461"/>
      <c r="AB136" s="2045"/>
      <c r="AC136" s="1999"/>
      <c r="AD136" s="1994"/>
      <c r="AE136" s="1996"/>
      <c r="AF136" s="1994"/>
      <c r="AG136" s="2005"/>
      <c r="AH136" s="2475"/>
      <c r="AI136" s="2507"/>
      <c r="AJ136" s="2508"/>
      <c r="AK136" s="1447"/>
    </row>
    <row r="137" spans="1:38" ht="15" customHeight="1">
      <c r="A137" s="2450"/>
      <c r="B137" s="2426" t="s">
        <v>167</v>
      </c>
      <c r="C137" s="2021"/>
      <c r="D137" s="1459">
        <f>ROUND(SUM(D119+D133),1)</f>
        <v>1138.3</v>
      </c>
      <c r="E137" s="1459"/>
      <c r="F137" s="1459">
        <f>ROUND(SUM(F119+F133),1)</f>
        <v>-2772.3</v>
      </c>
      <c r="G137" s="1459"/>
      <c r="H137" s="1459">
        <f>ROUND(SUM(H119+H133),1)</f>
        <v>-446.6</v>
      </c>
      <c r="I137" s="1459"/>
      <c r="J137" s="2049">
        <f>ROUND(SUM(J119+J133),1)</f>
        <v>7519.4</v>
      </c>
      <c r="K137" s="1459"/>
      <c r="L137" s="1459">
        <f>ROUND(SUM(L119+L133),1)</f>
        <v>-860.3</v>
      </c>
      <c r="M137" s="1459"/>
      <c r="N137" s="1459">
        <f>ROUND(SUM(N119+N133),1)</f>
        <v>1919.1</v>
      </c>
      <c r="O137" s="1459"/>
      <c r="P137" s="2049">
        <f>ROUND(SUM(P119+P133),1)</f>
        <v>-511</v>
      </c>
      <c r="Q137" s="1459"/>
      <c r="R137" s="1459">
        <f>ROUND(SUM(R119+R133),1)</f>
        <v>0</v>
      </c>
      <c r="S137" s="2005"/>
      <c r="T137" s="1459">
        <f>ROUND(SUM(T119+T133),1)</f>
        <v>0</v>
      </c>
      <c r="U137" s="2005"/>
      <c r="V137" s="1459">
        <f>ROUND(SUM(V119+V133),1)</f>
        <v>0</v>
      </c>
      <c r="W137" s="2005"/>
      <c r="X137" s="1459">
        <f>ROUND(SUM(X119+X133),1)</f>
        <v>0</v>
      </c>
      <c r="Y137" s="1461"/>
      <c r="Z137" s="2051">
        <f>ROUND(SUM(Z119+Z133),1)</f>
        <v>0</v>
      </c>
      <c r="AA137" s="2012"/>
      <c r="AB137" s="2045"/>
      <c r="AC137" s="2049">
        <f>ROUND(SUM(AC119+AC133),1)</f>
        <v>5986.6</v>
      </c>
      <c r="AD137" s="2049"/>
      <c r="AE137" s="3158"/>
      <c r="AF137" s="2049">
        <f>ROUND(SUM(AF119+AF133),1)</f>
        <v>1609.5</v>
      </c>
      <c r="AG137" s="1442"/>
      <c r="AH137" s="2479"/>
      <c r="AI137" s="2051">
        <f>ROUND(SUM(+AC137-AF137),1)</f>
        <v>4377.1000000000004</v>
      </c>
      <c r="AJ137" s="2509"/>
      <c r="AK137" s="2510">
        <f>ROUND(SUM(AI137/AF137),3)</f>
        <v>2.72</v>
      </c>
    </row>
    <row r="138" spans="1:38" ht="9" customHeight="1">
      <c r="A138" s="2450"/>
      <c r="B138" s="2043"/>
      <c r="C138" s="2021"/>
      <c r="D138" s="1465"/>
      <c r="E138" s="2043"/>
      <c r="F138" s="2448"/>
      <c r="G138" s="2043"/>
      <c r="H138" s="2447"/>
      <c r="I138" s="2043"/>
      <c r="J138" s="2050"/>
      <c r="K138" s="2043"/>
      <c r="L138" s="2447"/>
      <c r="M138" s="2043"/>
      <c r="N138" s="2447"/>
      <c r="O138" s="2043"/>
      <c r="P138" s="3054"/>
      <c r="Q138" s="2043"/>
      <c r="R138" s="2447"/>
      <c r="S138" s="2043"/>
      <c r="T138" s="2447"/>
      <c r="U138" s="2043"/>
      <c r="V138" s="2447"/>
      <c r="W138" s="2043"/>
      <c r="X138" s="2447"/>
      <c r="Y138" s="2043"/>
      <c r="Z138" s="2020"/>
      <c r="AA138" s="2020"/>
      <c r="AB138" s="2045"/>
      <c r="AC138" s="3159"/>
      <c r="AD138" s="1994"/>
      <c r="AE138" s="1996"/>
      <c r="AF138" s="2050"/>
      <c r="AG138" s="2006"/>
      <c r="AH138" s="2475"/>
      <c r="AI138" s="2492"/>
      <c r="AJ138" s="2508"/>
      <c r="AK138" s="2511"/>
    </row>
    <row r="139" spans="1:38" ht="15" customHeight="1" thickBot="1">
      <c r="A139" s="2450"/>
      <c r="B139" s="2461" t="s">
        <v>141</v>
      </c>
      <c r="C139" s="2184"/>
      <c r="D139" s="2512">
        <f>ROUND(SUM(D12+D137),1)</f>
        <v>10082.5</v>
      </c>
      <c r="E139" s="2513"/>
      <c r="F139" s="2512">
        <f>ROUND(SUM(F12+F137),1)</f>
        <v>7310.2</v>
      </c>
      <c r="G139" s="2456"/>
      <c r="H139" s="2512">
        <f>ROUND(SUM(H12+H137),1)</f>
        <v>6863.6</v>
      </c>
      <c r="I139" s="2456"/>
      <c r="J139" s="2512">
        <f>ROUND(SUM(J12+J137),1)</f>
        <v>14383</v>
      </c>
      <c r="K139" s="2456"/>
      <c r="L139" s="2512">
        <f>ROUND(SUM(L12+L137),1)</f>
        <v>13522.7</v>
      </c>
      <c r="M139" s="2456"/>
      <c r="N139" s="2512">
        <f>ROUND(SUM(N12+N137),1)</f>
        <v>15441.8</v>
      </c>
      <c r="O139" s="2456"/>
      <c r="P139" s="2512">
        <f>ROUND(SUM(P12+P137),1)</f>
        <v>14930.8</v>
      </c>
      <c r="Q139" s="2456"/>
      <c r="R139" s="2512">
        <f>ROUND(SUM(R12+R137),1)</f>
        <v>0</v>
      </c>
      <c r="S139" s="2456"/>
      <c r="T139" s="2512">
        <f>ROUND(SUM(T12+T137),1)</f>
        <v>0</v>
      </c>
      <c r="U139" s="2456"/>
      <c r="V139" s="2512">
        <f>ROUND(SUM(V12+V137),1)</f>
        <v>0</v>
      </c>
      <c r="W139" s="2456"/>
      <c r="X139" s="2512">
        <f>ROUND(SUM(X12+X137),1)</f>
        <v>0</v>
      </c>
      <c r="Y139" s="2456"/>
      <c r="Z139" s="2512">
        <f>ROUND(SUM(Z12+Z137),1)</f>
        <v>0</v>
      </c>
      <c r="AA139" s="2513"/>
      <c r="AB139" s="2514"/>
      <c r="AC139" s="2188">
        <f>ROUND(SUM(AC12+AC137),1)</f>
        <v>14930.8</v>
      </c>
      <c r="AD139" s="2049"/>
      <c r="AE139" s="3158"/>
      <c r="AF139" s="2512">
        <f>ROUND(SUM(AF12+AF137),1)</f>
        <v>8815.2000000000007</v>
      </c>
      <c r="AG139" s="2515"/>
      <c r="AH139" s="2457"/>
      <c r="AI139" s="2516">
        <f>ROUND(SUM(+AC139-AF139),1)</f>
        <v>6115.6</v>
      </c>
      <c r="AJ139" s="2509"/>
      <c r="AK139" s="2517">
        <f>ROUND(SUM(+AI139/AF139),3)</f>
        <v>0.69399999999999995</v>
      </c>
    </row>
    <row r="140" spans="1:38" ht="15" customHeight="1" thickTop="1">
      <c r="A140" s="2450"/>
      <c r="B140" s="2043"/>
      <c r="C140" s="2021"/>
      <c r="D140" s="2020"/>
      <c r="E140" s="2518"/>
      <c r="F140" s="2519"/>
      <c r="G140" s="2518"/>
      <c r="H140" s="2020"/>
      <c r="I140" s="2518"/>
      <c r="J140" s="1976"/>
      <c r="K140" s="2518"/>
      <c r="L140" s="2020"/>
      <c r="M140" s="2518"/>
      <c r="N140" s="2020"/>
      <c r="O140" s="2518"/>
      <c r="P140" s="2183"/>
      <c r="Q140" s="2518"/>
      <c r="R140" s="2020"/>
      <c r="S140" s="2518"/>
      <c r="T140" s="2020"/>
      <c r="U140" s="2518"/>
      <c r="V140" s="2020"/>
      <c r="W140" s="2518"/>
      <c r="X140" s="2020"/>
      <c r="Y140" s="2518"/>
      <c r="Z140" s="2020"/>
      <c r="AA140" s="2020"/>
      <c r="AB140" s="2518"/>
      <c r="AC140" s="1976"/>
      <c r="AD140" s="1976"/>
      <c r="AE140" s="1976"/>
      <c r="AF140" s="1976"/>
      <c r="AG140" s="2006"/>
      <c r="AH140" s="2520"/>
      <c r="AI140" s="2507"/>
      <c r="AJ140" s="2508"/>
      <c r="AK140" s="1447"/>
    </row>
    <row r="141" spans="1:38" ht="15" customHeight="1">
      <c r="A141" s="2450"/>
      <c r="B141" s="2043" t="s">
        <v>15</v>
      </c>
      <c r="C141" s="2021"/>
      <c r="D141" s="2020"/>
      <c r="E141" s="2043"/>
      <c r="F141" s="2519"/>
      <c r="G141" s="2043"/>
      <c r="H141" s="2020"/>
      <c r="I141" s="2043"/>
      <c r="J141" s="1976"/>
      <c r="K141" s="2043"/>
      <c r="L141" s="2020"/>
      <c r="M141" s="2043"/>
      <c r="N141" s="2020"/>
      <c r="O141" s="2043"/>
      <c r="P141" s="2183"/>
      <c r="Q141" s="2043"/>
      <c r="R141" s="2020"/>
      <c r="S141" s="2043"/>
      <c r="T141" s="2020"/>
      <c r="U141" s="2043"/>
      <c r="V141" s="2020"/>
      <c r="W141" s="2043"/>
      <c r="X141" s="2020"/>
      <c r="Y141" s="2043"/>
      <c r="Z141" s="2020"/>
      <c r="AA141" s="2020"/>
      <c r="AB141" s="2043"/>
      <c r="AC141" s="1976"/>
      <c r="AD141" s="1994"/>
      <c r="AE141" s="1994"/>
      <c r="AF141" s="1976"/>
      <c r="AG141" s="2006"/>
      <c r="AH141" s="2521"/>
      <c r="AI141" s="2507"/>
      <c r="AJ141" s="2508"/>
      <c r="AK141" s="1447"/>
    </row>
    <row r="142" spans="1:38" ht="15" customHeight="1">
      <c r="A142" s="2450"/>
      <c r="B142" s="2043"/>
      <c r="C142" s="2021"/>
      <c r="D142" s="2020"/>
      <c r="E142" s="2043"/>
      <c r="F142" s="2519"/>
      <c r="G142" s="2043"/>
      <c r="H142" s="2020"/>
      <c r="I142" s="2043"/>
      <c r="J142" s="1976"/>
      <c r="K142" s="2043"/>
      <c r="L142" s="2020"/>
      <c r="M142" s="2043"/>
      <c r="N142" s="2020"/>
      <c r="O142" s="2043"/>
      <c r="P142" s="2183"/>
      <c r="Q142" s="2043"/>
      <c r="R142" s="2020"/>
      <c r="S142" s="2043"/>
      <c r="T142" s="2020"/>
      <c r="U142" s="2043"/>
      <c r="V142" s="2020"/>
      <c r="W142" s="2043"/>
      <c r="X142" s="2020"/>
      <c r="Y142" s="2043"/>
      <c r="Z142" s="2020"/>
      <c r="AA142" s="2020"/>
      <c r="AB142" s="2043"/>
      <c r="AC142" s="22"/>
      <c r="AD142" s="1994"/>
      <c r="AE142" s="1994"/>
      <c r="AF142" s="1976"/>
      <c r="AG142" s="2006"/>
      <c r="AH142" s="2521"/>
      <c r="AI142" s="2507"/>
      <c r="AJ142" s="2508"/>
      <c r="AK142" s="1447"/>
    </row>
    <row r="143" spans="1:38" ht="15" customHeight="1">
      <c r="A143" s="2421"/>
      <c r="B143" s="2522"/>
      <c r="C143" s="2523"/>
      <c r="D143" s="2523"/>
      <c r="E143" s="2524"/>
      <c r="F143" s="2524"/>
      <c r="G143" s="2524"/>
      <c r="H143" s="2021"/>
      <c r="I143" s="2021"/>
      <c r="J143" s="1994"/>
      <c r="K143" s="2021"/>
      <c r="L143" s="2021"/>
      <c r="M143" s="2021"/>
      <c r="N143" s="2021"/>
      <c r="O143" s="2021"/>
      <c r="P143" s="2184"/>
      <c r="Q143" s="2021"/>
      <c r="R143" s="2021"/>
      <c r="S143" s="2021"/>
      <c r="T143" s="2021"/>
      <c r="U143" s="2021"/>
      <c r="V143" s="2021"/>
      <c r="W143" s="2021"/>
      <c r="X143" s="2021"/>
      <c r="Y143" s="2021"/>
      <c r="Z143" s="2021"/>
      <c r="AA143" s="2021"/>
      <c r="AB143" s="2021"/>
      <c r="AC143" s="1994"/>
      <c r="AD143" s="1994"/>
      <c r="AE143" s="1994"/>
      <c r="AF143" s="1994"/>
      <c r="AG143" s="2005"/>
      <c r="AH143" s="2525"/>
      <c r="AI143" s="1441"/>
      <c r="AJ143" s="2476"/>
      <c r="AK143" s="1430"/>
    </row>
    <row r="144" spans="1:38" ht="14.15" customHeight="1">
      <c r="A144" s="2421"/>
      <c r="B144" s="2522"/>
      <c r="C144" s="2523"/>
      <c r="D144" s="2523"/>
      <c r="E144" s="2524"/>
      <c r="F144" s="2524"/>
      <c r="G144" s="2524"/>
      <c r="H144" s="2021"/>
      <c r="I144" s="2021"/>
      <c r="J144" s="1994"/>
      <c r="K144" s="2021"/>
      <c r="L144" s="2021"/>
      <c r="M144" s="2021"/>
      <c r="N144" s="2021"/>
      <c r="O144" s="2021"/>
      <c r="P144" s="2184"/>
      <c r="Q144" s="2021"/>
      <c r="R144" s="2021"/>
      <c r="S144" s="2021"/>
      <c r="T144" s="2021"/>
      <c r="U144" s="2021"/>
      <c r="V144" s="2021"/>
      <c r="W144" s="2021"/>
      <c r="X144" s="2021"/>
      <c r="Y144" s="2021"/>
      <c r="Z144" s="2021"/>
      <c r="AA144" s="2021"/>
      <c r="AB144" s="2021"/>
      <c r="AC144" s="1994"/>
      <c r="AD144" s="1994"/>
      <c r="AE144" s="1994"/>
      <c r="AF144" s="1994"/>
      <c r="AG144" s="2005"/>
      <c r="AH144" s="2525"/>
      <c r="AI144" s="1441"/>
      <c r="AJ144" s="2476"/>
      <c r="AK144" s="1430"/>
    </row>
    <row r="145" spans="1:37" ht="15" customHeight="1">
      <c r="A145" s="2421"/>
      <c r="B145" s="2522"/>
      <c r="C145" s="2523"/>
      <c r="D145" s="2523"/>
      <c r="E145" s="2524"/>
      <c r="F145" s="2524"/>
      <c r="G145" s="2524"/>
      <c r="H145" s="2021"/>
      <c r="I145" s="2021"/>
      <c r="J145" s="1994"/>
      <c r="K145" s="2021"/>
      <c r="L145" s="2021"/>
      <c r="M145" s="2021"/>
      <c r="N145" s="2021"/>
      <c r="O145" s="2021"/>
      <c r="P145" s="2184"/>
      <c r="Q145" s="2021"/>
      <c r="R145" s="2021"/>
      <c r="S145" s="2021"/>
      <c r="T145" s="2021"/>
      <c r="U145" s="2021"/>
      <c r="V145" s="2021"/>
      <c r="W145" s="2021"/>
      <c r="X145" s="2021"/>
      <c r="Y145" s="2021"/>
      <c r="Z145" s="2021"/>
      <c r="AA145" s="2021"/>
      <c r="AB145" s="2021"/>
      <c r="AC145" s="1994"/>
      <c r="AD145" s="1994"/>
      <c r="AE145" s="1994"/>
      <c r="AF145" s="1994"/>
      <c r="AG145" s="2005"/>
      <c r="AH145" s="2525"/>
      <c r="AI145" s="1441"/>
      <c r="AJ145" s="2476"/>
      <c r="AK145" s="1430"/>
    </row>
    <row r="146" spans="1:37" ht="15.75" customHeight="1">
      <c r="A146" s="2421"/>
      <c r="B146" s="2522"/>
      <c r="C146" s="2523"/>
      <c r="D146" s="2523"/>
      <c r="E146" s="2524"/>
      <c r="F146" s="2524"/>
      <c r="G146" s="2524"/>
      <c r="H146" s="2021"/>
      <c r="I146" s="2021"/>
      <c r="J146" s="1994"/>
      <c r="K146" s="2021"/>
      <c r="L146" s="2021"/>
      <c r="M146" s="2021"/>
      <c r="N146" s="2021"/>
      <c r="O146" s="2021"/>
      <c r="P146" s="2184"/>
      <c r="Q146" s="2021"/>
      <c r="R146" s="2021"/>
      <c r="S146" s="2021"/>
      <c r="T146" s="2021"/>
      <c r="U146" s="2021"/>
      <c r="V146" s="2021"/>
      <c r="W146" s="2021"/>
      <c r="X146" s="2021"/>
      <c r="Y146" s="2021"/>
      <c r="Z146" s="2021"/>
      <c r="AA146" s="2021"/>
      <c r="AB146" s="2021"/>
      <c r="AC146" s="1994"/>
      <c r="AD146" s="1994"/>
      <c r="AE146" s="1994"/>
      <c r="AF146" s="1994"/>
      <c r="AG146" s="2005"/>
      <c r="AH146" s="2525"/>
      <c r="AI146" s="1441"/>
      <c r="AJ146" s="2476"/>
      <c r="AK146" s="1430"/>
    </row>
    <row r="147" spans="1:37" ht="14.25" customHeight="1">
      <c r="A147" s="2421"/>
      <c r="B147" s="2522"/>
      <c r="C147" s="2523"/>
      <c r="D147" s="2523"/>
      <c r="E147" s="2524"/>
      <c r="F147" s="2524"/>
      <c r="G147" s="2524"/>
      <c r="H147" s="2021"/>
      <c r="I147" s="2021"/>
      <c r="J147" s="1994"/>
      <c r="K147" s="2021"/>
      <c r="L147" s="2021"/>
      <c r="M147" s="2021"/>
      <c r="N147" s="2021"/>
      <c r="O147" s="2021"/>
      <c r="P147" s="2184"/>
      <c r="Q147" s="2021"/>
      <c r="R147" s="2021"/>
      <c r="S147" s="2021"/>
      <c r="T147" s="2021"/>
      <c r="U147" s="2021"/>
      <c r="V147" s="2021"/>
      <c r="W147" s="2021"/>
      <c r="X147" s="2021"/>
      <c r="Y147" s="2021"/>
      <c r="Z147" s="2021"/>
      <c r="AA147" s="2021"/>
      <c r="AB147" s="2021"/>
      <c r="AC147" s="1994"/>
      <c r="AD147" s="1994"/>
      <c r="AE147" s="1994"/>
      <c r="AF147" s="1994"/>
      <c r="AG147" s="2005"/>
      <c r="AH147" s="2525"/>
      <c r="AI147" s="1441"/>
      <c r="AJ147" s="2476"/>
      <c r="AK147" s="1430"/>
    </row>
    <row r="148" spans="1:37" ht="14.25" customHeight="1">
      <c r="A148" s="2421"/>
      <c r="B148" s="2522"/>
      <c r="C148" s="2523"/>
      <c r="D148" s="2523"/>
      <c r="E148" s="2524"/>
      <c r="F148" s="2524"/>
      <c r="G148" s="2524"/>
      <c r="H148" s="2021"/>
      <c r="I148" s="2021"/>
      <c r="J148" s="1994"/>
      <c r="K148" s="2021"/>
      <c r="L148" s="2021"/>
      <c r="M148" s="2021"/>
      <c r="N148" s="2021"/>
      <c r="O148" s="2021"/>
      <c r="P148" s="2184"/>
      <c r="Q148" s="2021"/>
      <c r="R148" s="2021"/>
      <c r="S148" s="2021"/>
      <c r="T148" s="2021"/>
      <c r="U148" s="2021"/>
      <c r="V148" s="2021"/>
      <c r="W148" s="2021"/>
      <c r="X148" s="2021"/>
      <c r="Y148" s="2021"/>
      <c r="Z148" s="2021"/>
      <c r="AA148" s="2021"/>
      <c r="AB148" s="2021"/>
      <c r="AC148" s="1994"/>
      <c r="AD148" s="1994"/>
      <c r="AE148" s="1994"/>
      <c r="AF148" s="1994"/>
      <c r="AG148" s="2005"/>
      <c r="AH148" s="2525"/>
      <c r="AI148" s="1441"/>
      <c r="AJ148" s="2476"/>
      <c r="AK148" s="1430"/>
    </row>
    <row r="149" spans="1:37" ht="14.25" customHeight="1">
      <c r="A149" s="2421"/>
      <c r="B149" s="2522"/>
      <c r="C149" s="2523"/>
      <c r="D149" s="2523"/>
      <c r="E149" s="2524"/>
      <c r="F149" s="2524"/>
      <c r="G149" s="2524"/>
      <c r="H149" s="2021"/>
      <c r="I149" s="2021"/>
      <c r="J149" s="1994"/>
      <c r="K149" s="2021"/>
      <c r="L149" s="2021"/>
      <c r="M149" s="2021"/>
      <c r="N149" s="2021"/>
      <c r="O149" s="2021"/>
      <c r="P149" s="2184"/>
      <c r="Q149" s="2021"/>
      <c r="R149" s="2021"/>
      <c r="S149" s="2021"/>
      <c r="T149" s="2021"/>
      <c r="U149" s="2021"/>
      <c r="V149" s="2021"/>
      <c r="W149" s="2021"/>
      <c r="X149" s="2021"/>
      <c r="Y149" s="2021"/>
      <c r="Z149" s="2021"/>
      <c r="AA149" s="2021"/>
      <c r="AB149" s="2021"/>
      <c r="AC149" s="1994"/>
      <c r="AD149" s="1994"/>
      <c r="AE149" s="1994"/>
      <c r="AF149" s="1994"/>
      <c r="AG149" s="2005"/>
      <c r="AH149" s="2525"/>
      <c r="AI149" s="1441"/>
      <c r="AJ149" s="2476"/>
      <c r="AK149" s="1430"/>
    </row>
    <row r="150" spans="1:37" ht="14.25" customHeight="1">
      <c r="A150" s="2421"/>
      <c r="B150" s="2522"/>
      <c r="C150" s="2523"/>
      <c r="D150" s="2523"/>
      <c r="E150" s="2524"/>
      <c r="F150" s="2524"/>
      <c r="G150" s="2524"/>
      <c r="H150" s="2021"/>
      <c r="I150" s="2021"/>
      <c r="J150" s="1994"/>
      <c r="K150" s="2021"/>
      <c r="L150" s="2021"/>
      <c r="M150" s="2021"/>
      <c r="N150" s="2021"/>
      <c r="O150" s="2021"/>
      <c r="P150" s="2184"/>
      <c r="Q150" s="2021"/>
      <c r="R150" s="2021"/>
      <c r="S150" s="2021"/>
      <c r="T150" s="2021"/>
      <c r="U150" s="2021"/>
      <c r="V150" s="2021"/>
      <c r="W150" s="2021"/>
      <c r="X150" s="2021"/>
      <c r="Y150" s="2021"/>
      <c r="Z150" s="2021"/>
      <c r="AA150" s="2021"/>
      <c r="AB150" s="2021"/>
      <c r="AC150" s="1994"/>
      <c r="AD150" s="1994"/>
      <c r="AE150" s="1994"/>
      <c r="AF150" s="1994"/>
      <c r="AG150" s="2005"/>
      <c r="AH150" s="2525"/>
      <c r="AI150" s="1441"/>
      <c r="AJ150" s="2476"/>
      <c r="AK150" s="1430"/>
    </row>
    <row r="151" spans="1:37" ht="14.25" customHeight="1">
      <c r="A151" s="2421"/>
      <c r="B151" s="2522"/>
      <c r="C151" s="2523"/>
      <c r="D151" s="2523"/>
      <c r="E151" s="2524"/>
      <c r="F151" s="2524"/>
      <c r="G151" s="2524"/>
      <c r="H151" s="2021"/>
      <c r="I151" s="2021"/>
      <c r="J151" s="1994"/>
      <c r="K151" s="2021"/>
      <c r="L151" s="2021"/>
      <c r="M151" s="2021"/>
      <c r="N151" s="2021"/>
      <c r="O151" s="2021"/>
      <c r="P151" s="2184"/>
      <c r="Q151" s="2021"/>
      <c r="R151" s="2021"/>
      <c r="S151" s="2021"/>
      <c r="T151" s="2021"/>
      <c r="U151" s="2021"/>
      <c r="V151" s="2021"/>
      <c r="W151" s="2021"/>
      <c r="X151" s="2021"/>
      <c r="Y151" s="2021"/>
      <c r="Z151" s="2021"/>
      <c r="AA151" s="2021"/>
      <c r="AB151" s="2021"/>
      <c r="AC151" s="1994"/>
      <c r="AD151" s="1994"/>
      <c r="AE151" s="1994"/>
      <c r="AF151" s="1994"/>
      <c r="AG151" s="2005"/>
      <c r="AH151" s="2525"/>
      <c r="AI151" s="1441"/>
      <c r="AJ151" s="2476"/>
      <c r="AK151" s="1430"/>
    </row>
    <row r="152" spans="1:37" ht="14.25" customHeight="1">
      <c r="A152" s="2421"/>
      <c r="B152" s="2522"/>
      <c r="C152" s="2523"/>
      <c r="D152" s="2523"/>
      <c r="E152" s="2524"/>
      <c r="F152" s="2524"/>
      <c r="G152" s="2524"/>
      <c r="H152" s="2021"/>
      <c r="I152" s="2021"/>
      <c r="J152" s="1994"/>
      <c r="K152" s="2021"/>
      <c r="L152" s="2021"/>
      <c r="M152" s="2021"/>
      <c r="N152" s="2021"/>
      <c r="O152" s="2021"/>
      <c r="P152" s="2184"/>
      <c r="Q152" s="2021"/>
      <c r="R152" s="2021"/>
      <c r="S152" s="2021"/>
      <c r="T152" s="2021"/>
      <c r="U152" s="2021"/>
      <c r="V152" s="2021"/>
      <c r="W152" s="2021"/>
      <c r="X152" s="2021"/>
      <c r="Y152" s="2021"/>
      <c r="Z152" s="2021"/>
      <c r="AA152" s="2021"/>
      <c r="AB152" s="2021"/>
      <c r="AC152" s="1994"/>
      <c r="AD152" s="1994"/>
      <c r="AE152" s="1994"/>
      <c r="AF152" s="1994"/>
      <c r="AG152" s="2005"/>
      <c r="AH152" s="2525"/>
      <c r="AI152" s="1441"/>
      <c r="AJ152" s="2476"/>
      <c r="AK152" s="1430"/>
    </row>
    <row r="153" spans="1:37" ht="14.25" customHeight="1">
      <c r="A153" s="2421"/>
      <c r="B153" s="2522"/>
      <c r="C153" s="2523"/>
      <c r="D153" s="2523"/>
      <c r="E153" s="2524"/>
      <c r="F153" s="2524"/>
      <c r="G153" s="2524"/>
      <c r="H153" s="2021"/>
      <c r="I153" s="2021"/>
      <c r="J153" s="1994"/>
      <c r="K153" s="2021"/>
      <c r="L153" s="2021"/>
      <c r="M153" s="2021"/>
      <c r="N153" s="2021"/>
      <c r="O153" s="2021"/>
      <c r="P153" s="2184"/>
      <c r="Q153" s="2021"/>
      <c r="R153" s="2021"/>
      <c r="S153" s="2021"/>
      <c r="T153" s="2021"/>
      <c r="U153" s="2021"/>
      <c r="V153" s="2021"/>
      <c r="W153" s="2021"/>
      <c r="X153" s="2021"/>
      <c r="Y153" s="2021"/>
      <c r="Z153" s="2021"/>
      <c r="AA153" s="2021"/>
      <c r="AB153" s="2021"/>
      <c r="AC153" s="1994"/>
      <c r="AD153" s="1994"/>
      <c r="AE153" s="1994"/>
      <c r="AF153" s="1994"/>
      <c r="AG153" s="2005"/>
      <c r="AH153" s="2525"/>
      <c r="AI153" s="1441"/>
      <c r="AJ153" s="2476"/>
      <c r="AK153" s="1430"/>
    </row>
    <row r="154" spans="1:37" ht="14.25" customHeight="1">
      <c r="A154" s="2421"/>
      <c r="B154" s="2522"/>
      <c r="C154" s="2523"/>
      <c r="D154" s="2523"/>
      <c r="E154" s="2524"/>
      <c r="F154" s="2524"/>
      <c r="G154" s="2524"/>
      <c r="H154" s="2021"/>
      <c r="I154" s="2021"/>
      <c r="J154" s="1994"/>
      <c r="K154" s="2021"/>
      <c r="L154" s="2021"/>
      <c r="M154" s="2021"/>
      <c r="N154" s="2021"/>
      <c r="O154" s="2021"/>
      <c r="P154" s="2184"/>
      <c r="Q154" s="2021"/>
      <c r="R154" s="2021"/>
      <c r="S154" s="2021"/>
      <c r="T154" s="2021"/>
      <c r="U154" s="2021"/>
      <c r="V154" s="2021"/>
      <c r="W154" s="2021"/>
      <c r="X154" s="2021"/>
      <c r="Y154" s="2021"/>
      <c r="Z154" s="2021"/>
      <c r="AA154" s="2021"/>
      <c r="AB154" s="2021"/>
      <c r="AC154" s="2184"/>
      <c r="AD154" s="2184"/>
      <c r="AE154" s="2184"/>
      <c r="AF154" s="2184"/>
      <c r="AG154" s="2021"/>
      <c r="AH154" s="2526"/>
      <c r="AI154" s="1431"/>
      <c r="AJ154" s="2527"/>
      <c r="AK154" s="1430"/>
    </row>
    <row r="155" spans="1:37" ht="14.25" customHeight="1">
      <c r="A155" s="2421"/>
      <c r="B155" s="2522"/>
      <c r="C155" s="2523"/>
      <c r="D155" s="2523"/>
      <c r="E155" s="2524"/>
      <c r="F155" s="2524"/>
      <c r="G155" s="2524"/>
      <c r="H155" s="2021"/>
      <c r="I155" s="2021"/>
      <c r="J155" s="1994"/>
      <c r="K155" s="2021"/>
      <c r="L155" s="2021"/>
      <c r="M155" s="2021"/>
      <c r="N155" s="2021"/>
      <c r="O155" s="2021"/>
      <c r="P155" s="2184"/>
      <c r="Q155" s="2021"/>
      <c r="R155" s="2021"/>
      <c r="S155" s="2021"/>
      <c r="T155" s="2021"/>
      <c r="U155" s="2021"/>
      <c r="V155" s="2021"/>
      <c r="W155" s="2021"/>
      <c r="X155" s="2021"/>
      <c r="Y155" s="2021"/>
      <c r="Z155" s="2021"/>
      <c r="AA155" s="2021"/>
      <c r="AB155" s="2021"/>
      <c r="AC155" s="2184"/>
      <c r="AD155" s="2184"/>
      <c r="AE155" s="2184"/>
      <c r="AF155" s="2184"/>
      <c r="AG155" s="2021"/>
      <c r="AH155" s="2526"/>
      <c r="AI155" s="1431"/>
      <c r="AJ155" s="2527"/>
      <c r="AK155" s="1430"/>
    </row>
    <row r="156" spans="1:37" ht="14.25" customHeight="1">
      <c r="A156" s="2421"/>
      <c r="B156" s="2522"/>
      <c r="C156" s="2523"/>
      <c r="D156" s="2523"/>
      <c r="E156" s="2524"/>
      <c r="F156" s="2524"/>
      <c r="G156" s="2524"/>
      <c r="H156" s="2021"/>
      <c r="I156" s="2021"/>
      <c r="J156" s="1994"/>
      <c r="K156" s="2021"/>
      <c r="L156" s="2021"/>
      <c r="M156" s="2021"/>
      <c r="N156" s="2021"/>
      <c r="O156" s="2021"/>
      <c r="P156" s="2184"/>
      <c r="Q156" s="2021"/>
      <c r="R156" s="2021"/>
      <c r="S156" s="2021"/>
      <c r="T156" s="2021"/>
      <c r="U156" s="2021"/>
      <c r="V156" s="2021"/>
      <c r="W156" s="2021"/>
      <c r="X156" s="2021"/>
      <c r="Y156" s="2021"/>
      <c r="Z156" s="2021"/>
      <c r="AA156" s="2021"/>
      <c r="AB156" s="2021"/>
      <c r="AC156" s="2184"/>
      <c r="AD156" s="2184"/>
      <c r="AE156" s="2184"/>
      <c r="AF156" s="2184"/>
      <c r="AG156" s="2021"/>
      <c r="AH156" s="2526"/>
      <c r="AI156" s="1431"/>
      <c r="AJ156" s="2527"/>
      <c r="AK156" s="1430"/>
    </row>
    <row r="157" spans="1:37" ht="14.25" customHeight="1">
      <c r="A157" s="2421"/>
      <c r="B157" s="2522"/>
      <c r="C157" s="2523"/>
      <c r="D157" s="2523"/>
      <c r="E157" s="2524"/>
      <c r="F157" s="2524"/>
      <c r="G157" s="2524"/>
      <c r="H157" s="2021"/>
      <c r="I157" s="2021"/>
      <c r="J157" s="1994"/>
      <c r="K157" s="2021"/>
      <c r="L157" s="2021"/>
      <c r="M157" s="2021"/>
      <c r="N157" s="2021"/>
      <c r="O157" s="2021"/>
      <c r="P157" s="2184"/>
      <c r="Q157" s="2021"/>
      <c r="R157" s="2021"/>
      <c r="S157" s="2021"/>
      <c r="T157" s="2021"/>
      <c r="U157" s="2021"/>
      <c r="V157" s="2021"/>
      <c r="W157" s="2021"/>
      <c r="X157" s="2021"/>
      <c r="Y157" s="2021"/>
      <c r="Z157" s="2021"/>
      <c r="AA157" s="2021"/>
      <c r="AB157" s="2021"/>
      <c r="AC157" s="2184"/>
      <c r="AD157" s="2184"/>
      <c r="AE157" s="2184"/>
      <c r="AF157" s="2184"/>
      <c r="AG157" s="2021"/>
      <c r="AH157" s="2526"/>
      <c r="AI157" s="1431"/>
      <c r="AJ157" s="2527"/>
      <c r="AK157" s="1430"/>
    </row>
    <row r="158" spans="1:37" ht="14.25" customHeight="1">
      <c r="A158" s="2421"/>
      <c r="B158" s="2522"/>
      <c r="C158" s="2523"/>
      <c r="D158" s="2523"/>
      <c r="E158" s="2524"/>
      <c r="F158" s="2524"/>
      <c r="G158" s="2524"/>
      <c r="H158" s="2021"/>
      <c r="I158" s="2021"/>
      <c r="J158" s="1994"/>
      <c r="K158" s="2021"/>
      <c r="L158" s="2021"/>
      <c r="M158" s="2021"/>
      <c r="N158" s="2021"/>
      <c r="O158" s="2021"/>
      <c r="P158" s="2184"/>
      <c r="Q158" s="2021"/>
      <c r="R158" s="2021"/>
      <c r="S158" s="2021"/>
      <c r="T158" s="2021"/>
      <c r="U158" s="2021"/>
      <c r="V158" s="2021"/>
      <c r="W158" s="2021"/>
      <c r="X158" s="2021"/>
      <c r="Y158" s="2021"/>
      <c r="Z158" s="2021"/>
      <c r="AA158" s="2021"/>
      <c r="AB158" s="2021"/>
      <c r="AC158" s="2184"/>
      <c r="AD158" s="2184"/>
      <c r="AE158" s="2184"/>
      <c r="AF158" s="2184"/>
      <c r="AG158" s="2021"/>
      <c r="AH158" s="2526"/>
      <c r="AI158" s="1431"/>
      <c r="AJ158" s="2527"/>
      <c r="AK158" s="1430"/>
    </row>
    <row r="159" spans="1:37" ht="14.25" customHeight="1">
      <c r="A159" s="2421"/>
      <c r="B159" s="2522"/>
      <c r="C159" s="2523"/>
      <c r="D159" s="2523"/>
      <c r="E159" s="2524"/>
      <c r="F159" s="2524"/>
      <c r="G159" s="2524"/>
      <c r="H159" s="2021"/>
      <c r="I159" s="2021"/>
      <c r="J159" s="1994"/>
      <c r="K159" s="2021"/>
      <c r="L159" s="2021"/>
      <c r="M159" s="2021"/>
      <c r="N159" s="2021"/>
      <c r="O159" s="2021"/>
      <c r="P159" s="2184"/>
      <c r="Q159" s="2021"/>
      <c r="R159" s="2021"/>
      <c r="S159" s="2021"/>
      <c r="T159" s="2021"/>
      <c r="U159" s="2021"/>
      <c r="V159" s="2021"/>
      <c r="W159" s="2021"/>
      <c r="X159" s="2021"/>
      <c r="Y159" s="2021"/>
      <c r="Z159" s="2021"/>
      <c r="AA159" s="2021"/>
      <c r="AB159" s="2021"/>
      <c r="AC159" s="2184"/>
      <c r="AD159" s="2184"/>
      <c r="AE159" s="2184"/>
      <c r="AF159" s="2184"/>
      <c r="AG159" s="2021"/>
      <c r="AH159" s="2526"/>
      <c r="AI159" s="1431"/>
      <c r="AJ159" s="2527"/>
      <c r="AK159" s="1430"/>
    </row>
    <row r="160" spans="1:37" ht="14.25" customHeight="1">
      <c r="A160" s="2421"/>
      <c r="B160" s="2522"/>
      <c r="C160" s="2523"/>
      <c r="D160" s="2523"/>
      <c r="E160" s="2524"/>
      <c r="F160" s="2524"/>
      <c r="G160" s="2524"/>
      <c r="H160" s="2021"/>
      <c r="I160" s="2021"/>
      <c r="J160" s="1994"/>
      <c r="K160" s="2021"/>
      <c r="L160" s="2021"/>
      <c r="M160" s="2021"/>
      <c r="N160" s="2021"/>
      <c r="O160" s="2021"/>
      <c r="P160" s="2184"/>
      <c r="Q160" s="2021"/>
      <c r="R160" s="2021"/>
      <c r="S160" s="2021"/>
      <c r="T160" s="2021"/>
      <c r="U160" s="2021"/>
      <c r="V160" s="2021"/>
      <c r="W160" s="2021"/>
      <c r="X160" s="2021"/>
      <c r="Y160" s="2021"/>
      <c r="Z160" s="2021"/>
      <c r="AA160" s="2021"/>
      <c r="AB160" s="2021"/>
      <c r="AC160" s="2184"/>
      <c r="AD160" s="2184"/>
      <c r="AE160" s="2184"/>
      <c r="AF160" s="2184"/>
      <c r="AG160" s="2021"/>
      <c r="AH160" s="2526"/>
      <c r="AI160" s="1431"/>
      <c r="AJ160" s="2527"/>
      <c r="AK160" s="1430"/>
    </row>
    <row r="161" spans="1:38" ht="14.25" customHeight="1">
      <c r="A161" s="2421"/>
      <c r="B161" s="2522"/>
      <c r="C161" s="2523"/>
      <c r="D161" s="2523"/>
      <c r="E161" s="2524"/>
      <c r="F161" s="2524"/>
      <c r="G161" s="2524"/>
      <c r="H161" s="2021"/>
      <c r="I161" s="2021"/>
      <c r="J161" s="1994"/>
      <c r="K161" s="2021"/>
      <c r="L161" s="2021"/>
      <c r="M161" s="2021"/>
      <c r="N161" s="2021"/>
      <c r="O161" s="2021"/>
      <c r="P161" s="2184"/>
      <c r="Q161" s="2021"/>
      <c r="R161" s="2021"/>
      <c r="S161" s="2021"/>
      <c r="T161" s="2021"/>
      <c r="U161" s="2021"/>
      <c r="V161" s="2021"/>
      <c r="W161" s="2021"/>
      <c r="X161" s="2021"/>
      <c r="Y161" s="2021"/>
      <c r="Z161" s="2021"/>
      <c r="AA161" s="2021"/>
      <c r="AB161" s="2021"/>
      <c r="AC161" s="2184"/>
      <c r="AD161" s="2184"/>
      <c r="AE161" s="2184"/>
      <c r="AF161" s="2184"/>
      <c r="AG161" s="2021"/>
      <c r="AH161" s="2526"/>
      <c r="AI161" s="1431"/>
      <c r="AJ161" s="2527"/>
      <c r="AK161" s="1430"/>
    </row>
    <row r="162" spans="1:38" ht="14.25" customHeight="1">
      <c r="A162" s="2421"/>
      <c r="B162" s="2522"/>
      <c r="C162" s="2523"/>
      <c r="D162" s="2523"/>
      <c r="E162" s="2524"/>
      <c r="F162" s="2524"/>
      <c r="G162" s="2524"/>
      <c r="H162" s="2021"/>
      <c r="I162" s="2021"/>
      <c r="J162" s="1994"/>
      <c r="K162" s="2021"/>
      <c r="L162" s="2021"/>
      <c r="M162" s="2021"/>
      <c r="N162" s="2021"/>
      <c r="O162" s="2021"/>
      <c r="P162" s="2184"/>
      <c r="Q162" s="2021"/>
      <c r="R162" s="2021"/>
      <c r="S162" s="2021"/>
      <c r="T162" s="2021"/>
      <c r="U162" s="2021"/>
      <c r="V162" s="2021"/>
      <c r="W162" s="2021"/>
      <c r="X162" s="2021"/>
      <c r="Y162" s="2021"/>
      <c r="Z162" s="2021"/>
      <c r="AA162" s="2021"/>
      <c r="AB162" s="2021"/>
      <c r="AC162" s="2184"/>
      <c r="AD162" s="2184"/>
      <c r="AE162" s="2184"/>
      <c r="AF162" s="2184"/>
      <c r="AG162" s="2021"/>
      <c r="AH162" s="2526"/>
      <c r="AI162" s="1431"/>
      <c r="AJ162" s="2527"/>
      <c r="AK162" s="1430"/>
    </row>
    <row r="163" spans="1:38" ht="20.149999999999999" customHeight="1">
      <c r="A163" s="2421"/>
      <c r="B163" s="2499"/>
      <c r="C163" s="2021"/>
      <c r="D163" s="2021"/>
      <c r="E163" s="2021"/>
      <c r="F163" s="2021"/>
      <c r="G163" s="2021"/>
      <c r="H163" s="2021"/>
      <c r="I163" s="2021"/>
      <c r="J163" s="1994"/>
      <c r="K163" s="2021"/>
      <c r="L163" s="2021"/>
      <c r="M163" s="2021"/>
      <c r="N163" s="2021"/>
      <c r="O163" s="2021"/>
      <c r="P163" s="2184"/>
      <c r="Q163" s="2021"/>
      <c r="R163" s="2021"/>
      <c r="S163" s="2021"/>
      <c r="T163" s="2021"/>
      <c r="U163" s="2021"/>
      <c r="V163" s="2021"/>
      <c r="W163" s="2021"/>
      <c r="X163" s="2021"/>
      <c r="Y163" s="2021"/>
      <c r="Z163" s="2021"/>
      <c r="AA163" s="2021"/>
      <c r="AB163" s="2021"/>
      <c r="AC163" s="2184"/>
      <c r="AD163" s="2184"/>
      <c r="AE163" s="2184"/>
      <c r="AF163" s="2184"/>
      <c r="AG163" s="2021"/>
      <c r="AH163" s="2526"/>
      <c r="AI163" s="1431"/>
      <c r="AJ163" s="2527"/>
      <c r="AK163" s="1430"/>
    </row>
    <row r="164" spans="1:38" ht="20.149999999999999" customHeight="1">
      <c r="A164" s="2421"/>
      <c r="B164" s="2499"/>
      <c r="C164" s="2021"/>
      <c r="D164" s="2021"/>
      <c r="E164" s="2021"/>
      <c r="F164" s="2021"/>
      <c r="G164" s="2021"/>
      <c r="H164" s="2021"/>
      <c r="I164" s="2021"/>
      <c r="J164" s="1994"/>
      <c r="K164" s="2021"/>
      <c r="L164" s="2021"/>
      <c r="M164" s="2021"/>
      <c r="N164" s="2021"/>
      <c r="O164" s="2021"/>
      <c r="P164" s="2184"/>
      <c r="Q164" s="2021"/>
      <c r="R164" s="2021"/>
      <c r="S164" s="2021"/>
      <c r="T164" s="2021"/>
      <c r="U164" s="2021"/>
      <c r="V164" s="2021"/>
      <c r="W164" s="2021"/>
      <c r="X164" s="2021"/>
      <c r="Y164" s="2021"/>
      <c r="Z164" s="2021"/>
      <c r="AA164" s="2021"/>
      <c r="AB164" s="2021"/>
      <c r="AC164" s="2184"/>
      <c r="AD164" s="2184"/>
      <c r="AE164" s="2184"/>
      <c r="AF164" s="2184"/>
      <c r="AG164" s="2021"/>
      <c r="AH164" s="2526"/>
      <c r="AI164" s="1431"/>
      <c r="AJ164" s="2527"/>
      <c r="AK164" s="1430"/>
      <c r="AL164" s="2021"/>
    </row>
    <row r="165" spans="1:38" ht="20.149999999999999" customHeight="1">
      <c r="A165" s="2421"/>
      <c r="B165" s="2499"/>
      <c r="C165" s="2021"/>
      <c r="D165" s="2021"/>
      <c r="E165" s="2021"/>
      <c r="F165" s="2021"/>
      <c r="G165" s="2021"/>
      <c r="H165" s="2021"/>
      <c r="I165" s="2021"/>
      <c r="J165" s="1994"/>
      <c r="K165" s="2021"/>
      <c r="L165" s="2021"/>
      <c r="M165" s="2021"/>
      <c r="N165" s="2021"/>
      <c r="O165" s="2021"/>
      <c r="P165" s="2184"/>
      <c r="Q165" s="2021"/>
      <c r="R165" s="2021"/>
      <c r="S165" s="2021"/>
      <c r="T165" s="2021"/>
      <c r="U165" s="2021"/>
      <c r="V165" s="2021"/>
      <c r="W165" s="2021"/>
      <c r="X165" s="2021"/>
      <c r="Y165" s="2021"/>
      <c r="Z165" s="2021"/>
      <c r="AA165" s="2021"/>
      <c r="AB165" s="2021"/>
      <c r="AC165" s="2184"/>
      <c r="AD165" s="2184"/>
      <c r="AE165" s="2184"/>
      <c r="AF165" s="2184"/>
      <c r="AG165" s="2021"/>
      <c r="AH165" s="2526"/>
      <c r="AI165" s="1431"/>
      <c r="AJ165" s="2527"/>
      <c r="AK165" s="1430"/>
      <c r="AL165" s="2021"/>
    </row>
    <row r="166" spans="1:38" ht="20.149999999999999" customHeight="1">
      <c r="B166" s="2499"/>
      <c r="C166" s="2021"/>
      <c r="D166" s="2021"/>
      <c r="E166" s="2021"/>
      <c r="F166" s="2021"/>
      <c r="G166" s="2021"/>
      <c r="H166" s="2021"/>
      <c r="I166" s="2021"/>
      <c r="J166" s="1994"/>
      <c r="K166" s="2021"/>
      <c r="L166" s="2021"/>
      <c r="M166" s="2021"/>
      <c r="N166" s="2021"/>
      <c r="O166" s="2021"/>
      <c r="P166" s="2184"/>
      <c r="Q166" s="2021"/>
      <c r="R166" s="2021"/>
      <c r="S166" s="2021"/>
      <c r="T166" s="2021"/>
      <c r="U166" s="2021"/>
      <c r="V166" s="2021"/>
      <c r="W166" s="2021"/>
      <c r="X166" s="2021"/>
      <c r="Y166" s="2021"/>
      <c r="Z166" s="2021"/>
      <c r="AA166" s="2021"/>
      <c r="AB166" s="2021"/>
      <c r="AC166" s="2184"/>
      <c r="AD166" s="2184"/>
      <c r="AE166" s="2184"/>
      <c r="AF166" s="2184"/>
      <c r="AG166" s="2021"/>
      <c r="AH166" s="2021"/>
      <c r="AI166" s="1431"/>
      <c r="AJ166" s="2527"/>
      <c r="AK166" s="1430"/>
      <c r="AL166" s="2021"/>
    </row>
    <row r="167" spans="1:38" ht="20.149999999999999" customHeight="1">
      <c r="B167" s="2021"/>
      <c r="C167" s="2021"/>
      <c r="D167" s="2021"/>
      <c r="E167" s="2021"/>
      <c r="F167" s="2021"/>
      <c r="G167" s="2021"/>
      <c r="H167" s="2021"/>
      <c r="I167" s="2021"/>
      <c r="J167" s="1994"/>
      <c r="K167" s="2021"/>
      <c r="L167" s="2021"/>
      <c r="M167" s="2021"/>
      <c r="N167" s="2021"/>
      <c r="O167" s="2021"/>
      <c r="P167" s="2184"/>
      <c r="Q167" s="2021"/>
      <c r="R167" s="2021"/>
      <c r="S167" s="2021"/>
      <c r="T167" s="2021"/>
      <c r="U167" s="2021"/>
      <c r="V167" s="2021"/>
      <c r="W167" s="2021"/>
      <c r="X167" s="2021"/>
      <c r="Y167" s="2021"/>
      <c r="Z167" s="2021"/>
      <c r="AA167" s="2021"/>
      <c r="AB167" s="2021"/>
      <c r="AC167" s="2184"/>
      <c r="AD167" s="2184"/>
      <c r="AE167" s="2184"/>
      <c r="AF167" s="2184"/>
      <c r="AG167" s="2021"/>
      <c r="AH167" s="2021"/>
      <c r="AI167" s="1431"/>
      <c r="AJ167" s="2527"/>
      <c r="AK167" s="1430"/>
      <c r="AL167" s="2021"/>
    </row>
    <row r="168" spans="1:38" ht="20.149999999999999" customHeight="1">
      <c r="B168" s="2528"/>
      <c r="C168" s="2021"/>
      <c r="D168" s="2021"/>
      <c r="E168" s="2021"/>
      <c r="F168" s="2021"/>
      <c r="G168" s="2021"/>
      <c r="H168" s="2021"/>
      <c r="I168" s="2021"/>
      <c r="J168" s="1994"/>
      <c r="K168" s="2021"/>
      <c r="L168" s="2021"/>
      <c r="M168" s="2021"/>
      <c r="N168" s="2021"/>
      <c r="O168" s="2021"/>
      <c r="P168" s="2184"/>
      <c r="Q168" s="2021"/>
      <c r="R168" s="2021"/>
      <c r="S168" s="2021"/>
      <c r="T168" s="2021"/>
      <c r="U168" s="2021"/>
      <c r="V168" s="2021"/>
      <c r="W168" s="2021"/>
      <c r="X168" s="2021"/>
      <c r="Y168" s="2021"/>
      <c r="Z168" s="2021"/>
      <c r="AA168" s="2021"/>
      <c r="AB168" s="2021"/>
      <c r="AC168" s="2184"/>
      <c r="AD168" s="2184"/>
      <c r="AE168" s="2184"/>
      <c r="AF168" s="2184"/>
      <c r="AG168" s="2021"/>
      <c r="AI168" s="2024"/>
      <c r="AJ168" s="2460"/>
      <c r="AK168" s="1447"/>
      <c r="AL168" s="2021"/>
    </row>
    <row r="169" spans="1:38" ht="20.149999999999999" customHeight="1">
      <c r="B169" s="2021"/>
      <c r="C169" s="2021"/>
      <c r="D169" s="2021"/>
      <c r="E169" s="2021"/>
      <c r="F169" s="2021"/>
      <c r="G169" s="2021"/>
      <c r="H169" s="2021"/>
      <c r="I169" s="2021"/>
      <c r="J169" s="1994"/>
      <c r="K169" s="2021"/>
      <c r="L169" s="2021"/>
      <c r="M169" s="2021"/>
      <c r="N169" s="2021"/>
      <c r="O169" s="2021"/>
      <c r="P169" s="2184"/>
      <c r="Q169" s="2021"/>
      <c r="R169" s="2021"/>
      <c r="S169" s="2021"/>
      <c r="T169" s="2021"/>
      <c r="U169" s="2021"/>
      <c r="V169" s="2021"/>
      <c r="W169" s="2021"/>
      <c r="X169" s="2021"/>
      <c r="Y169" s="2021"/>
      <c r="Z169" s="2021"/>
      <c r="AA169" s="2021"/>
      <c r="AB169" s="2021"/>
      <c r="AC169" s="2184"/>
      <c r="AD169" s="2184"/>
      <c r="AE169" s="2184"/>
      <c r="AF169" s="2184"/>
      <c r="AG169" s="2021"/>
      <c r="AI169" s="2024"/>
      <c r="AJ169" s="2460"/>
      <c r="AK169" s="1447"/>
      <c r="AL169" s="2021"/>
    </row>
    <row r="170" spans="1:38" ht="20.149999999999999" customHeight="1">
      <c r="B170" s="2021"/>
      <c r="C170" s="2021"/>
      <c r="D170" s="2021"/>
      <c r="E170" s="2021"/>
      <c r="F170" s="2021"/>
      <c r="G170" s="2021"/>
      <c r="H170" s="2021"/>
      <c r="I170" s="2021"/>
      <c r="J170" s="1994"/>
      <c r="K170" s="2021"/>
      <c r="L170" s="2021"/>
      <c r="M170" s="2021"/>
      <c r="N170" s="2021"/>
      <c r="O170" s="2021"/>
      <c r="P170" s="2184"/>
      <c r="Q170" s="2021"/>
      <c r="R170" s="2021"/>
      <c r="S170" s="2021"/>
      <c r="T170" s="2021"/>
      <c r="U170" s="2021"/>
      <c r="V170" s="2021"/>
      <c r="W170" s="2021"/>
      <c r="X170" s="2021"/>
      <c r="Y170" s="2021"/>
      <c r="Z170" s="2021"/>
      <c r="AA170" s="2021"/>
      <c r="AB170" s="2021"/>
      <c r="AC170" s="2184"/>
      <c r="AD170" s="2184"/>
      <c r="AE170" s="2184"/>
      <c r="AF170" s="2184"/>
      <c r="AG170" s="2021"/>
      <c r="AI170" s="2024"/>
      <c r="AJ170" s="2460"/>
      <c r="AK170" s="1447"/>
      <c r="AL170" s="2021"/>
    </row>
    <row r="171" spans="1:38" ht="20.149999999999999" customHeight="1">
      <c r="B171" s="2024"/>
      <c r="C171" s="2024"/>
      <c r="D171" s="2024"/>
      <c r="E171" s="2024"/>
      <c r="F171" s="2024"/>
      <c r="G171" s="2024"/>
      <c r="H171" s="2024"/>
      <c r="I171" s="2024"/>
      <c r="J171" s="2422"/>
      <c r="K171" s="2024"/>
      <c r="L171" s="2024"/>
      <c r="M171" s="2024"/>
      <c r="N171" s="2024"/>
      <c r="O171" s="2024"/>
      <c r="P171" s="2191"/>
      <c r="Q171" s="2024"/>
      <c r="R171" s="2024"/>
      <c r="S171" s="2024"/>
      <c r="T171" s="2024"/>
      <c r="U171" s="2024"/>
      <c r="V171" s="2024"/>
      <c r="W171" s="2024"/>
      <c r="X171" s="2024"/>
      <c r="Y171" s="2024"/>
      <c r="Z171" s="2024"/>
      <c r="AA171" s="2024"/>
      <c r="AB171" s="2024"/>
      <c r="AC171" s="2191"/>
      <c r="AD171" s="2191"/>
      <c r="AE171" s="2191"/>
      <c r="AF171" s="2191"/>
      <c r="AG171" s="2024"/>
      <c r="AI171" s="2024"/>
      <c r="AJ171" s="2460"/>
      <c r="AK171" s="1447"/>
      <c r="AL171" s="2021"/>
    </row>
    <row r="172" spans="1:38" ht="20.149999999999999" customHeight="1">
      <c r="B172" s="2024"/>
      <c r="C172" s="2024"/>
      <c r="D172" s="2024"/>
      <c r="E172" s="2024"/>
      <c r="F172" s="2024"/>
      <c r="G172" s="2024"/>
      <c r="H172" s="2024"/>
      <c r="I172" s="2024"/>
      <c r="J172" s="2422"/>
      <c r="K172" s="2024"/>
      <c r="L172" s="2024"/>
      <c r="M172" s="2024"/>
      <c r="N172" s="2024"/>
      <c r="O172" s="2024"/>
      <c r="P172" s="2191"/>
      <c r="Q172" s="2024"/>
      <c r="R172" s="2024"/>
      <c r="S172" s="2024"/>
      <c r="T172" s="2024"/>
      <c r="U172" s="2024"/>
      <c r="V172" s="2024"/>
      <c r="W172" s="2024"/>
      <c r="X172" s="2024"/>
      <c r="Y172" s="2024"/>
      <c r="Z172" s="2024"/>
      <c r="AA172" s="2024"/>
      <c r="AB172" s="2024"/>
      <c r="AC172" s="2191"/>
      <c r="AD172" s="2191"/>
      <c r="AE172" s="2191"/>
      <c r="AF172" s="2191"/>
      <c r="AG172" s="2024"/>
    </row>
    <row r="173" spans="1:38" ht="20.149999999999999" customHeight="1">
      <c r="B173" s="2024"/>
      <c r="C173" s="2024"/>
      <c r="D173" s="2024"/>
      <c r="E173" s="2024"/>
      <c r="F173" s="2024"/>
      <c r="G173" s="2024"/>
      <c r="H173" s="2024"/>
      <c r="I173" s="2024"/>
      <c r="J173" s="2422"/>
      <c r="K173" s="2024"/>
      <c r="L173" s="2024"/>
      <c r="M173" s="2024"/>
      <c r="N173" s="2024"/>
      <c r="O173" s="2024"/>
      <c r="P173" s="2191"/>
      <c r="Q173" s="2024"/>
      <c r="R173" s="2024"/>
      <c r="S173" s="2024"/>
      <c r="T173" s="2024"/>
      <c r="U173" s="2024"/>
      <c r="V173" s="2024"/>
      <c r="W173" s="2024"/>
      <c r="X173" s="2024"/>
      <c r="Y173" s="2024"/>
      <c r="Z173" s="2024"/>
      <c r="AA173" s="2024"/>
      <c r="AB173" s="2024"/>
      <c r="AC173" s="2191"/>
      <c r="AD173" s="2191"/>
      <c r="AE173" s="2191"/>
      <c r="AF173" s="2191"/>
      <c r="AG173" s="2024"/>
    </row>
    <row r="174" spans="1:38" ht="20.149999999999999" customHeight="1">
      <c r="B174" s="2024"/>
      <c r="C174" s="2024"/>
      <c r="D174" s="2024"/>
      <c r="E174" s="2024"/>
      <c r="F174" s="2024"/>
      <c r="G174" s="2024"/>
      <c r="H174" s="2024"/>
      <c r="I174" s="2024"/>
      <c r="J174" s="2422"/>
      <c r="K174" s="2024"/>
      <c r="L174" s="2024"/>
      <c r="M174" s="2024"/>
      <c r="N174" s="2024"/>
      <c r="O174" s="2024"/>
      <c r="P174" s="2191"/>
      <c r="Q174" s="2024"/>
      <c r="R174" s="2024"/>
      <c r="S174" s="2024"/>
      <c r="T174" s="2024"/>
      <c r="U174" s="2024"/>
      <c r="V174" s="2024"/>
      <c r="W174" s="2024"/>
      <c r="X174" s="2024"/>
      <c r="Y174" s="2024"/>
      <c r="Z174" s="2024"/>
      <c r="AA174" s="2024"/>
      <c r="AB174" s="2024"/>
      <c r="AC174" s="2191"/>
      <c r="AD174" s="2191"/>
      <c r="AE174" s="2191"/>
      <c r="AF174" s="2191"/>
      <c r="AG174" s="2024"/>
    </row>
    <row r="175" spans="1:38" ht="20.149999999999999" customHeight="1">
      <c r="B175" s="2024"/>
      <c r="C175" s="2024"/>
      <c r="D175" s="2024"/>
      <c r="E175" s="2024"/>
      <c r="F175" s="2024"/>
      <c r="G175" s="2024"/>
      <c r="H175" s="2024"/>
      <c r="I175" s="2024"/>
      <c r="J175" s="2422"/>
      <c r="K175" s="2024"/>
      <c r="L175" s="2024"/>
      <c r="M175" s="2024"/>
      <c r="N175" s="2024"/>
      <c r="O175" s="2024"/>
      <c r="P175" s="2191"/>
      <c r="Q175" s="2024"/>
      <c r="R175" s="2024"/>
      <c r="S175" s="2024"/>
      <c r="T175" s="2024"/>
      <c r="U175" s="2024"/>
      <c r="V175" s="2024"/>
      <c r="W175" s="2024"/>
      <c r="X175" s="2024"/>
      <c r="Y175" s="2024"/>
      <c r="Z175" s="2024"/>
      <c r="AA175" s="2024"/>
      <c r="AB175" s="2024"/>
      <c r="AC175" s="2191"/>
      <c r="AD175" s="2191"/>
      <c r="AE175" s="2191"/>
      <c r="AF175" s="2191"/>
      <c r="AG175" s="2024"/>
    </row>
    <row r="176" spans="1:38">
      <c r="B176" s="2024"/>
      <c r="C176" s="2024"/>
      <c r="D176" s="2024"/>
      <c r="E176" s="2024"/>
      <c r="F176" s="2024"/>
      <c r="G176" s="2024"/>
      <c r="H176" s="2024"/>
      <c r="I176" s="2024"/>
      <c r="J176" s="2422"/>
      <c r="K176" s="2024"/>
      <c r="L176" s="2024"/>
      <c r="M176" s="2024"/>
      <c r="N176" s="2024"/>
      <c r="O176" s="2024"/>
      <c r="P176" s="2191"/>
      <c r="Q176" s="2024"/>
      <c r="R176" s="2024"/>
      <c r="S176" s="2024"/>
      <c r="T176" s="2024"/>
      <c r="U176" s="2024"/>
      <c r="V176" s="2024"/>
      <c r="W176" s="2024"/>
      <c r="X176" s="2024"/>
      <c r="Y176" s="2024"/>
      <c r="Z176" s="2024"/>
      <c r="AA176" s="2024"/>
      <c r="AB176" s="2024"/>
      <c r="AC176" s="2191"/>
      <c r="AD176" s="2191"/>
      <c r="AE176" s="2191"/>
      <c r="AF176" s="2191"/>
      <c r="AG176" s="2024"/>
    </row>
    <row r="177" spans="2:33">
      <c r="B177" s="2024"/>
      <c r="C177" s="2024"/>
      <c r="D177" s="2024"/>
      <c r="E177" s="2024"/>
      <c r="F177" s="2024"/>
      <c r="G177" s="2024"/>
      <c r="H177" s="2024"/>
      <c r="I177" s="2024"/>
      <c r="J177" s="2422"/>
      <c r="K177" s="2024"/>
      <c r="L177" s="2024"/>
      <c r="M177" s="2024"/>
      <c r="N177" s="2024"/>
      <c r="O177" s="2024"/>
      <c r="P177" s="2191"/>
      <c r="Q177" s="2024"/>
      <c r="R177" s="2024"/>
      <c r="S177" s="2024"/>
      <c r="T177" s="2024"/>
      <c r="U177" s="2024"/>
      <c r="V177" s="2024"/>
      <c r="W177" s="2024"/>
      <c r="X177" s="2024"/>
      <c r="Y177" s="2024"/>
      <c r="Z177" s="2024"/>
      <c r="AA177" s="2024"/>
      <c r="AB177" s="2024"/>
      <c r="AC177" s="2191"/>
      <c r="AD177" s="2191"/>
      <c r="AE177" s="2191"/>
      <c r="AF177" s="2191"/>
      <c r="AG177" s="2024"/>
    </row>
    <row r="178" spans="2:33">
      <c r="B178" s="2024"/>
      <c r="C178" s="2024"/>
      <c r="D178" s="2024"/>
      <c r="E178" s="2024"/>
      <c r="F178" s="2024"/>
      <c r="G178" s="2024"/>
      <c r="H178" s="2024"/>
      <c r="I178" s="2024"/>
      <c r="J178" s="2422"/>
      <c r="K178" s="2024"/>
      <c r="L178" s="2024"/>
      <c r="M178" s="2024"/>
      <c r="N178" s="2024"/>
      <c r="O178" s="2024"/>
      <c r="P178" s="2191"/>
      <c r="Q178" s="2024"/>
      <c r="R178" s="2024"/>
      <c r="S178" s="2024"/>
      <c r="T178" s="2024"/>
      <c r="U178" s="2024"/>
      <c r="V178" s="2024"/>
      <c r="W178" s="2024"/>
      <c r="X178" s="2024"/>
      <c r="Y178" s="2024"/>
      <c r="Z178" s="2024"/>
      <c r="AA178" s="2024"/>
      <c r="AB178" s="2024"/>
      <c r="AC178" s="2191"/>
      <c r="AD178" s="2191"/>
      <c r="AE178" s="2191"/>
      <c r="AF178" s="2191"/>
      <c r="AG178" s="2024"/>
    </row>
    <row r="179" spans="2:33">
      <c r="B179" s="2024"/>
      <c r="C179" s="2024"/>
      <c r="D179" s="2024"/>
      <c r="E179" s="2024"/>
      <c r="F179" s="2024"/>
      <c r="G179" s="2024"/>
      <c r="H179" s="2024"/>
      <c r="I179" s="2024"/>
      <c r="J179" s="2422"/>
      <c r="K179" s="2024"/>
      <c r="L179" s="2024"/>
      <c r="M179" s="2024"/>
      <c r="N179" s="2024"/>
      <c r="O179" s="2024"/>
      <c r="P179" s="2191"/>
      <c r="Q179" s="2024"/>
      <c r="R179" s="2024"/>
      <c r="S179" s="2024"/>
      <c r="T179" s="2024"/>
      <c r="U179" s="2024"/>
      <c r="V179" s="2024"/>
      <c r="W179" s="2024"/>
      <c r="X179" s="2024"/>
      <c r="Y179" s="2024"/>
      <c r="Z179" s="2024"/>
      <c r="AA179" s="2024"/>
      <c r="AB179" s="2024"/>
      <c r="AC179" s="2191"/>
      <c r="AD179" s="2191"/>
      <c r="AE179" s="2191"/>
      <c r="AF179" s="2191"/>
      <c r="AG179" s="2024"/>
    </row>
    <row r="180" spans="2:33">
      <c r="B180" s="2024"/>
      <c r="C180" s="2024"/>
      <c r="D180" s="2024"/>
      <c r="E180" s="2024"/>
      <c r="F180" s="2024"/>
      <c r="G180" s="2024"/>
      <c r="H180" s="2024"/>
      <c r="I180" s="2024"/>
      <c r="J180" s="2422"/>
      <c r="K180" s="2024"/>
      <c r="L180" s="2024"/>
      <c r="M180" s="2024"/>
      <c r="N180" s="2024"/>
      <c r="O180" s="2024"/>
      <c r="P180" s="2191"/>
      <c r="Q180" s="2024"/>
      <c r="R180" s="2024"/>
      <c r="S180" s="2024"/>
      <c r="T180" s="2024"/>
      <c r="U180" s="2024"/>
      <c r="V180" s="2024"/>
      <c r="W180" s="2024"/>
      <c r="X180" s="2024"/>
      <c r="Y180" s="2024"/>
      <c r="Z180" s="2024"/>
      <c r="AA180" s="2024"/>
      <c r="AB180" s="2024"/>
      <c r="AC180" s="2191"/>
      <c r="AD180" s="2191"/>
      <c r="AE180" s="2191"/>
      <c r="AF180" s="2191"/>
      <c r="AG180" s="2024"/>
    </row>
    <row r="181" spans="2:33">
      <c r="B181" s="2024"/>
      <c r="C181" s="2024"/>
      <c r="D181" s="2024"/>
      <c r="E181" s="2024"/>
      <c r="F181" s="2024"/>
      <c r="G181" s="2024"/>
      <c r="H181" s="2024"/>
      <c r="I181" s="2024"/>
      <c r="J181" s="2422"/>
      <c r="K181" s="2024"/>
      <c r="L181" s="2024"/>
      <c r="M181" s="2024"/>
      <c r="N181" s="2024"/>
      <c r="O181" s="2024"/>
      <c r="P181" s="2191"/>
      <c r="Q181" s="2024"/>
      <c r="R181" s="2024"/>
      <c r="S181" s="2024"/>
      <c r="T181" s="2024"/>
      <c r="U181" s="2024"/>
      <c r="V181" s="2024"/>
      <c r="W181" s="2024"/>
      <c r="X181" s="2024"/>
      <c r="Y181" s="2024"/>
      <c r="Z181" s="2024"/>
      <c r="AA181" s="2024"/>
      <c r="AB181" s="2024"/>
      <c r="AC181" s="2191"/>
      <c r="AD181" s="2191"/>
      <c r="AE181" s="2191"/>
      <c r="AF181" s="2191"/>
      <c r="AG181" s="2024"/>
    </row>
    <row r="182" spans="2:33">
      <c r="B182" s="2024"/>
      <c r="C182" s="2024"/>
      <c r="D182" s="2024"/>
      <c r="E182" s="2024"/>
      <c r="F182" s="2024"/>
      <c r="G182" s="2024"/>
      <c r="H182" s="2024"/>
      <c r="I182" s="2024"/>
      <c r="J182" s="2422"/>
      <c r="K182" s="2024"/>
      <c r="L182" s="2024"/>
      <c r="M182" s="2024"/>
      <c r="N182" s="2024"/>
      <c r="O182" s="2024"/>
      <c r="P182" s="2191"/>
      <c r="Q182" s="2024"/>
      <c r="R182" s="2024"/>
      <c r="S182" s="2024"/>
      <c r="T182" s="2024"/>
      <c r="U182" s="2024"/>
      <c r="V182" s="2024"/>
      <c r="W182" s="2024"/>
      <c r="X182" s="2024"/>
      <c r="Y182" s="2024"/>
      <c r="Z182" s="2024"/>
      <c r="AA182" s="2024"/>
      <c r="AB182" s="2024"/>
      <c r="AC182" s="2191"/>
      <c r="AD182" s="2191"/>
      <c r="AE182" s="2191"/>
      <c r="AF182" s="2191"/>
      <c r="AG182" s="2024"/>
    </row>
    <row r="183" spans="2:33">
      <c r="B183" s="2024"/>
      <c r="C183" s="2024"/>
      <c r="D183" s="2024"/>
      <c r="E183" s="2024"/>
      <c r="F183" s="2024"/>
      <c r="G183" s="2024"/>
      <c r="H183" s="2024"/>
      <c r="I183" s="2024"/>
      <c r="J183" s="2422"/>
      <c r="K183" s="2024"/>
      <c r="L183" s="2024"/>
      <c r="M183" s="2024"/>
      <c r="N183" s="2024"/>
      <c r="O183" s="2024"/>
      <c r="P183" s="2191"/>
      <c r="Q183" s="2024"/>
      <c r="R183" s="2024"/>
      <c r="S183" s="2024"/>
      <c r="T183" s="2024"/>
      <c r="U183" s="2024"/>
      <c r="V183" s="2024"/>
      <c r="W183" s="2024"/>
      <c r="X183" s="2024"/>
      <c r="Y183" s="2024"/>
      <c r="Z183" s="2024"/>
      <c r="AA183" s="2024"/>
      <c r="AB183" s="2024"/>
      <c r="AC183" s="2191"/>
      <c r="AD183" s="2191"/>
      <c r="AE183" s="2191"/>
      <c r="AF183" s="2191"/>
      <c r="AG183" s="2024"/>
    </row>
    <row r="184" spans="2:33">
      <c r="B184" s="2024"/>
      <c r="C184" s="2024"/>
      <c r="D184" s="2024"/>
      <c r="E184" s="2024"/>
      <c r="F184" s="2024"/>
      <c r="G184" s="2024"/>
      <c r="H184" s="2024"/>
      <c r="I184" s="2024"/>
      <c r="J184" s="2422"/>
      <c r="K184" s="2024"/>
      <c r="L184" s="2024"/>
      <c r="M184" s="2024"/>
      <c r="N184" s="2024"/>
      <c r="O184" s="2024"/>
      <c r="P184" s="2191"/>
      <c r="Q184" s="2024"/>
      <c r="R184" s="2024"/>
      <c r="S184" s="2024"/>
      <c r="T184" s="2024"/>
      <c r="U184" s="2024"/>
      <c r="V184" s="2024"/>
      <c r="W184" s="2024"/>
      <c r="X184" s="2024"/>
      <c r="Y184" s="2024"/>
      <c r="Z184" s="2024"/>
      <c r="AA184" s="2024"/>
      <c r="AB184" s="2024"/>
      <c r="AC184" s="2191"/>
      <c r="AD184" s="2191"/>
      <c r="AE184" s="2191"/>
      <c r="AF184" s="2191"/>
      <c r="AG184" s="2024"/>
    </row>
    <row r="185" spans="2:33">
      <c r="B185" s="2024"/>
      <c r="C185" s="2024"/>
      <c r="D185" s="2024"/>
      <c r="E185" s="2024"/>
      <c r="F185" s="2024"/>
      <c r="G185" s="2024"/>
      <c r="H185" s="2024"/>
      <c r="I185" s="2024"/>
      <c r="J185" s="2422"/>
      <c r="K185" s="2024"/>
      <c r="L185" s="2024"/>
      <c r="M185" s="2024"/>
      <c r="N185" s="2024"/>
      <c r="O185" s="2024"/>
      <c r="P185" s="2191"/>
      <c r="Q185" s="2024"/>
      <c r="R185" s="2024"/>
      <c r="S185" s="2024"/>
      <c r="T185" s="2024"/>
      <c r="U185" s="2024"/>
      <c r="V185" s="2024"/>
      <c r="W185" s="2024"/>
      <c r="X185" s="2024"/>
      <c r="Y185" s="2024"/>
      <c r="Z185" s="2024"/>
      <c r="AA185" s="2024"/>
      <c r="AB185" s="2024"/>
      <c r="AC185" s="2191"/>
      <c r="AD185" s="2191"/>
      <c r="AE185" s="2191"/>
      <c r="AF185" s="2191"/>
      <c r="AG185" s="2024"/>
    </row>
    <row r="186" spans="2:33">
      <c r="B186" s="2024"/>
      <c r="C186" s="2024"/>
      <c r="D186" s="2024"/>
      <c r="E186" s="2024"/>
      <c r="F186" s="2024"/>
      <c r="G186" s="2024"/>
      <c r="H186" s="2024"/>
      <c r="I186" s="2024"/>
      <c r="J186" s="2422"/>
      <c r="K186" s="2024"/>
      <c r="L186" s="2024"/>
      <c r="M186" s="2024"/>
      <c r="N186" s="2024"/>
      <c r="O186" s="2024"/>
      <c r="P186" s="2191"/>
      <c r="Q186" s="2024"/>
      <c r="R186" s="2024"/>
      <c r="S186" s="2024"/>
      <c r="T186" s="2024"/>
      <c r="U186" s="2024"/>
      <c r="V186" s="2024"/>
      <c r="W186" s="2024"/>
      <c r="X186" s="2024"/>
      <c r="Y186" s="2024"/>
      <c r="Z186" s="2024"/>
      <c r="AA186" s="2024"/>
      <c r="AB186" s="2024"/>
      <c r="AC186" s="2191"/>
      <c r="AD186" s="2191"/>
      <c r="AE186" s="2191"/>
      <c r="AF186" s="2191"/>
      <c r="AG186" s="2024"/>
    </row>
    <row r="187" spans="2:33">
      <c r="B187" s="2024"/>
      <c r="C187" s="2024"/>
      <c r="D187" s="2024"/>
      <c r="E187" s="2024"/>
      <c r="F187" s="2024"/>
      <c r="G187" s="2024"/>
      <c r="H187" s="2024"/>
      <c r="I187" s="2024"/>
      <c r="J187" s="2422"/>
      <c r="K187" s="2024"/>
      <c r="L187" s="2024"/>
      <c r="M187" s="2024"/>
      <c r="N187" s="2024"/>
      <c r="O187" s="2024"/>
      <c r="P187" s="2191"/>
      <c r="Q187" s="2024"/>
      <c r="R187" s="2024"/>
      <c r="S187" s="2024"/>
      <c r="T187" s="2024"/>
      <c r="U187" s="2024"/>
      <c r="V187" s="2024"/>
      <c r="W187" s="2024"/>
      <c r="X187" s="2024"/>
      <c r="Y187" s="2024"/>
      <c r="Z187" s="2024"/>
      <c r="AA187" s="2024"/>
      <c r="AB187" s="2024"/>
      <c r="AC187" s="2191"/>
      <c r="AD187" s="2191"/>
      <c r="AE187" s="2191"/>
      <c r="AF187" s="2191"/>
      <c r="AG187" s="2024"/>
    </row>
    <row r="188" spans="2:33">
      <c r="B188" s="2024"/>
      <c r="C188" s="2024"/>
      <c r="D188" s="2024"/>
      <c r="E188" s="2024"/>
      <c r="F188" s="2024"/>
      <c r="G188" s="2024"/>
      <c r="H188" s="2024"/>
      <c r="I188" s="2024"/>
      <c r="J188" s="2422"/>
      <c r="K188" s="2024"/>
      <c r="L188" s="2024"/>
      <c r="M188" s="2024"/>
      <c r="N188" s="2024"/>
      <c r="O188" s="2024"/>
      <c r="P188" s="2191"/>
      <c r="Q188" s="2024"/>
      <c r="R188" s="2024"/>
      <c r="S188" s="2024"/>
      <c r="T188" s="2024"/>
      <c r="U188" s="2024"/>
      <c r="V188" s="2024"/>
      <c r="W188" s="2024"/>
      <c r="X188" s="2024"/>
      <c r="Y188" s="2024"/>
      <c r="Z188" s="2024"/>
      <c r="AA188" s="2024"/>
      <c r="AB188" s="2024"/>
      <c r="AC188" s="2191"/>
      <c r="AD188" s="2191"/>
      <c r="AE188" s="2191"/>
      <c r="AF188" s="2191"/>
      <c r="AG188" s="2024"/>
    </row>
    <row r="189" spans="2:33">
      <c r="B189" s="2024"/>
      <c r="C189" s="2024"/>
      <c r="D189" s="2024"/>
      <c r="E189" s="2024"/>
      <c r="F189" s="2024"/>
      <c r="G189" s="2024"/>
      <c r="H189" s="2024"/>
      <c r="I189" s="2024"/>
      <c r="J189" s="2422"/>
      <c r="K189" s="2024"/>
      <c r="L189" s="2024"/>
      <c r="M189" s="2024"/>
      <c r="N189" s="2024"/>
      <c r="O189" s="2024"/>
      <c r="P189" s="2191"/>
      <c r="Q189" s="2024"/>
      <c r="R189" s="2024"/>
      <c r="S189" s="2024"/>
      <c r="T189" s="2024"/>
      <c r="U189" s="2024"/>
      <c r="V189" s="2024"/>
      <c r="W189" s="2024"/>
      <c r="X189" s="2024"/>
      <c r="Y189" s="2024"/>
      <c r="Z189" s="2024"/>
      <c r="AA189" s="2024"/>
      <c r="AB189" s="2024"/>
      <c r="AC189" s="2191"/>
      <c r="AD189" s="2191"/>
      <c r="AE189" s="2191"/>
      <c r="AF189" s="2191"/>
      <c r="AG189" s="2024"/>
    </row>
    <row r="190" spans="2:33">
      <c r="B190" s="2024"/>
      <c r="C190" s="2024"/>
      <c r="D190" s="2024"/>
      <c r="E190" s="2024"/>
      <c r="F190" s="2024"/>
      <c r="G190" s="2024"/>
      <c r="H190" s="2024"/>
      <c r="I190" s="2024"/>
      <c r="J190" s="2422"/>
      <c r="K190" s="2024"/>
      <c r="L190" s="2024"/>
      <c r="M190" s="2024"/>
      <c r="N190" s="2024"/>
      <c r="O190" s="2024"/>
      <c r="P190" s="2191"/>
      <c r="Q190" s="2024"/>
      <c r="R190" s="2024"/>
      <c r="S190" s="2024"/>
      <c r="T190" s="2024"/>
      <c r="U190" s="2024"/>
      <c r="V190" s="2024"/>
      <c r="W190" s="2024"/>
      <c r="X190" s="2024"/>
      <c r="Y190" s="2024"/>
      <c r="Z190" s="2024"/>
      <c r="AA190" s="2024"/>
      <c r="AB190" s="2024"/>
      <c r="AC190" s="2191"/>
      <c r="AD190" s="2191"/>
      <c r="AE190" s="2191"/>
      <c r="AF190" s="2191"/>
      <c r="AG190" s="2024"/>
    </row>
    <row r="191" spans="2:33">
      <c r="B191" s="2024"/>
      <c r="C191" s="2024"/>
      <c r="D191" s="2024"/>
      <c r="E191" s="2024"/>
      <c r="F191" s="2024"/>
      <c r="G191" s="2024"/>
      <c r="H191" s="2024"/>
      <c r="I191" s="2024"/>
      <c r="J191" s="2422"/>
      <c r="K191" s="2024"/>
      <c r="L191" s="2024"/>
      <c r="M191" s="2024"/>
      <c r="N191" s="2024"/>
      <c r="O191" s="2024"/>
      <c r="P191" s="2191"/>
      <c r="Q191" s="2024"/>
      <c r="R191" s="2024"/>
      <c r="S191" s="2024"/>
      <c r="T191" s="2024"/>
      <c r="U191" s="2024"/>
      <c r="V191" s="2024"/>
      <c r="W191" s="2024"/>
      <c r="X191" s="2024"/>
      <c r="Y191" s="2024"/>
      <c r="Z191" s="2024"/>
      <c r="AA191" s="2024"/>
      <c r="AB191" s="2024"/>
      <c r="AC191" s="2191"/>
      <c r="AD191" s="2191"/>
      <c r="AE191" s="2191"/>
      <c r="AF191" s="2191"/>
      <c r="AG191" s="2024"/>
    </row>
    <row r="192" spans="2:33">
      <c r="B192" s="2024"/>
      <c r="C192" s="2024"/>
      <c r="D192" s="2024"/>
      <c r="E192" s="2024"/>
      <c r="F192" s="2024"/>
      <c r="G192" s="2024"/>
      <c r="H192" s="2024"/>
      <c r="I192" s="2024"/>
      <c r="J192" s="2422"/>
      <c r="K192" s="2024"/>
      <c r="L192" s="2024"/>
      <c r="M192" s="2024"/>
      <c r="N192" s="2024"/>
      <c r="O192" s="2024"/>
      <c r="P192" s="2191"/>
      <c r="Q192" s="2024"/>
      <c r="R192" s="2024"/>
      <c r="S192" s="2024"/>
      <c r="T192" s="2024"/>
      <c r="U192" s="2024"/>
      <c r="V192" s="2024"/>
      <c r="W192" s="2024"/>
      <c r="X192" s="2024"/>
      <c r="Y192" s="2024"/>
      <c r="Z192" s="2024"/>
      <c r="AA192" s="2024"/>
      <c r="AB192" s="2024"/>
      <c r="AC192" s="2191"/>
      <c r="AD192" s="2191"/>
      <c r="AE192" s="2191"/>
      <c r="AF192" s="2191"/>
      <c r="AG192" s="2024"/>
    </row>
    <row r="193" spans="2:33">
      <c r="B193" s="2024"/>
      <c r="C193" s="2024"/>
      <c r="D193" s="2024"/>
      <c r="E193" s="2024"/>
      <c r="F193" s="2024"/>
      <c r="G193" s="2024"/>
      <c r="H193" s="2024"/>
      <c r="I193" s="2024"/>
      <c r="J193" s="2422"/>
      <c r="K193" s="2024"/>
      <c r="L193" s="2024"/>
      <c r="M193" s="2024"/>
      <c r="N193" s="2024"/>
      <c r="O193" s="2024"/>
      <c r="P193" s="2191"/>
      <c r="Q193" s="2024"/>
      <c r="R193" s="2024"/>
      <c r="S193" s="2024"/>
      <c r="T193" s="2024"/>
      <c r="U193" s="2024"/>
      <c r="V193" s="2024"/>
      <c r="W193" s="2024"/>
      <c r="X193" s="2024"/>
      <c r="Y193" s="2024"/>
      <c r="Z193" s="2024"/>
      <c r="AA193" s="2024"/>
      <c r="AB193" s="2024"/>
      <c r="AC193" s="2191"/>
      <c r="AD193" s="2191"/>
      <c r="AE193" s="2191"/>
      <c r="AF193" s="2191"/>
      <c r="AG193" s="2024"/>
    </row>
    <row r="194" spans="2:33">
      <c r="B194" s="2024"/>
      <c r="C194" s="2024"/>
      <c r="D194" s="2024"/>
      <c r="E194" s="2024"/>
      <c r="F194" s="2024"/>
      <c r="G194" s="2024"/>
      <c r="H194" s="2024"/>
      <c r="I194" s="2024"/>
      <c r="J194" s="2422"/>
      <c r="K194" s="2024"/>
      <c r="L194" s="2024"/>
      <c r="M194" s="2024"/>
      <c r="N194" s="2024"/>
      <c r="O194" s="2024"/>
      <c r="P194" s="2191"/>
      <c r="Q194" s="2024"/>
      <c r="R194" s="2024"/>
      <c r="S194" s="2024"/>
      <c r="T194" s="2024"/>
      <c r="U194" s="2024"/>
      <c r="V194" s="2024"/>
      <c r="W194" s="2024"/>
      <c r="X194" s="2024"/>
      <c r="Y194" s="2024"/>
      <c r="Z194" s="2024"/>
      <c r="AA194" s="2024"/>
      <c r="AB194" s="2024"/>
      <c r="AC194" s="2191"/>
      <c r="AD194" s="2191"/>
      <c r="AE194" s="2191"/>
      <c r="AF194" s="2191"/>
      <c r="AG194" s="2024"/>
    </row>
    <row r="195" spans="2:33">
      <c r="B195" s="2024"/>
      <c r="C195" s="2024"/>
      <c r="D195" s="2024"/>
      <c r="E195" s="2024"/>
      <c r="F195" s="2024"/>
      <c r="G195" s="2024"/>
      <c r="H195" s="2024"/>
      <c r="I195" s="2024"/>
      <c r="J195" s="2422"/>
      <c r="K195" s="2024"/>
      <c r="L195" s="2024"/>
      <c r="M195" s="2024"/>
      <c r="N195" s="2024"/>
      <c r="O195" s="2024"/>
      <c r="P195" s="2191"/>
      <c r="Q195" s="2024"/>
      <c r="R195" s="2024"/>
      <c r="S195" s="2024"/>
      <c r="T195" s="2024"/>
      <c r="U195" s="2024"/>
      <c r="V195" s="2024"/>
      <c r="W195" s="2024"/>
      <c r="X195" s="2024"/>
      <c r="Y195" s="2024"/>
      <c r="Z195" s="2024"/>
      <c r="AA195" s="2024"/>
      <c r="AB195" s="2024"/>
      <c r="AC195" s="2191"/>
      <c r="AD195" s="2191"/>
      <c r="AE195" s="2191"/>
      <c r="AF195" s="2191"/>
      <c r="AG195" s="2024"/>
    </row>
    <row r="196" spans="2:33">
      <c r="B196" s="2024"/>
      <c r="C196" s="2024"/>
      <c r="D196" s="2024"/>
      <c r="E196" s="2024"/>
      <c r="F196" s="2024"/>
      <c r="G196" s="2024"/>
      <c r="H196" s="2024"/>
      <c r="I196" s="2024"/>
      <c r="J196" s="2422"/>
      <c r="K196" s="2024"/>
      <c r="L196" s="2024"/>
      <c r="M196" s="2024"/>
      <c r="N196" s="2024"/>
      <c r="O196" s="2024"/>
      <c r="P196" s="2191"/>
      <c r="Q196" s="2024"/>
      <c r="R196" s="2024"/>
      <c r="S196" s="2024"/>
      <c r="T196" s="2024"/>
      <c r="U196" s="2024"/>
      <c r="V196" s="2024"/>
      <c r="W196" s="2024"/>
      <c r="X196" s="2024"/>
      <c r="Y196" s="2024"/>
      <c r="Z196" s="2024"/>
      <c r="AA196" s="2024"/>
      <c r="AB196" s="2024"/>
      <c r="AC196" s="2191"/>
      <c r="AD196" s="2191"/>
      <c r="AE196" s="2191"/>
      <c r="AF196" s="2191"/>
      <c r="AG196" s="2024"/>
    </row>
    <row r="197" spans="2:33">
      <c r="B197" s="2024"/>
      <c r="C197" s="2024"/>
      <c r="D197" s="2024"/>
      <c r="E197" s="2024"/>
      <c r="F197" s="2024"/>
      <c r="G197" s="2024"/>
      <c r="H197" s="2024"/>
      <c r="I197" s="2024"/>
      <c r="J197" s="2422"/>
      <c r="K197" s="2024"/>
      <c r="L197" s="2024"/>
      <c r="M197" s="2024"/>
      <c r="N197" s="2024"/>
      <c r="O197" s="2024"/>
      <c r="P197" s="2191"/>
      <c r="Q197" s="2024"/>
      <c r="R197" s="2024"/>
      <c r="S197" s="2024"/>
      <c r="T197" s="2024"/>
      <c r="U197" s="2024"/>
      <c r="V197" s="2024"/>
      <c r="W197" s="2024"/>
      <c r="X197" s="2024"/>
      <c r="Y197" s="2024"/>
      <c r="Z197" s="2024"/>
      <c r="AA197" s="2024"/>
      <c r="AB197" s="2024"/>
      <c r="AC197" s="2191"/>
      <c r="AD197" s="2191"/>
      <c r="AE197" s="2191"/>
      <c r="AF197" s="2191"/>
      <c r="AG197" s="2024"/>
    </row>
    <row r="198" spans="2:33">
      <c r="B198" s="2024"/>
      <c r="C198" s="2024"/>
      <c r="D198" s="2024"/>
      <c r="E198" s="2024"/>
      <c r="F198" s="2024"/>
      <c r="G198" s="2024"/>
      <c r="H198" s="2024"/>
      <c r="I198" s="2024"/>
      <c r="J198" s="2422"/>
      <c r="K198" s="2024"/>
      <c r="L198" s="2024"/>
      <c r="M198" s="2024"/>
      <c r="N198" s="2024"/>
      <c r="O198" s="2024"/>
      <c r="P198" s="2191"/>
      <c r="Q198" s="2024"/>
      <c r="R198" s="2024"/>
      <c r="S198" s="2024"/>
      <c r="T198" s="2024"/>
      <c r="U198" s="2024"/>
      <c r="V198" s="2024"/>
      <c r="W198" s="2024"/>
      <c r="X198" s="2024"/>
      <c r="Y198" s="2024"/>
      <c r="Z198" s="2024"/>
      <c r="AA198" s="2024"/>
      <c r="AB198" s="2024"/>
      <c r="AC198" s="2191"/>
      <c r="AD198" s="2191"/>
      <c r="AE198" s="2191"/>
      <c r="AF198" s="2191"/>
      <c r="AG198" s="2024"/>
    </row>
    <row r="199" spans="2:33">
      <c r="B199" s="2024"/>
      <c r="C199" s="2024"/>
      <c r="D199" s="2024"/>
      <c r="E199" s="2024"/>
      <c r="F199" s="2024"/>
      <c r="G199" s="2024"/>
      <c r="H199" s="2024"/>
      <c r="I199" s="2024"/>
      <c r="J199" s="2422"/>
      <c r="K199" s="2024"/>
      <c r="L199" s="2024"/>
      <c r="M199" s="2024"/>
      <c r="N199" s="2024"/>
      <c r="O199" s="2024"/>
      <c r="P199" s="2191"/>
      <c r="Q199" s="2024"/>
      <c r="R199" s="2024"/>
      <c r="S199" s="2024"/>
      <c r="T199" s="2024"/>
      <c r="U199" s="2024"/>
      <c r="V199" s="2024"/>
      <c r="W199" s="2024"/>
      <c r="X199" s="2024"/>
      <c r="Y199" s="2024"/>
      <c r="Z199" s="2024"/>
      <c r="AA199" s="2024"/>
      <c r="AB199" s="2024"/>
      <c r="AC199" s="2191"/>
      <c r="AD199" s="2191"/>
      <c r="AE199" s="2191"/>
      <c r="AF199" s="2191"/>
      <c r="AG199" s="2024"/>
    </row>
    <row r="200" spans="2:33">
      <c r="B200" s="2024"/>
      <c r="C200" s="2024"/>
      <c r="D200" s="2024"/>
      <c r="E200" s="2024"/>
      <c r="F200" s="2024"/>
      <c r="G200" s="2024"/>
      <c r="H200" s="2024"/>
      <c r="I200" s="2024"/>
      <c r="J200" s="2422"/>
      <c r="K200" s="2024"/>
      <c r="L200" s="2024"/>
      <c r="M200" s="2024"/>
      <c r="N200" s="2024"/>
      <c r="O200" s="2024"/>
      <c r="P200" s="2191"/>
      <c r="Q200" s="2024"/>
      <c r="R200" s="2024"/>
      <c r="S200" s="2024"/>
      <c r="T200" s="2024"/>
      <c r="U200" s="2024"/>
      <c r="V200" s="2024"/>
      <c r="W200" s="2024"/>
      <c r="X200" s="2024"/>
      <c r="Y200" s="2024"/>
      <c r="Z200" s="2024"/>
      <c r="AA200" s="2024"/>
      <c r="AB200" s="2024"/>
      <c r="AC200" s="2191"/>
      <c r="AD200" s="2191"/>
      <c r="AE200" s="2191"/>
      <c r="AF200" s="2191"/>
      <c r="AG200" s="2024"/>
    </row>
    <row r="201" spans="2:33">
      <c r="B201" s="2024"/>
      <c r="C201" s="2024"/>
      <c r="D201" s="2024"/>
      <c r="E201" s="2024"/>
      <c r="F201" s="2024"/>
      <c r="G201" s="2024"/>
      <c r="H201" s="2024"/>
      <c r="I201" s="2024"/>
      <c r="J201" s="2422"/>
      <c r="K201" s="2024"/>
      <c r="L201" s="2024"/>
      <c r="M201" s="2024"/>
      <c r="N201" s="2024"/>
      <c r="O201" s="2024"/>
      <c r="P201" s="2191"/>
      <c r="Q201" s="2024"/>
      <c r="R201" s="2024"/>
      <c r="S201" s="2024"/>
      <c r="T201" s="2024"/>
      <c r="U201" s="2024"/>
      <c r="V201" s="2024"/>
      <c r="W201" s="2024"/>
      <c r="X201" s="2024"/>
      <c r="Y201" s="2024"/>
      <c r="Z201" s="2024"/>
      <c r="AA201" s="2024"/>
      <c r="AB201" s="2024"/>
      <c r="AC201" s="2191"/>
      <c r="AD201" s="2191"/>
      <c r="AE201" s="2191"/>
      <c r="AF201" s="2191"/>
      <c r="AG201" s="2024"/>
    </row>
    <row r="202" spans="2:33">
      <c r="B202" s="2024"/>
      <c r="C202" s="2024"/>
      <c r="D202" s="2024"/>
      <c r="E202" s="2024"/>
      <c r="F202" s="2024"/>
      <c r="G202" s="2024"/>
      <c r="H202" s="2024"/>
      <c r="I202" s="2024"/>
      <c r="J202" s="2422"/>
      <c r="K202" s="2024"/>
      <c r="L202" s="2024"/>
      <c r="M202" s="2024"/>
      <c r="N202" s="2024"/>
      <c r="O202" s="2024"/>
      <c r="P202" s="2191"/>
      <c r="Q202" s="2024"/>
      <c r="R202" s="2024"/>
      <c r="S202" s="2024"/>
      <c r="T202" s="2024"/>
      <c r="U202" s="2024"/>
      <c r="V202" s="2024"/>
      <c r="W202" s="2024"/>
      <c r="X202" s="2024"/>
      <c r="Y202" s="2024"/>
      <c r="Z202" s="2024"/>
      <c r="AA202" s="2024"/>
      <c r="AB202" s="2024"/>
      <c r="AC202" s="2191"/>
      <c r="AD202" s="2191"/>
      <c r="AE202" s="2191"/>
      <c r="AF202" s="2191"/>
      <c r="AG202" s="2024"/>
    </row>
    <row r="203" spans="2:33">
      <c r="B203" s="2024"/>
      <c r="C203" s="2024"/>
      <c r="D203" s="2024"/>
      <c r="E203" s="2024"/>
      <c r="F203" s="2024"/>
      <c r="G203" s="2024"/>
      <c r="H203" s="2024"/>
      <c r="I203" s="2024"/>
      <c r="J203" s="2422"/>
      <c r="K203" s="2024"/>
      <c r="L203" s="2024"/>
      <c r="M203" s="2024"/>
      <c r="N203" s="2024"/>
      <c r="O203" s="2024"/>
      <c r="P203" s="2191"/>
      <c r="Q203" s="2024"/>
      <c r="R203" s="2024"/>
      <c r="S203" s="2024"/>
      <c r="T203" s="2024"/>
      <c r="U203" s="2024"/>
      <c r="V203" s="2024"/>
      <c r="W203" s="2024"/>
      <c r="X203" s="2024"/>
      <c r="Y203" s="2024"/>
      <c r="Z203" s="2024"/>
      <c r="AA203" s="2024"/>
      <c r="AB203" s="2024"/>
      <c r="AC203" s="2191"/>
      <c r="AD203" s="2191"/>
      <c r="AE203" s="2191"/>
      <c r="AF203" s="2191"/>
      <c r="AG203" s="2024"/>
    </row>
    <row r="204" spans="2:33">
      <c r="B204" s="2024"/>
      <c r="C204" s="2024"/>
      <c r="D204" s="2024"/>
      <c r="E204" s="2024"/>
      <c r="F204" s="2024"/>
      <c r="G204" s="2024"/>
      <c r="H204" s="2024"/>
      <c r="I204" s="2024"/>
      <c r="J204" s="2422"/>
      <c r="K204" s="2024"/>
      <c r="L204" s="2024"/>
      <c r="M204" s="2024"/>
      <c r="N204" s="2024"/>
      <c r="O204" s="2024"/>
      <c r="P204" s="2191"/>
      <c r="Q204" s="2024"/>
      <c r="R204" s="2024"/>
      <c r="S204" s="2024"/>
      <c r="T204" s="2024"/>
      <c r="U204" s="2024"/>
      <c r="V204" s="2024"/>
      <c r="W204" s="2024"/>
      <c r="X204" s="2024"/>
      <c r="Y204" s="2024"/>
      <c r="Z204" s="2024"/>
      <c r="AA204" s="2024"/>
      <c r="AB204" s="2024"/>
      <c r="AC204" s="2191"/>
      <c r="AD204" s="2191"/>
      <c r="AE204" s="2191"/>
      <c r="AF204" s="2191"/>
      <c r="AG204" s="2024"/>
    </row>
    <row r="205" spans="2:33">
      <c r="B205" s="2024"/>
      <c r="C205" s="2024"/>
      <c r="D205" s="2024"/>
      <c r="E205" s="2024"/>
      <c r="F205" s="2024"/>
      <c r="G205" s="2024"/>
      <c r="H205" s="2024"/>
      <c r="I205" s="2024"/>
      <c r="J205" s="2422"/>
      <c r="K205" s="2024"/>
      <c r="L205" s="2024"/>
      <c r="M205" s="2024"/>
      <c r="N205" s="2024"/>
      <c r="O205" s="2024"/>
      <c r="P205" s="2191"/>
      <c r="Q205" s="2024"/>
      <c r="R205" s="2024"/>
      <c r="S205" s="2024"/>
      <c r="T205" s="2024"/>
      <c r="U205" s="2024"/>
      <c r="V205" s="2024"/>
      <c r="W205" s="2024"/>
      <c r="X205" s="2024"/>
      <c r="Y205" s="2024"/>
      <c r="Z205" s="2024"/>
      <c r="AA205" s="2024"/>
      <c r="AB205" s="2024"/>
      <c r="AC205" s="2191"/>
      <c r="AD205" s="2191"/>
      <c r="AE205" s="2191"/>
      <c r="AF205" s="2191"/>
      <c r="AG205" s="2024"/>
    </row>
    <row r="206" spans="2:33">
      <c r="B206" s="2024"/>
      <c r="C206" s="2024"/>
      <c r="D206" s="2024"/>
      <c r="E206" s="2024"/>
      <c r="F206" s="2024"/>
      <c r="G206" s="2024"/>
      <c r="H206" s="2024"/>
      <c r="I206" s="2024"/>
      <c r="J206" s="2422"/>
      <c r="K206" s="2024"/>
      <c r="L206" s="2024"/>
      <c r="M206" s="2024"/>
      <c r="N206" s="2024"/>
      <c r="O206" s="2024"/>
      <c r="P206" s="2191"/>
      <c r="Q206" s="2024"/>
      <c r="R206" s="2024"/>
      <c r="S206" s="2024"/>
      <c r="T206" s="2024"/>
      <c r="U206" s="2024"/>
      <c r="V206" s="2024"/>
      <c r="W206" s="2024"/>
      <c r="X206" s="2024"/>
      <c r="Y206" s="2024"/>
      <c r="Z206" s="2024"/>
      <c r="AA206" s="2024"/>
      <c r="AB206" s="2024"/>
      <c r="AC206" s="2191"/>
      <c r="AD206" s="2191"/>
      <c r="AE206" s="2191"/>
      <c r="AF206" s="2191"/>
      <c r="AG206" s="2024"/>
    </row>
    <row r="207" spans="2:33">
      <c r="B207" s="2024"/>
      <c r="C207" s="2024"/>
      <c r="D207" s="2024"/>
      <c r="E207" s="2024"/>
      <c r="F207" s="2024"/>
      <c r="G207" s="2024"/>
      <c r="H207" s="2024"/>
      <c r="I207" s="2024"/>
      <c r="J207" s="2422"/>
      <c r="K207" s="2024"/>
      <c r="L207" s="2024"/>
      <c r="M207" s="2024"/>
      <c r="N207" s="2024"/>
      <c r="O207" s="2024"/>
      <c r="P207" s="2191"/>
      <c r="Q207" s="2024"/>
      <c r="R207" s="2024"/>
      <c r="S207" s="2024"/>
      <c r="T207" s="2024"/>
      <c r="U207" s="2024"/>
      <c r="V207" s="2024"/>
      <c r="W207" s="2024"/>
      <c r="X207" s="2024"/>
      <c r="Y207" s="2024"/>
      <c r="Z207" s="2024"/>
      <c r="AA207" s="2024"/>
      <c r="AB207" s="2024"/>
      <c r="AC207" s="2191"/>
      <c r="AD207" s="2191"/>
      <c r="AE207" s="2191"/>
      <c r="AF207" s="2191"/>
      <c r="AG207" s="2024"/>
    </row>
    <row r="208" spans="2:33">
      <c r="B208" s="2024"/>
      <c r="C208" s="2024"/>
      <c r="D208" s="2024"/>
      <c r="E208" s="2024"/>
      <c r="F208" s="2024"/>
      <c r="G208" s="2024"/>
      <c r="H208" s="2024"/>
      <c r="I208" s="2024"/>
      <c r="J208" s="2422"/>
      <c r="K208" s="2024"/>
      <c r="L208" s="2024"/>
      <c r="M208" s="2024"/>
      <c r="N208" s="2024"/>
      <c r="O208" s="2024"/>
      <c r="P208" s="2191"/>
      <c r="Q208" s="2024"/>
      <c r="R208" s="2024"/>
      <c r="S208" s="2024"/>
      <c r="T208" s="2024"/>
      <c r="U208" s="2024"/>
      <c r="V208" s="2024"/>
      <c r="W208" s="2024"/>
      <c r="X208" s="2024"/>
      <c r="Y208" s="2024"/>
      <c r="Z208" s="2024"/>
      <c r="AA208" s="2024"/>
      <c r="AB208" s="2024"/>
      <c r="AC208" s="2191"/>
      <c r="AD208" s="2191"/>
      <c r="AE208" s="2191"/>
      <c r="AF208" s="2191"/>
      <c r="AG208" s="2024"/>
    </row>
    <row r="209" spans="2:33">
      <c r="B209" s="2024"/>
      <c r="C209" s="2024"/>
      <c r="D209" s="2024"/>
      <c r="E209" s="2024"/>
      <c r="F209" s="2024"/>
      <c r="G209" s="2024"/>
      <c r="H209" s="2024"/>
      <c r="I209" s="2024"/>
      <c r="J209" s="2422"/>
      <c r="K209" s="2024"/>
      <c r="L209" s="2024"/>
      <c r="M209" s="2024"/>
      <c r="N209" s="2024"/>
      <c r="O209" s="2024"/>
      <c r="P209" s="2191"/>
      <c r="Q209" s="2024"/>
      <c r="R209" s="2024"/>
      <c r="S209" s="2024"/>
      <c r="T209" s="2024"/>
      <c r="U209" s="2024"/>
      <c r="V209" s="2024"/>
      <c r="W209" s="2024"/>
      <c r="X209" s="2024"/>
      <c r="Y209" s="2024"/>
      <c r="Z209" s="2024"/>
      <c r="AA209" s="2024"/>
      <c r="AB209" s="2024"/>
      <c r="AC209" s="2191"/>
      <c r="AD209" s="2191"/>
      <c r="AE209" s="2191"/>
      <c r="AF209" s="2191"/>
      <c r="AG209" s="2024"/>
    </row>
    <row r="210" spans="2:33">
      <c r="B210" s="2024"/>
      <c r="C210" s="2024"/>
      <c r="D210" s="2024"/>
      <c r="E210" s="2024"/>
      <c r="F210" s="2024"/>
      <c r="G210" s="2024"/>
      <c r="H210" s="2024"/>
      <c r="I210" s="2024"/>
      <c r="J210" s="2422"/>
      <c r="K210" s="2024"/>
      <c r="L210" s="2024"/>
      <c r="M210" s="2024"/>
      <c r="N210" s="2024"/>
      <c r="O210" s="2024"/>
      <c r="P210" s="2191"/>
      <c r="Q210" s="2024"/>
      <c r="R210" s="2024"/>
      <c r="S210" s="2024"/>
      <c r="T210" s="2024"/>
      <c r="U210" s="2024"/>
      <c r="V210" s="2024"/>
      <c r="W210" s="2024"/>
      <c r="X210" s="2024"/>
      <c r="Y210" s="2024"/>
      <c r="Z210" s="2024"/>
      <c r="AA210" s="2024"/>
      <c r="AB210" s="2024"/>
      <c r="AC210" s="2191"/>
      <c r="AD210" s="2191"/>
      <c r="AE210" s="2191"/>
      <c r="AF210" s="2191"/>
      <c r="AG210" s="2024"/>
    </row>
    <row r="211" spans="2:33">
      <c r="B211" s="2024"/>
      <c r="C211" s="2024"/>
      <c r="D211" s="2024"/>
      <c r="E211" s="2024"/>
      <c r="F211" s="2024"/>
      <c r="G211" s="2024"/>
      <c r="H211" s="2024"/>
      <c r="I211" s="2024"/>
      <c r="J211" s="2422"/>
      <c r="K211" s="2024"/>
      <c r="L211" s="2024"/>
      <c r="M211" s="2024"/>
      <c r="N211" s="2024"/>
      <c r="O211" s="2024"/>
      <c r="P211" s="2191"/>
      <c r="Q211" s="2024"/>
      <c r="R211" s="2024"/>
      <c r="S211" s="2024"/>
      <c r="T211" s="2024"/>
      <c r="U211" s="2024"/>
      <c r="V211" s="2024"/>
      <c r="W211" s="2024"/>
      <c r="X211" s="2024"/>
      <c r="Y211" s="2024"/>
      <c r="Z211" s="2024"/>
      <c r="AA211" s="2024"/>
      <c r="AB211" s="2024"/>
      <c r="AC211" s="2191"/>
      <c r="AD211" s="2191"/>
      <c r="AE211" s="2191"/>
      <c r="AF211" s="2191"/>
      <c r="AG211" s="2024"/>
    </row>
    <row r="212" spans="2:33">
      <c r="B212" s="2024"/>
      <c r="C212" s="2024"/>
      <c r="D212" s="2024"/>
      <c r="E212" s="2024"/>
      <c r="F212" s="2024"/>
      <c r="G212" s="2024"/>
      <c r="H212" s="2024"/>
      <c r="I212" s="2024"/>
      <c r="J212" s="2422"/>
      <c r="K212" s="2024"/>
      <c r="L212" s="2024"/>
      <c r="M212" s="2024"/>
      <c r="N212" s="2024"/>
      <c r="O212" s="2024"/>
      <c r="P212" s="2191"/>
      <c r="Q212" s="2024"/>
      <c r="R212" s="2024"/>
      <c r="S212" s="2024"/>
      <c r="T212" s="2024"/>
      <c r="U212" s="2024"/>
      <c r="V212" s="2024"/>
      <c r="W212" s="2024"/>
      <c r="X212" s="2024"/>
      <c r="Y212" s="2024"/>
      <c r="Z212" s="2024"/>
      <c r="AA212" s="2024"/>
      <c r="AB212" s="2024"/>
      <c r="AC212" s="2191"/>
      <c r="AD212" s="2191"/>
      <c r="AE212" s="2191"/>
      <c r="AF212" s="2191"/>
      <c r="AG212" s="2024"/>
    </row>
    <row r="213" spans="2:33">
      <c r="B213" s="2024"/>
      <c r="C213" s="2024"/>
      <c r="D213" s="2024"/>
      <c r="E213" s="2024"/>
      <c r="F213" s="2024"/>
      <c r="G213" s="2024"/>
      <c r="H213" s="2024"/>
      <c r="I213" s="2024"/>
      <c r="J213" s="2422"/>
      <c r="K213" s="2024"/>
      <c r="L213" s="2024"/>
      <c r="M213" s="2024"/>
      <c r="N213" s="2024"/>
      <c r="O213" s="2024"/>
      <c r="P213" s="2191"/>
      <c r="Q213" s="2024"/>
      <c r="R213" s="2024"/>
      <c r="S213" s="2024"/>
      <c r="T213" s="2024"/>
      <c r="U213" s="2024"/>
      <c r="V213" s="2024"/>
      <c r="W213" s="2024"/>
      <c r="X213" s="2024"/>
      <c r="Y213" s="2024"/>
      <c r="Z213" s="2024"/>
      <c r="AA213" s="2024"/>
      <c r="AB213" s="2024"/>
      <c r="AC213" s="2191"/>
      <c r="AD213" s="2191"/>
      <c r="AE213" s="2191"/>
      <c r="AF213" s="2191"/>
      <c r="AG213" s="2024"/>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P22 AK84 AK61"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80" workbookViewId="0"/>
  </sheetViews>
  <sheetFormatPr defaultColWidth="8.69140625" defaultRowHeight="15.5"/>
  <cols>
    <col min="1" max="1" width="1.69140625" style="2021" customWidth="1"/>
    <col min="2" max="2" width="45.4609375" style="2021" customWidth="1"/>
    <col min="3" max="3" width="1.69140625" style="2021" customWidth="1"/>
    <col min="4" max="4" width="12.4609375" style="2021" bestFit="1" customWidth="1"/>
    <col min="5" max="5" width="1.69140625" style="2529" customWidth="1"/>
    <col min="6" max="6" width="12.07421875" style="2021" bestFit="1" customWidth="1"/>
    <col min="7" max="7" width="1.69140625" style="2529" customWidth="1"/>
    <col min="8" max="8" width="15" style="2021" customWidth="1"/>
    <col min="9" max="9" width="1.69140625" style="2529" customWidth="1"/>
    <col min="10" max="10" width="16.07421875" style="2021" customWidth="1"/>
    <col min="11" max="11" width="1.69140625" style="2529" customWidth="1"/>
    <col min="12" max="12" width="13.4609375" style="2021" customWidth="1"/>
    <col min="13" max="13" width="1.69140625" style="2529" customWidth="1"/>
    <col min="14" max="14" width="14.07421875" style="2021" customWidth="1"/>
    <col min="15" max="15" width="1.69140625" style="2529" customWidth="1"/>
    <col min="16" max="16" width="14.07421875" style="2021" customWidth="1"/>
    <col min="17" max="17" width="1.69140625" style="2529" customWidth="1"/>
    <col min="18" max="18" width="14.07421875" style="2021" customWidth="1"/>
    <col min="19" max="19" width="1.69140625" style="2529" customWidth="1"/>
    <col min="20" max="20" width="14.07421875" style="2184" customWidth="1"/>
    <col min="21" max="21" width="1.69140625" style="2529" customWidth="1"/>
    <col min="22" max="22" width="14.07421875" style="2021" customWidth="1"/>
    <col min="23" max="23" width="1.69140625" style="2529" customWidth="1"/>
    <col min="24" max="24" width="14.07421875" style="2021" customWidth="1"/>
    <col min="25" max="25" width="1.69140625" style="2529" customWidth="1"/>
    <col min="26" max="26" width="14.07421875" style="2021" customWidth="1"/>
    <col min="27" max="27" width="1.69140625" style="2021" customWidth="1"/>
    <col min="28" max="28" width="14.07421875" style="2021" bestFit="1" customWidth="1"/>
    <col min="29" max="29" width="1.69140625" style="2021" customWidth="1"/>
    <col min="30" max="30" width="12.53515625" style="2184" bestFit="1" customWidth="1"/>
    <col min="31" max="31" width="1.4609375" style="2184" customWidth="1"/>
    <col min="32" max="32" width="1.07421875" style="2184" customWidth="1"/>
    <col min="33" max="33" width="12.53515625" style="2184" bestFit="1" customWidth="1"/>
    <col min="34" max="34" width="0.69140625" style="2184" customWidth="1"/>
    <col min="35" max="35" width="0.69140625" style="2021" customWidth="1"/>
    <col min="36" max="36" width="12.69140625" style="2021" customWidth="1"/>
    <col min="37" max="37" width="0.69140625" style="2021" customWidth="1"/>
    <col min="38" max="38" width="10.69140625" style="1431" customWidth="1"/>
    <col min="39" max="16384" width="8.69140625" style="2021"/>
  </cols>
  <sheetData>
    <row r="1" spans="1:43">
      <c r="B1" s="2233" t="s">
        <v>963</v>
      </c>
    </row>
    <row r="2" spans="1:43">
      <c r="A2" s="2526"/>
      <c r="N2" s="2426"/>
    </row>
    <row r="3" spans="1:43" s="2184" customFormat="1" ht="18">
      <c r="A3" s="3107"/>
      <c r="B3" s="3108" t="s">
        <v>0</v>
      </c>
      <c r="E3" s="2541"/>
      <c r="G3" s="2541"/>
      <c r="I3" s="2541"/>
      <c r="K3" s="2541"/>
      <c r="M3" s="2541"/>
      <c r="N3" s="2552"/>
      <c r="O3" s="2541"/>
      <c r="Q3" s="2541"/>
      <c r="S3" s="2541"/>
      <c r="U3" s="2541"/>
      <c r="W3" s="2541"/>
      <c r="Y3" s="2541"/>
      <c r="AE3" s="3109"/>
      <c r="AF3" s="3109"/>
      <c r="AG3" s="3109"/>
      <c r="AH3" s="3109"/>
      <c r="AI3" s="3109"/>
      <c r="AJ3" s="3109"/>
      <c r="AK3" s="3109"/>
      <c r="AL3" s="3110" t="s">
        <v>168</v>
      </c>
    </row>
    <row r="4" spans="1:43" s="2184" customFormat="1" ht="18">
      <c r="A4" s="3107"/>
      <c r="B4" s="3108" t="s">
        <v>1166</v>
      </c>
      <c r="E4" s="2541"/>
      <c r="G4" s="2541"/>
      <c r="I4" s="2541"/>
      <c r="K4" s="2541"/>
      <c r="L4" s="2552"/>
      <c r="M4" s="2541"/>
      <c r="O4" s="2541"/>
      <c r="Q4" s="2541"/>
      <c r="S4" s="2541"/>
      <c r="U4" s="2541"/>
      <c r="W4" s="2541"/>
      <c r="Y4" s="2541"/>
      <c r="AL4" s="3111"/>
    </row>
    <row r="5" spans="1:43" s="2184" customFormat="1" ht="18">
      <c r="A5" s="3107"/>
      <c r="B5" s="1472" t="s">
        <v>148</v>
      </c>
      <c r="E5" s="2541"/>
      <c r="G5" s="2541"/>
      <c r="I5" s="2541"/>
      <c r="K5" s="2541"/>
      <c r="L5" s="2464"/>
      <c r="M5" s="2541"/>
      <c r="O5" s="2541"/>
      <c r="Q5" s="2541"/>
      <c r="S5" s="2541"/>
      <c r="U5" s="2541"/>
      <c r="W5" s="2541"/>
      <c r="X5" s="2190"/>
      <c r="Y5" s="2541"/>
      <c r="AL5" s="3111"/>
    </row>
    <row r="6" spans="1:43" s="2184" customFormat="1" ht="20">
      <c r="A6" s="3107"/>
      <c r="B6" s="1472" t="str">
        <f>'Cashflow Governmental'!A6</f>
        <v xml:space="preserve">FISCAL YEAR 2020-2021   </v>
      </c>
      <c r="E6" s="2541"/>
      <c r="G6" s="2541"/>
      <c r="I6" s="2541"/>
      <c r="K6" s="2541"/>
      <c r="L6" s="2464"/>
      <c r="M6" s="2541"/>
      <c r="O6" s="2541"/>
      <c r="Q6" s="2541"/>
      <c r="S6" s="2541"/>
      <c r="U6" s="2541"/>
      <c r="W6" s="2541"/>
      <c r="Y6" s="2541"/>
      <c r="AL6" s="3112"/>
    </row>
    <row r="7" spans="1:43" s="2184" customFormat="1" ht="18">
      <c r="A7" s="3107"/>
      <c r="B7" s="3108" t="s">
        <v>1367</v>
      </c>
      <c r="E7" s="2541"/>
      <c r="G7" s="2541"/>
      <c r="I7" s="2541"/>
      <c r="K7" s="2541"/>
      <c r="M7" s="2541"/>
      <c r="O7" s="2541"/>
      <c r="Q7" s="2541"/>
      <c r="S7" s="2541"/>
      <c r="U7" s="2541"/>
      <c r="W7" s="2541"/>
      <c r="Y7" s="2541"/>
      <c r="AI7" s="2464"/>
      <c r="AJ7" s="2464"/>
      <c r="AK7" s="2464"/>
      <c r="AL7" s="2504"/>
    </row>
    <row r="8" spans="1:43">
      <c r="A8" s="2526"/>
      <c r="L8" s="2043"/>
      <c r="N8" s="2043"/>
      <c r="AC8" s="2043"/>
      <c r="AD8" s="2464"/>
      <c r="AE8" s="2464"/>
      <c r="AF8" s="2464"/>
      <c r="AG8" s="2464"/>
      <c r="AH8" s="2464"/>
      <c r="AI8" s="2043"/>
      <c r="AJ8" s="2043"/>
      <c r="AK8" s="2043"/>
      <c r="AL8" s="2468"/>
    </row>
    <row r="9" spans="1:43" s="2024" customFormat="1" ht="19.5" customHeight="1">
      <c r="A9" s="2421"/>
      <c r="E9" s="2529"/>
      <c r="G9" s="2529"/>
      <c r="I9" s="2529"/>
      <c r="K9" s="2529"/>
      <c r="L9" s="2530"/>
      <c r="M9" s="2529"/>
      <c r="N9" s="2530"/>
      <c r="O9" s="2529"/>
      <c r="Q9" s="2529"/>
      <c r="S9" s="2529"/>
      <c r="T9" s="2191"/>
      <c r="U9" s="2529"/>
      <c r="W9" s="2529"/>
      <c r="Y9" s="2529"/>
      <c r="AB9" s="2440" t="s">
        <v>1260</v>
      </c>
      <c r="AC9" s="3933" t="s">
        <v>1546</v>
      </c>
      <c r="AD9" s="3933"/>
      <c r="AE9" s="3933"/>
      <c r="AF9" s="3933"/>
      <c r="AG9" s="3933"/>
      <c r="AH9" s="3933"/>
      <c r="AI9" s="3933"/>
      <c r="AJ9" s="3933"/>
      <c r="AK9" s="3933"/>
      <c r="AL9" s="3933"/>
    </row>
    <row r="10" spans="1:43">
      <c r="A10" s="2526"/>
      <c r="D10" s="2531" t="str">
        <f>'Cashflow Governmental'!C13</f>
        <v>2020</v>
      </c>
      <c r="F10" s="2426"/>
      <c r="H10" s="2426"/>
      <c r="J10" s="2426"/>
      <c r="L10" s="2426"/>
      <c r="N10" s="2426"/>
      <c r="P10" s="2426"/>
      <c r="R10" s="2426"/>
      <c r="T10" s="2552"/>
      <c r="V10" s="2531" t="str">
        <f>'Cashflow Governmental'!U13</f>
        <v>2021</v>
      </c>
      <c r="X10" s="2426"/>
      <c r="Z10" s="2426"/>
      <c r="AA10" s="2426"/>
      <c r="AB10" s="2440" t="s">
        <v>1261</v>
      </c>
      <c r="AC10" s="2426"/>
      <c r="AD10" s="2436"/>
      <c r="AE10" s="2436"/>
      <c r="AF10" s="2436"/>
      <c r="AG10" s="2436"/>
      <c r="AH10" s="2436"/>
      <c r="AI10" s="2427"/>
      <c r="AJ10" s="2438" t="s">
        <v>8</v>
      </c>
      <c r="AK10" s="2434"/>
      <c r="AL10" s="2439" t="s">
        <v>9</v>
      </c>
      <c r="AM10" s="2427"/>
      <c r="AN10" s="2427"/>
      <c r="AO10" s="2427"/>
      <c r="AP10" s="2427"/>
      <c r="AQ10" s="2427"/>
    </row>
    <row r="11" spans="1:43">
      <c r="A11" s="2526"/>
      <c r="D11" s="2440" t="s">
        <v>124</v>
      </c>
      <c r="F11" s="2440" t="s">
        <v>125</v>
      </c>
      <c r="H11" s="2440" t="s">
        <v>126</v>
      </c>
      <c r="J11" s="2440" t="s">
        <v>127</v>
      </c>
      <c r="L11" s="2532" t="s">
        <v>128</v>
      </c>
      <c r="N11" s="2440" t="s">
        <v>143</v>
      </c>
      <c r="P11" s="2440" t="s">
        <v>144</v>
      </c>
      <c r="R11" s="2440" t="s">
        <v>131</v>
      </c>
      <c r="T11" s="3384" t="s">
        <v>132</v>
      </c>
      <c r="V11" s="2440" t="s">
        <v>133</v>
      </c>
      <c r="X11" s="2440" t="s">
        <v>134</v>
      </c>
      <c r="Z11" s="2440" t="s">
        <v>185</v>
      </c>
      <c r="AA11" s="2440"/>
      <c r="AB11" s="2532" t="s">
        <v>1262</v>
      </c>
      <c r="AC11" s="2426"/>
      <c r="AD11" s="2585">
        <f>'Cashflow Governmental'!AB14</f>
        <v>2020</v>
      </c>
      <c r="AE11" s="2552" t="s">
        <v>15</v>
      </c>
      <c r="AF11" s="2555"/>
      <c r="AG11" s="2585">
        <f>'Cashflow Governmental'!AE14</f>
        <v>2019</v>
      </c>
      <c r="AH11" s="3477"/>
      <c r="AI11" s="2427"/>
      <c r="AJ11" s="2445" t="s">
        <v>12</v>
      </c>
      <c r="AK11" s="2427"/>
      <c r="AL11" s="2445" t="s">
        <v>13</v>
      </c>
      <c r="AM11" s="2427"/>
      <c r="AN11" s="2427"/>
      <c r="AO11" s="2427"/>
      <c r="AP11" s="2427"/>
      <c r="AQ11" s="2427"/>
    </row>
    <row r="12" spans="1:43" ht="5.25" customHeight="1">
      <c r="A12" s="2526"/>
      <c r="D12" s="2447"/>
      <c r="F12" s="2447"/>
      <c r="H12" s="2447"/>
      <c r="J12" s="2447"/>
      <c r="L12" s="2447"/>
      <c r="N12" s="2533"/>
      <c r="P12" s="2447"/>
      <c r="R12" s="2447"/>
      <c r="T12" s="3054"/>
      <c r="V12" s="2447"/>
      <c r="X12" s="2447"/>
      <c r="Z12" s="2447"/>
      <c r="AA12" s="2020"/>
      <c r="AD12" s="3054"/>
      <c r="AG12" s="3054"/>
      <c r="AH12" s="2183"/>
      <c r="AI12" s="2534"/>
    </row>
    <row r="13" spans="1:43" ht="15" customHeight="1">
      <c r="A13" s="2043"/>
      <c r="B13" s="2535" t="s">
        <v>1221</v>
      </c>
      <c r="C13" s="2043"/>
      <c r="D13" s="2028">
        <f>'Exhibit G State'!D13+'Exhibit G Federal'!D13</f>
        <v>6312.0999999999995</v>
      </c>
      <c r="F13" s="2454">
        <f>D120</f>
        <v>11224</v>
      </c>
      <c r="H13" s="2454">
        <f>F120</f>
        <v>11140.2</v>
      </c>
      <c r="J13" s="2454">
        <f>H120</f>
        <v>14472.7</v>
      </c>
      <c r="L13" s="2454">
        <f>J120</f>
        <v>13232.7</v>
      </c>
      <c r="N13" s="2454">
        <f>L120</f>
        <v>12870.2</v>
      </c>
      <c r="P13" s="1999">
        <f>N120</f>
        <v>9510.2999999999993</v>
      </c>
      <c r="R13" s="2454"/>
      <c r="T13" s="2028"/>
      <c r="V13" s="2454"/>
      <c r="X13" s="2454"/>
      <c r="Z13" s="2454"/>
      <c r="AA13" s="2454"/>
      <c r="AB13" s="2454">
        <v>0</v>
      </c>
      <c r="AC13" s="2536"/>
      <c r="AD13" s="2028">
        <f>D13</f>
        <v>6312.0999999999995</v>
      </c>
      <c r="AE13" s="2028"/>
      <c r="AF13" s="3453"/>
      <c r="AG13" s="2452">
        <f>'Exhibit G State'!AG13+'Exhibit G Federal'!AG13</f>
        <v>3842.4000000000005</v>
      </c>
      <c r="AH13" s="3478"/>
      <c r="AI13" s="2018"/>
      <c r="AJ13" s="2537">
        <f>AD13-AG13</f>
        <v>2469.6999999999989</v>
      </c>
      <c r="AK13" s="2538"/>
      <c r="AL13" s="2489">
        <f>(AD13-AG13)/AG13</f>
        <v>0.64274932333957902</v>
      </c>
      <c r="AM13" s="2023"/>
      <c r="AN13" s="2023"/>
      <c r="AO13" s="2023"/>
      <c r="AP13" s="2023"/>
      <c r="AQ13" s="2023"/>
    </row>
    <row r="14" spans="1:43" ht="15" customHeight="1">
      <c r="A14" s="2043"/>
      <c r="B14" s="2043"/>
      <c r="C14" s="2043"/>
      <c r="AC14" s="2539"/>
      <c r="AF14" s="3454"/>
      <c r="AH14" s="3479"/>
      <c r="AI14" s="2020"/>
      <c r="AL14" s="1430"/>
    </row>
    <row r="15" spans="1:43" ht="15" customHeight="1">
      <c r="A15" s="2043"/>
      <c r="B15" s="2426" t="s">
        <v>14</v>
      </c>
      <c r="C15" s="2043"/>
      <c r="D15" s="2005"/>
      <c r="F15" s="2005"/>
      <c r="H15" s="2005"/>
      <c r="J15" s="2005"/>
      <c r="L15" s="2005"/>
      <c r="N15" s="2005"/>
      <c r="P15" s="2005"/>
      <c r="R15" s="2005"/>
      <c r="T15" s="1994"/>
      <c r="V15" s="2005"/>
      <c r="X15" s="2005"/>
      <c r="Z15" s="2005"/>
      <c r="AA15" s="2005"/>
      <c r="AB15" s="2005"/>
      <c r="AC15" s="2036"/>
      <c r="AD15" s="1994"/>
      <c r="AE15" s="1994"/>
      <c r="AF15" s="2038"/>
      <c r="AG15" s="1994"/>
      <c r="AH15" s="3480"/>
      <c r="AI15" s="2006"/>
      <c r="AJ15" s="2005"/>
      <c r="AL15" s="1430"/>
    </row>
    <row r="16" spans="1:43" ht="15" customHeight="1">
      <c r="A16" s="2043"/>
      <c r="B16" s="2461" t="s">
        <v>1078</v>
      </c>
      <c r="C16" s="2043"/>
      <c r="D16" s="2005"/>
      <c r="F16" s="2005"/>
      <c r="H16" s="2005"/>
      <c r="J16" s="2005"/>
      <c r="L16" s="2005"/>
      <c r="N16" s="2005"/>
      <c r="P16" s="2005"/>
      <c r="R16" s="2005"/>
      <c r="T16" s="1994"/>
      <c r="V16" s="2005"/>
      <c r="X16" s="2005"/>
      <c r="Z16" s="2005"/>
      <c r="AA16" s="2005"/>
      <c r="AB16" s="2005"/>
      <c r="AC16" s="2036"/>
      <c r="AD16" s="1994"/>
      <c r="AE16" s="1994"/>
      <c r="AF16" s="2038"/>
      <c r="AG16" s="1994"/>
      <c r="AH16" s="3480"/>
      <c r="AI16" s="2006"/>
      <c r="AJ16" s="2005"/>
      <c r="AL16" s="1430"/>
    </row>
    <row r="17" spans="1:38" s="2427" customFormat="1" ht="15" customHeight="1">
      <c r="A17" s="2426"/>
      <c r="B17" s="2540" t="s">
        <v>1081</v>
      </c>
      <c r="C17" s="2426"/>
      <c r="D17" s="1999">
        <f>'Exhibit G State'!D17</f>
        <v>0</v>
      </c>
      <c r="E17" s="1441"/>
      <c r="F17" s="1999">
        <f>'Exhibit G State'!F17</f>
        <v>0</v>
      </c>
      <c r="G17" s="1441"/>
      <c r="H17" s="1999">
        <f>'Exhibit G State'!H17</f>
        <v>0</v>
      </c>
      <c r="I17" s="2529"/>
      <c r="J17" s="1999">
        <f>'Exhibit G State'!J17</f>
        <v>0</v>
      </c>
      <c r="K17" s="2541"/>
      <c r="L17" s="1999">
        <f>'Exhibit G State'!L17</f>
        <v>0</v>
      </c>
      <c r="M17" s="2541"/>
      <c r="N17" s="1999">
        <f>'Exhibit G State'!N17</f>
        <v>0.1</v>
      </c>
      <c r="O17" s="2541"/>
      <c r="P17" s="1999">
        <f>'Exhibit G State'!P17</f>
        <v>0.1</v>
      </c>
      <c r="Q17" s="2541"/>
      <c r="R17" s="1999"/>
      <c r="S17" s="2541"/>
      <c r="T17" s="1999"/>
      <c r="U17" s="2541"/>
      <c r="V17" s="1999"/>
      <c r="W17" s="2541"/>
      <c r="X17" s="1999"/>
      <c r="Y17" s="2541"/>
      <c r="Z17" s="1999"/>
      <c r="AA17" s="1999"/>
      <c r="AB17" s="1441">
        <v>0</v>
      </c>
      <c r="AC17" s="2536"/>
      <c r="AD17" s="1999">
        <f>ROUND(SUM(D17:Z17),1)</f>
        <v>0.2</v>
      </c>
      <c r="AE17" s="1999"/>
      <c r="AF17" s="2000"/>
      <c r="AG17" s="2031">
        <f>'Exhibit G State'!AG17</f>
        <v>0.2</v>
      </c>
      <c r="AH17" s="3481"/>
      <c r="AI17" s="2476"/>
      <c r="AJ17" s="1441">
        <f>ROUND(SUM(+AD17-AG17),1)</f>
        <v>0</v>
      </c>
      <c r="AK17" s="2542"/>
      <c r="AL17" s="1436">
        <f>ROUND(IF(AG17=0,1,AJ17/ABS(AG17)),3)</f>
        <v>0</v>
      </c>
    </row>
    <row r="18" spans="1:38" s="2427" customFormat="1" ht="6" customHeight="1">
      <c r="A18" s="2426"/>
      <c r="B18" s="2540"/>
      <c r="C18" s="2426"/>
      <c r="D18" s="2543"/>
      <c r="E18" s="2529"/>
      <c r="F18" s="2543"/>
      <c r="G18" s="2529"/>
      <c r="H18" s="2543"/>
      <c r="I18" s="2529"/>
      <c r="J18" s="2543"/>
      <c r="K18" s="2541"/>
      <c r="L18" s="2543"/>
      <c r="M18" s="2541"/>
      <c r="N18" s="2543">
        <f>'Exhibit G State'!N18</f>
        <v>0</v>
      </c>
      <c r="O18" s="2541"/>
      <c r="P18" s="2543">
        <f>'Exhibit G State'!P18</f>
        <v>0</v>
      </c>
      <c r="Q18" s="2541"/>
      <c r="R18" s="2543"/>
      <c r="S18" s="2541"/>
      <c r="T18" s="2543"/>
      <c r="U18" s="2541"/>
      <c r="V18" s="2543"/>
      <c r="W18" s="2541"/>
      <c r="X18" s="2543"/>
      <c r="Y18" s="2541"/>
      <c r="Z18" s="2543"/>
      <c r="AA18" s="2543"/>
      <c r="AB18" s="2454"/>
      <c r="AC18" s="2536"/>
      <c r="AD18" s="2025"/>
      <c r="AE18" s="2025"/>
      <c r="AF18" s="3455"/>
      <c r="AG18" s="2027"/>
      <c r="AH18" s="3482"/>
      <c r="AI18" s="2545"/>
      <c r="AJ18" s="2544"/>
      <c r="AK18" s="2542"/>
      <c r="AL18" s="1436"/>
    </row>
    <row r="19" spans="1:38" ht="15" customHeight="1">
      <c r="A19" s="2043"/>
      <c r="B19" s="2540" t="s">
        <v>1140</v>
      </c>
      <c r="C19" s="2043"/>
      <c r="D19" s="1994"/>
      <c r="F19" s="1994"/>
      <c r="H19" s="1994"/>
      <c r="J19" s="1994"/>
      <c r="K19" s="2541"/>
      <c r="L19" s="1994"/>
      <c r="M19" s="2541"/>
      <c r="N19" s="1994">
        <f>'Exhibit G State'!N19</f>
        <v>0</v>
      </c>
      <c r="O19" s="2541"/>
      <c r="P19" s="1994">
        <f>'Exhibit G State'!P19</f>
        <v>0</v>
      </c>
      <c r="Q19" s="2541"/>
      <c r="R19" s="1994"/>
      <c r="S19" s="2541"/>
      <c r="T19" s="1994"/>
      <c r="U19" s="2541"/>
      <c r="V19" s="1994"/>
      <c r="W19" s="2541"/>
      <c r="X19" s="1994"/>
      <c r="Y19" s="2541"/>
      <c r="Z19" s="1994"/>
      <c r="AA19" s="1994"/>
      <c r="AB19" s="2005"/>
      <c r="AC19" s="2036"/>
      <c r="AD19" s="2049"/>
      <c r="AE19" s="2049"/>
      <c r="AF19" s="2553"/>
      <c r="AG19" s="2049"/>
      <c r="AH19" s="3483"/>
      <c r="AI19" s="1442"/>
      <c r="AJ19" s="1459"/>
      <c r="AK19" s="2427"/>
      <c r="AL19" s="2489"/>
    </row>
    <row r="20" spans="1:38" ht="15" customHeight="1">
      <c r="A20" s="2043"/>
      <c r="B20" s="2546" t="s">
        <v>1093</v>
      </c>
      <c r="C20" s="2043"/>
      <c r="D20" s="1999">
        <f>'Exhibit G State'!D20</f>
        <v>80.3</v>
      </c>
      <c r="E20" s="1441"/>
      <c r="F20" s="1999">
        <f>'Exhibit G State'!F20</f>
        <v>51.2</v>
      </c>
      <c r="G20" s="1441"/>
      <c r="H20" s="1999">
        <f>'Exhibit G State'!H20</f>
        <v>65.599999999999994</v>
      </c>
      <c r="J20" s="1999">
        <f>'Exhibit G State'!J20</f>
        <v>72.700000000000017</v>
      </c>
      <c r="K20" s="2541"/>
      <c r="L20" s="1999">
        <f>'Exhibit G State'!L20</f>
        <v>73.599999999999966</v>
      </c>
      <c r="M20" s="2541"/>
      <c r="N20" s="1999">
        <f>'Exhibit G State'!N20</f>
        <v>83.300000000000011</v>
      </c>
      <c r="O20" s="2541"/>
      <c r="P20" s="1999">
        <f>'Exhibit G State'!P20</f>
        <v>79.19999999999996</v>
      </c>
      <c r="Q20" s="2541"/>
      <c r="R20" s="1999"/>
      <c r="S20" s="2541"/>
      <c r="T20" s="1999"/>
      <c r="U20" s="2541"/>
      <c r="V20" s="1999"/>
      <c r="W20" s="2541"/>
      <c r="X20" s="1999"/>
      <c r="Y20" s="2541"/>
      <c r="Z20" s="1999"/>
      <c r="AA20" s="1999"/>
      <c r="AB20" s="2005">
        <v>0</v>
      </c>
      <c r="AC20" s="2036"/>
      <c r="AD20" s="1994">
        <f>ROUND(SUM(D20:Z20),1)</f>
        <v>505.9</v>
      </c>
      <c r="AE20" s="1994"/>
      <c r="AF20" s="2038"/>
      <c r="AG20" s="2031">
        <f>'Exhibit G State'!AG20</f>
        <v>648.5</v>
      </c>
      <c r="AH20" s="3480"/>
      <c r="AI20" s="2006"/>
      <c r="AJ20" s="1441">
        <f t="shared" ref="AJ20:AJ26" si="0">ROUND(SUM(+AD20-AG20),1)</f>
        <v>-142.6</v>
      </c>
      <c r="AK20" s="2542"/>
      <c r="AL20" s="1436">
        <f t="shared" ref="AL20:AL25" si="1">ROUND(IF(AG20=0,0,AJ20/ABS(AG20)),3)</f>
        <v>-0.22</v>
      </c>
    </row>
    <row r="21" spans="1:38" ht="15" customHeight="1">
      <c r="A21" s="2043"/>
      <c r="B21" s="2546" t="s">
        <v>1094</v>
      </c>
      <c r="C21" s="2043"/>
      <c r="D21" s="1999">
        <f>'Exhibit G State'!D21</f>
        <v>-0.1</v>
      </c>
      <c r="E21" s="1441"/>
      <c r="F21" s="1999">
        <f>'Exhibit G State'!F21</f>
        <v>-1.4999999999999998</v>
      </c>
      <c r="G21" s="1441"/>
      <c r="H21" s="1999">
        <f>'Exhibit G State'!H21</f>
        <v>3.4</v>
      </c>
      <c r="J21" s="1999">
        <f>'Exhibit G State'!J21</f>
        <v>2.1</v>
      </c>
      <c r="K21" s="2541"/>
      <c r="L21" s="1999">
        <f>'Exhibit G State'!L21</f>
        <v>2.0999999999999992</v>
      </c>
      <c r="M21" s="2541"/>
      <c r="N21" s="1999">
        <f>'Exhibit G State'!N21</f>
        <v>-1.0999999999999992</v>
      </c>
      <c r="O21" s="2541"/>
      <c r="P21" s="1999">
        <f>'Exhibit G State'!P21</f>
        <v>0</v>
      </c>
      <c r="Q21" s="2541"/>
      <c r="R21" s="1999"/>
      <c r="S21" s="2541"/>
      <c r="T21" s="1999"/>
      <c r="U21" s="2541"/>
      <c r="V21" s="1999"/>
      <c r="W21" s="2541"/>
      <c r="X21" s="1999"/>
      <c r="Y21" s="2541"/>
      <c r="Z21" s="1999"/>
      <c r="AA21" s="1999"/>
      <c r="AB21" s="2005">
        <v>0</v>
      </c>
      <c r="AC21" s="2036"/>
      <c r="AD21" s="1994">
        <f>ROUND(SUM(D21:Z21),1)</f>
        <v>4.9000000000000004</v>
      </c>
      <c r="AE21" s="1994"/>
      <c r="AF21" s="2038"/>
      <c r="AG21" s="2031">
        <f>'Exhibit G State'!AG21</f>
        <v>7.3</v>
      </c>
      <c r="AH21" s="3480"/>
      <c r="AI21" s="2006"/>
      <c r="AJ21" s="1441">
        <f t="shared" si="0"/>
        <v>-2.4</v>
      </c>
      <c r="AK21" s="2542"/>
      <c r="AL21" s="1436">
        <f>ROUND(IF(AG21=0,1,AJ21/ABS(AG21)),3)</f>
        <v>-0.32900000000000001</v>
      </c>
    </row>
    <row r="22" spans="1:38" ht="15" customHeight="1">
      <c r="A22" s="2043"/>
      <c r="B22" s="2546" t="s">
        <v>1095</v>
      </c>
      <c r="C22" s="2043"/>
      <c r="D22" s="1999">
        <f>'Exhibit G State'!D22</f>
        <v>68.8</v>
      </c>
      <c r="E22" s="1441"/>
      <c r="F22" s="1999">
        <f>'Exhibit G State'!F22</f>
        <v>51.3</v>
      </c>
      <c r="G22" s="1441"/>
      <c r="H22" s="1999">
        <f>'Exhibit G State'!H22</f>
        <v>60.200000000000017</v>
      </c>
      <c r="J22" s="1999">
        <f>'Exhibit G State'!J22</f>
        <v>68.799999999999983</v>
      </c>
      <c r="K22" s="2541"/>
      <c r="L22" s="1999">
        <f>'Exhibit G State'!L22</f>
        <v>60.399999999999977</v>
      </c>
      <c r="M22" s="2541"/>
      <c r="N22" s="1999">
        <f>'Exhibit G State'!N22</f>
        <v>71</v>
      </c>
      <c r="O22" s="2541"/>
      <c r="P22" s="1999">
        <f>'Exhibit G State'!P22</f>
        <v>55.699999999999989</v>
      </c>
      <c r="Q22" s="2541"/>
      <c r="R22" s="1999"/>
      <c r="S22" s="2541"/>
      <c r="T22" s="1999"/>
      <c r="U22" s="2541"/>
      <c r="V22" s="1999"/>
      <c r="W22" s="2541"/>
      <c r="X22" s="1999"/>
      <c r="Y22" s="2541"/>
      <c r="Z22" s="1999"/>
      <c r="AA22" s="1999"/>
      <c r="AB22" s="2005">
        <v>0</v>
      </c>
      <c r="AC22" s="2036"/>
      <c r="AD22" s="1994">
        <f t="shared" ref="AD22:AD26" si="2">ROUND(SUM(D22:Z22),1)</f>
        <v>436.2</v>
      </c>
      <c r="AE22" s="1994"/>
      <c r="AF22" s="2038"/>
      <c r="AG22" s="2031">
        <f>'Exhibit G State'!AG22</f>
        <v>444.1</v>
      </c>
      <c r="AH22" s="3480"/>
      <c r="AI22" s="2006"/>
      <c r="AJ22" s="1441">
        <f t="shared" si="0"/>
        <v>-7.9</v>
      </c>
      <c r="AK22" s="2542"/>
      <c r="AL22" s="1436">
        <f t="shared" si="1"/>
        <v>-1.7999999999999999E-2</v>
      </c>
    </row>
    <row r="23" spans="1:38" ht="15" customHeight="1">
      <c r="A23" s="2043"/>
      <c r="B23" s="2233" t="s">
        <v>1238</v>
      </c>
      <c r="C23" s="2043"/>
      <c r="D23" s="1999">
        <f>'Exhibit G State'!D23</f>
        <v>0.5</v>
      </c>
      <c r="E23" s="1441"/>
      <c r="F23" s="1999">
        <f>'Exhibit G State'!F23</f>
        <v>0.60000000000000009</v>
      </c>
      <c r="G23" s="1441"/>
      <c r="H23" s="1999">
        <f>'Exhibit G State'!H23</f>
        <v>0.7</v>
      </c>
      <c r="J23" s="1999">
        <f>'Exhibit G State'!J23</f>
        <v>0.59999999999999987</v>
      </c>
      <c r="K23" s="2541"/>
      <c r="L23" s="1999">
        <f>'Exhibit G State'!L23</f>
        <v>0.80000000000000027</v>
      </c>
      <c r="M23" s="2541"/>
      <c r="N23" s="1999">
        <f>'Exhibit G State'!N23</f>
        <v>0.69999999999999951</v>
      </c>
      <c r="O23" s="2541"/>
      <c r="P23" s="1999">
        <f>'Exhibit G State'!P23</f>
        <v>0.80000000000000093</v>
      </c>
      <c r="Q23" s="2541"/>
      <c r="R23" s="1999"/>
      <c r="S23" s="2541"/>
      <c r="T23" s="1999"/>
      <c r="U23" s="2541"/>
      <c r="V23" s="1999"/>
      <c r="W23" s="2541"/>
      <c r="X23" s="1999"/>
      <c r="Y23" s="2541"/>
      <c r="Z23" s="1999"/>
      <c r="AA23" s="1999"/>
      <c r="AB23" s="2005">
        <v>0</v>
      </c>
      <c r="AC23" s="2036"/>
      <c r="AD23" s="1994">
        <f t="shared" si="2"/>
        <v>4.7</v>
      </c>
      <c r="AE23" s="1994"/>
      <c r="AF23" s="2038"/>
      <c r="AG23" s="2031">
        <f>'Exhibit G State'!AG23</f>
        <v>3.2</v>
      </c>
      <c r="AH23" s="3480"/>
      <c r="AI23" s="2006"/>
      <c r="AJ23" s="1441">
        <f>ROUND(SUM(+AD23-AG23),1)</f>
        <v>1.5</v>
      </c>
      <c r="AK23" s="2542"/>
      <c r="AL23" s="1436">
        <f>ROUND(IF(AG23=0,1,AJ23/ABS(AG23)),3)</f>
        <v>0.46899999999999997</v>
      </c>
    </row>
    <row r="24" spans="1:38" ht="15" customHeight="1">
      <c r="A24" s="2043"/>
      <c r="B24" s="2546" t="s">
        <v>1096</v>
      </c>
      <c r="C24" s="2043"/>
      <c r="D24" s="1999">
        <f>'Exhibit G State'!D24</f>
        <v>6.5</v>
      </c>
      <c r="E24" s="1441"/>
      <c r="F24" s="1999">
        <f>'Exhibit G State'!F24</f>
        <v>4.6999999999999993</v>
      </c>
      <c r="G24" s="1441"/>
      <c r="H24" s="1999">
        <f>'Exhibit G State'!H24</f>
        <v>6.5999999999999979</v>
      </c>
      <c r="J24" s="1999">
        <f>'Exhibit G State'!J24</f>
        <v>8.5000000000000036</v>
      </c>
      <c r="K24" s="2541"/>
      <c r="L24" s="1999">
        <f>'Exhibit G State'!L24</f>
        <v>9.0999999999999979</v>
      </c>
      <c r="M24" s="2541"/>
      <c r="N24" s="1999">
        <f>'Exhibit G State'!N24</f>
        <v>8.899999999999995</v>
      </c>
      <c r="O24" s="2541"/>
      <c r="P24" s="1999">
        <f>'Exhibit G State'!P24</f>
        <v>8.3000000000000149</v>
      </c>
      <c r="Q24" s="2541"/>
      <c r="R24" s="1999"/>
      <c r="S24" s="2541"/>
      <c r="T24" s="1999"/>
      <c r="U24" s="2541"/>
      <c r="V24" s="1999"/>
      <c r="W24" s="2541"/>
      <c r="X24" s="1999"/>
      <c r="Y24" s="2541"/>
      <c r="Z24" s="1999"/>
      <c r="AA24" s="1999"/>
      <c r="AB24" s="2005">
        <v>0</v>
      </c>
      <c r="AC24" s="2036"/>
      <c r="AD24" s="1994">
        <f t="shared" si="2"/>
        <v>52.6</v>
      </c>
      <c r="AE24" s="1994"/>
      <c r="AF24" s="2038"/>
      <c r="AG24" s="2031">
        <f>'Exhibit G State'!AG24</f>
        <v>66.5</v>
      </c>
      <c r="AH24" s="3480"/>
      <c r="AI24" s="2006"/>
      <c r="AJ24" s="1441">
        <f t="shared" si="0"/>
        <v>-13.9</v>
      </c>
      <c r="AK24" s="2542"/>
      <c r="AL24" s="1436">
        <f t="shared" si="1"/>
        <v>-0.20899999999999999</v>
      </c>
    </row>
    <row r="25" spans="1:38" ht="15" customHeight="1">
      <c r="A25" s="2043"/>
      <c r="B25" s="2546" t="s">
        <v>1097</v>
      </c>
      <c r="C25" s="2043"/>
      <c r="D25" s="1999">
        <f>'Exhibit G State'!D25</f>
        <v>0</v>
      </c>
      <c r="E25" s="1441"/>
      <c r="F25" s="1999">
        <f>'Exhibit G State'!F25</f>
        <v>0</v>
      </c>
      <c r="G25" s="1441"/>
      <c r="H25" s="1999">
        <f>'Exhibit G State'!H25</f>
        <v>0</v>
      </c>
      <c r="J25" s="1999">
        <f>'Exhibit G State'!J25</f>
        <v>0</v>
      </c>
      <c r="K25" s="2541"/>
      <c r="L25" s="1999">
        <f>'Exhibit G State'!L25</f>
        <v>0</v>
      </c>
      <c r="M25" s="2541"/>
      <c r="N25" s="1999">
        <f>'Exhibit G State'!N25</f>
        <v>0</v>
      </c>
      <c r="O25" s="2541"/>
      <c r="P25" s="1999">
        <f>'Exhibit G State'!P25</f>
        <v>0</v>
      </c>
      <c r="Q25" s="2541"/>
      <c r="R25" s="1999"/>
      <c r="S25" s="2541"/>
      <c r="T25" s="1999"/>
      <c r="U25" s="2541"/>
      <c r="V25" s="1999"/>
      <c r="W25" s="2541"/>
      <c r="X25" s="1999"/>
      <c r="Y25" s="2541"/>
      <c r="Z25" s="1999"/>
      <c r="AA25" s="1999"/>
      <c r="AB25" s="2005">
        <v>0</v>
      </c>
      <c r="AC25" s="2036"/>
      <c r="AD25" s="1994">
        <f t="shared" si="2"/>
        <v>0</v>
      </c>
      <c r="AE25" s="1994"/>
      <c r="AF25" s="2038"/>
      <c r="AG25" s="2031">
        <f>'Exhibit G State'!AG25</f>
        <v>0</v>
      </c>
      <c r="AH25" s="3480"/>
      <c r="AI25" s="2006"/>
      <c r="AJ25" s="1441">
        <f t="shared" si="0"/>
        <v>0</v>
      </c>
      <c r="AK25" s="2542"/>
      <c r="AL25" s="1436">
        <f t="shared" si="1"/>
        <v>0</v>
      </c>
    </row>
    <row r="26" spans="1:38" ht="15" customHeight="1">
      <c r="A26" s="2043"/>
      <c r="B26" s="2546" t="s">
        <v>1098</v>
      </c>
      <c r="C26" s="2043"/>
      <c r="D26" s="1999">
        <f>'Exhibit G State'!D26</f>
        <v>0</v>
      </c>
      <c r="E26" s="1441"/>
      <c r="F26" s="1999">
        <f>'Exhibit G State'!F26</f>
        <v>0.1</v>
      </c>
      <c r="G26" s="1441"/>
      <c r="H26" s="1999">
        <f>'Exhibit G State'!H26</f>
        <v>0</v>
      </c>
      <c r="J26" s="1999">
        <f>'Exhibit G State'!J26</f>
        <v>0</v>
      </c>
      <c r="K26" s="2541"/>
      <c r="L26" s="1999">
        <f>'Exhibit G State'!L26</f>
        <v>0.1</v>
      </c>
      <c r="M26" s="2541"/>
      <c r="N26" s="1999">
        <f>'Exhibit G State'!N26</f>
        <v>0</v>
      </c>
      <c r="O26" s="2541"/>
      <c r="P26" s="1999">
        <f>'Exhibit G State'!P26</f>
        <v>0</v>
      </c>
      <c r="Q26" s="2541"/>
      <c r="R26" s="1999"/>
      <c r="S26" s="2541"/>
      <c r="T26" s="1999"/>
      <c r="U26" s="2541"/>
      <c r="V26" s="1999"/>
      <c r="W26" s="2541"/>
      <c r="X26" s="1999"/>
      <c r="Y26" s="2541"/>
      <c r="Z26" s="1999"/>
      <c r="AA26" s="1999"/>
      <c r="AB26" s="2005">
        <v>0</v>
      </c>
      <c r="AC26" s="2036"/>
      <c r="AD26" s="1994">
        <f t="shared" si="2"/>
        <v>0.2</v>
      </c>
      <c r="AE26" s="1994"/>
      <c r="AF26" s="2038"/>
      <c r="AG26" s="2031">
        <f>'Exhibit G State'!AG26</f>
        <v>0.3</v>
      </c>
      <c r="AH26" s="3480"/>
      <c r="AI26" s="2006"/>
      <c r="AJ26" s="1441">
        <f t="shared" si="0"/>
        <v>-0.1</v>
      </c>
      <c r="AK26" s="2542"/>
      <c r="AL26" s="1477">
        <f>ROUND(IF(AG26=0,0,AJ26/ABS(AG26)),3)</f>
        <v>-0.33300000000000002</v>
      </c>
    </row>
    <row r="27" spans="1:38" ht="15" customHeight="1">
      <c r="A27" s="2043"/>
      <c r="B27" s="2233" t="s">
        <v>1441</v>
      </c>
      <c r="C27" s="2043"/>
      <c r="D27" s="1999">
        <f>'Exhibit G State'!D27</f>
        <v>0</v>
      </c>
      <c r="E27" s="1441"/>
      <c r="F27" s="1999">
        <f>'Exhibit G State'!F27</f>
        <v>0.1</v>
      </c>
      <c r="G27" s="1441"/>
      <c r="H27" s="1999">
        <f>'Exhibit G State'!H27</f>
        <v>11.700000000000001</v>
      </c>
      <c r="J27" s="1999">
        <f>'Exhibit G State'!J27</f>
        <v>-0.40000000000000036</v>
      </c>
      <c r="K27" s="2541"/>
      <c r="L27" s="1999">
        <f>'Exhibit G State'!L27</f>
        <v>-9.9999999999999645E-2</v>
      </c>
      <c r="M27" s="2541"/>
      <c r="N27" s="1999">
        <f>'Exhibit G State'!N27</f>
        <v>7.3999999999999968</v>
      </c>
      <c r="O27" s="2541"/>
      <c r="P27" s="1999">
        <f>'Exhibit G State'!P27</f>
        <v>0</v>
      </c>
      <c r="Q27" s="2541"/>
      <c r="R27" s="1999"/>
      <c r="S27" s="2541"/>
      <c r="T27" s="1999"/>
      <c r="U27" s="2541"/>
      <c r="V27" s="1999"/>
      <c r="W27" s="2541"/>
      <c r="X27" s="1999"/>
      <c r="Y27" s="2541"/>
      <c r="Z27" s="1999"/>
      <c r="AA27" s="1999"/>
      <c r="AB27" s="2005">
        <v>0</v>
      </c>
      <c r="AC27" s="2036"/>
      <c r="AD27" s="1994">
        <f t="shared" ref="AD27" si="3">ROUND(SUM(D27:Z27),1)</f>
        <v>18.7</v>
      </c>
      <c r="AE27" s="1994"/>
      <c r="AF27" s="2038"/>
      <c r="AG27" s="2031">
        <f>'Exhibit G State'!AG27</f>
        <v>0</v>
      </c>
      <c r="AH27" s="3480"/>
      <c r="AI27" s="2006"/>
      <c r="AJ27" s="1441">
        <f t="shared" ref="AJ27" si="4">ROUND(SUM(+AD27-AG27),1)</f>
        <v>18.7</v>
      </c>
      <c r="AK27" s="2542"/>
      <c r="AL27" s="1477">
        <f>ROUND(IF(AG27=0,1,AJ27/ABS(AG27)),3)</f>
        <v>1</v>
      </c>
    </row>
    <row r="28" spans="1:38" s="2427" customFormat="1" ht="15" customHeight="1">
      <c r="A28" s="2426"/>
      <c r="B28" s="2547" t="s">
        <v>1209</v>
      </c>
      <c r="C28" s="2426"/>
      <c r="D28" s="2032">
        <f>ROUND(SUM(D20:D27),1)</f>
        <v>156</v>
      </c>
      <c r="E28" s="2529"/>
      <c r="F28" s="2032">
        <f>ROUND(SUM(F20:F27),1)</f>
        <v>106.5</v>
      </c>
      <c r="G28" s="2529"/>
      <c r="H28" s="2473">
        <f>ROUND(SUM(H20:H27),1)</f>
        <v>148.19999999999999</v>
      </c>
      <c r="I28" s="2529"/>
      <c r="J28" s="2473">
        <f>ROUND(SUM(J20:J27),1)</f>
        <v>152.30000000000001</v>
      </c>
      <c r="K28" s="2529"/>
      <c r="L28" s="2032">
        <f>ROUND(SUM(L20:L27),1)</f>
        <v>146</v>
      </c>
      <c r="M28" s="2529"/>
      <c r="N28" s="2032">
        <f>ROUND(SUM(N20:N27),1)</f>
        <v>170.2</v>
      </c>
      <c r="O28" s="2529"/>
      <c r="P28" s="2032">
        <f>ROUND(SUM(P20:P27),1)</f>
        <v>144</v>
      </c>
      <c r="Q28" s="2529"/>
      <c r="R28" s="2032">
        <f>ROUND(SUM(R20:R27),1)</f>
        <v>0</v>
      </c>
      <c r="S28" s="2529"/>
      <c r="T28" s="2016">
        <f>ROUND(SUM(T20:T27),1)</f>
        <v>0</v>
      </c>
      <c r="U28" s="2529"/>
      <c r="V28" s="2032">
        <f>ROUND(SUM(V20:V27),1)</f>
        <v>0</v>
      </c>
      <c r="W28" s="2529"/>
      <c r="X28" s="2032">
        <f>ROUND(SUM(X20:X27),1)</f>
        <v>0</v>
      </c>
      <c r="Y28" s="2529"/>
      <c r="Z28" s="2032">
        <f>ROUND(SUM(Z20:Z27),1)</f>
        <v>0</v>
      </c>
      <c r="AA28" s="1442"/>
      <c r="AB28" s="2032">
        <f>ROUND(SUM(AB20:AB27),1)</f>
        <v>0</v>
      </c>
      <c r="AC28" s="2039"/>
      <c r="AD28" s="2016">
        <f>ROUND(SUM(AD20:AD27),1)</f>
        <v>1023.2</v>
      </c>
      <c r="AE28" s="2049"/>
      <c r="AF28" s="2553"/>
      <c r="AG28" s="2016">
        <f>ROUND(SUM(AG20:AG27),1)</f>
        <v>1169.9000000000001</v>
      </c>
      <c r="AH28" s="3483"/>
      <c r="AI28" s="1442"/>
      <c r="AJ28" s="2032">
        <f>ROUND(SUM(AJ20:AJ27),1)</f>
        <v>-146.69999999999999</v>
      </c>
      <c r="AL28" s="2548">
        <f>ROUND(SUM(+AJ28/AG28),3)</f>
        <v>-0.125</v>
      </c>
    </row>
    <row r="29" spans="1:38" ht="15" customHeight="1">
      <c r="A29" s="2043"/>
      <c r="B29" s="2540" t="s">
        <v>1141</v>
      </c>
      <c r="C29" s="2043"/>
      <c r="D29" s="2005"/>
      <c r="F29" s="2005"/>
      <c r="H29" s="1441"/>
      <c r="J29" s="1441"/>
      <c r="L29" s="2005"/>
      <c r="N29" s="2005"/>
      <c r="P29" s="2005"/>
      <c r="R29" s="2005"/>
      <c r="T29" s="1994"/>
      <c r="V29" s="2005"/>
      <c r="X29" s="2005"/>
      <c r="Z29" s="2005"/>
      <c r="AA29" s="2005"/>
      <c r="AB29" s="2005"/>
      <c r="AC29" s="2036"/>
      <c r="AD29" s="1994"/>
      <c r="AE29" s="1994"/>
      <c r="AF29" s="2038"/>
      <c r="AG29" s="1994"/>
      <c r="AH29" s="3480"/>
      <c r="AI29" s="2006"/>
      <c r="AJ29" s="1441"/>
      <c r="AL29" s="1430"/>
    </row>
    <row r="30" spans="1:38" s="2184" customFormat="1" ht="15" customHeight="1">
      <c r="A30" s="2464"/>
      <c r="B30" s="2546" t="s">
        <v>1100</v>
      </c>
      <c r="C30" s="2464"/>
      <c r="D30" s="1994">
        <f>'Exhibit G State'!D30</f>
        <v>57</v>
      </c>
      <c r="E30" s="1441"/>
      <c r="F30" s="1994">
        <f>'Exhibit G State'!F30</f>
        <v>-3.1999999999999957</v>
      </c>
      <c r="G30" s="1441"/>
      <c r="H30" s="1994">
        <f>'Exhibit G State'!H30</f>
        <v>110.1</v>
      </c>
      <c r="I30" s="2529"/>
      <c r="J30" s="1994">
        <f>'Exhibit G State'!J30</f>
        <v>113.99999999999997</v>
      </c>
      <c r="K30" s="2541"/>
      <c r="L30" s="1994">
        <f>'Exhibit G State'!L30</f>
        <v>11.700000000000045</v>
      </c>
      <c r="M30" s="2541"/>
      <c r="N30" s="1994">
        <f>'Exhibit G State'!N30</f>
        <v>165.69999999999996</v>
      </c>
      <c r="O30" s="2541"/>
      <c r="P30" s="1994">
        <f>'Exhibit G State'!P30</f>
        <v>40.700000000000045</v>
      </c>
      <c r="Q30" s="2541"/>
      <c r="R30" s="1994"/>
      <c r="S30" s="2541"/>
      <c r="T30" s="1994"/>
      <c r="U30" s="2541"/>
      <c r="V30" s="1994"/>
      <c r="W30" s="2541"/>
      <c r="X30" s="1994"/>
      <c r="Y30" s="2541"/>
      <c r="Z30" s="1994"/>
      <c r="AA30" s="1994"/>
      <c r="AB30" s="1994">
        <v>0</v>
      </c>
      <c r="AC30" s="2038"/>
      <c r="AD30" s="1994">
        <f>ROUND(SUM(D30:Z30),1)</f>
        <v>496</v>
      </c>
      <c r="AE30" s="1994"/>
      <c r="AF30" s="2038"/>
      <c r="AG30" s="1994">
        <f>'Exhibit G State'!AG30</f>
        <v>519.6</v>
      </c>
      <c r="AH30" s="3480"/>
      <c r="AI30" s="1976"/>
      <c r="AJ30" s="1999">
        <f>ROUND(SUM(+AD30-AG30),1)</f>
        <v>-23.6</v>
      </c>
      <c r="AK30" s="2549"/>
      <c r="AL30" s="1723">
        <f>ROUND(IF(AG30=0,0,AJ30/ABS(AG30)),3)</f>
        <v>-4.4999999999999998E-2</v>
      </c>
    </row>
    <row r="31" spans="1:38" s="2184" customFormat="1" ht="15" customHeight="1">
      <c r="A31" s="2464"/>
      <c r="B31" s="2546" t="s">
        <v>1101</v>
      </c>
      <c r="C31" s="2464"/>
      <c r="D31" s="1994">
        <f>'Exhibit G State'!D31</f>
        <v>2.2000000000000002</v>
      </c>
      <c r="E31" s="1441"/>
      <c r="F31" s="1994">
        <f>'Exhibit G State'!F31</f>
        <v>-6.9</v>
      </c>
      <c r="G31" s="1441"/>
      <c r="H31" s="1994">
        <f>'Exhibit G State'!H31</f>
        <v>20.5</v>
      </c>
      <c r="I31" s="2529"/>
      <c r="J31" s="1994">
        <f>'Exhibit G State'!J31</f>
        <v>17</v>
      </c>
      <c r="K31" s="2541"/>
      <c r="L31" s="1994">
        <f>'Exhibit G State'!L31</f>
        <v>-1.3999999999999986</v>
      </c>
      <c r="M31" s="2541"/>
      <c r="N31" s="1994">
        <f>'Exhibit G State'!N31</f>
        <v>24.399999999999991</v>
      </c>
      <c r="O31" s="2541"/>
      <c r="P31" s="1994">
        <f>'Exhibit G State'!P31</f>
        <v>4.1000000000000014</v>
      </c>
      <c r="Q31" s="2541"/>
      <c r="R31" s="1994"/>
      <c r="S31" s="2541"/>
      <c r="T31" s="1994"/>
      <c r="U31" s="2541"/>
      <c r="V31" s="1994"/>
      <c r="W31" s="2541"/>
      <c r="X31" s="1994"/>
      <c r="Y31" s="2541"/>
      <c r="Z31" s="1994"/>
      <c r="AA31" s="1994"/>
      <c r="AB31" s="1994">
        <v>0</v>
      </c>
      <c r="AC31" s="2038"/>
      <c r="AD31" s="1994">
        <f>ROUND(SUM(D31:Z31),1)</f>
        <v>59.9</v>
      </c>
      <c r="AE31" s="1994"/>
      <c r="AF31" s="2038"/>
      <c r="AG31" s="1994">
        <f>'Exhibit G State'!AG31</f>
        <v>78.900000000000006</v>
      </c>
      <c r="AH31" s="3480"/>
      <c r="AI31" s="1976"/>
      <c r="AJ31" s="1999">
        <f>ROUND(SUM(+AD31-AG31),1)</f>
        <v>-19</v>
      </c>
      <c r="AK31" s="2549"/>
      <c r="AL31" s="1723">
        <f>ROUND(IF(AG31=0,0,AJ31/ABS(AG31)),3)</f>
        <v>-0.24099999999999999</v>
      </c>
    </row>
    <row r="32" spans="1:38" s="2184" customFormat="1" ht="15" customHeight="1">
      <c r="A32" s="2464"/>
      <c r="B32" s="2546" t="s">
        <v>1102</v>
      </c>
      <c r="C32" s="2464"/>
      <c r="D32" s="1994">
        <f>'Exhibit G State'!D32</f>
        <v>7.2</v>
      </c>
      <c r="E32" s="1441"/>
      <c r="F32" s="1994">
        <f>'Exhibit G State'!F32</f>
        <v>-0.39999999999999947</v>
      </c>
      <c r="G32" s="1441"/>
      <c r="H32" s="1994">
        <f>'Exhibit G State'!H32</f>
        <v>38.599999999999994</v>
      </c>
      <c r="I32" s="2529"/>
      <c r="J32" s="1994">
        <f>'Exhibit G State'!J32</f>
        <v>4.4000000000000057</v>
      </c>
      <c r="K32" s="2541"/>
      <c r="L32" s="1994">
        <f>'Exhibit G State'!L32</f>
        <v>0.39999999999999858</v>
      </c>
      <c r="M32" s="2541"/>
      <c r="N32" s="1994">
        <f>'Exhibit G State'!N32</f>
        <v>43.300000000000004</v>
      </c>
      <c r="O32" s="2541"/>
      <c r="P32" s="1994">
        <f>'Exhibit G State'!P32</f>
        <v>1.2000000000000028</v>
      </c>
      <c r="Q32" s="2541"/>
      <c r="R32" s="1994"/>
      <c r="S32" s="2541"/>
      <c r="T32" s="1994"/>
      <c r="U32" s="2541"/>
      <c r="V32" s="1994"/>
      <c r="W32" s="2541"/>
      <c r="X32" s="1994"/>
      <c r="Y32" s="2541"/>
      <c r="Z32" s="1994"/>
      <c r="AA32" s="1994"/>
      <c r="AB32" s="1994">
        <v>0</v>
      </c>
      <c r="AC32" s="2038"/>
      <c r="AD32" s="1994">
        <f>ROUND(SUM(D32:Z32),1)</f>
        <v>94.7</v>
      </c>
      <c r="AE32" s="1994"/>
      <c r="AF32" s="2038"/>
      <c r="AG32" s="1994">
        <f>'Exhibit G State'!AG32</f>
        <v>121.3</v>
      </c>
      <c r="AH32" s="3480"/>
      <c r="AI32" s="1976"/>
      <c r="AJ32" s="1999">
        <f>ROUND(SUM(+AD32-AG32),1)</f>
        <v>-26.6</v>
      </c>
      <c r="AK32" s="2549"/>
      <c r="AL32" s="1728">
        <f>ROUND(IF(AG32=0,0,AJ32/ABS(AG32)),3)</f>
        <v>-0.219</v>
      </c>
    </row>
    <row r="33" spans="1:38" s="2184" customFormat="1" ht="15" customHeight="1">
      <c r="A33" s="2464"/>
      <c r="B33" s="2546" t="s">
        <v>1103</v>
      </c>
      <c r="C33" s="2464"/>
      <c r="D33" s="1994">
        <f>'Exhibit G State'!D33</f>
        <v>1.3</v>
      </c>
      <c r="E33" s="1441"/>
      <c r="F33" s="1994">
        <f>'Exhibit G State'!F33</f>
        <v>0.59999999999999987</v>
      </c>
      <c r="G33" s="1441"/>
      <c r="H33" s="1994">
        <f>'Exhibit G State'!H33</f>
        <v>12.9</v>
      </c>
      <c r="I33" s="2529"/>
      <c r="J33" s="1994">
        <f>'Exhibit G State'!J33</f>
        <v>0</v>
      </c>
      <c r="K33" s="2541"/>
      <c r="L33" s="1994">
        <f>'Exhibit G State'!L33</f>
        <v>6.0999999999999961</v>
      </c>
      <c r="M33" s="2541"/>
      <c r="N33" s="1994">
        <f>'Exhibit G State'!N33</f>
        <v>-3.0999999999999961</v>
      </c>
      <c r="O33" s="2541"/>
      <c r="P33" s="1994">
        <f>'Exhibit G State'!P33</f>
        <v>0.49999999999999822</v>
      </c>
      <c r="Q33" s="2541"/>
      <c r="R33" s="1994"/>
      <c r="S33" s="2541"/>
      <c r="T33" s="1994"/>
      <c r="U33" s="2541"/>
      <c r="V33" s="1994"/>
      <c r="W33" s="2541"/>
      <c r="X33" s="1994"/>
      <c r="Y33" s="2541"/>
      <c r="Z33" s="1994"/>
      <c r="AA33" s="1994"/>
      <c r="AB33" s="1994">
        <v>0</v>
      </c>
      <c r="AC33" s="2038"/>
      <c r="AD33" s="1994">
        <f>ROUND(SUM(D33:Z33),1)</f>
        <v>18.3</v>
      </c>
      <c r="AE33" s="1994"/>
      <c r="AF33" s="2038"/>
      <c r="AG33" s="1994">
        <f>'Exhibit G State'!AG33</f>
        <v>3.3</v>
      </c>
      <c r="AH33" s="3480"/>
      <c r="AI33" s="1976"/>
      <c r="AJ33" s="1999">
        <f>ROUND(SUM(+AD33-AG33),1)</f>
        <v>15</v>
      </c>
      <c r="AK33" s="2549"/>
      <c r="AL33" s="1728">
        <f>ROUND(IF(AG33=0,0,AJ33/ABS(AG33)),3)</f>
        <v>4.5449999999999999</v>
      </c>
    </row>
    <row r="34" spans="1:38" s="2184" customFormat="1" ht="15" customHeight="1">
      <c r="A34" s="2464"/>
      <c r="B34" s="2546" t="s">
        <v>1104</v>
      </c>
      <c r="C34" s="2464"/>
      <c r="D34" s="1994">
        <f>'Exhibit G State'!D34</f>
        <v>30.3</v>
      </c>
      <c r="E34" s="1441"/>
      <c r="F34" s="1994">
        <f>'Exhibit G State'!F34</f>
        <v>17.599999999999998</v>
      </c>
      <c r="G34" s="1441"/>
      <c r="H34" s="1994">
        <f>'Exhibit G State'!H34</f>
        <v>37.700000000000003</v>
      </c>
      <c r="I34" s="2529"/>
      <c r="J34" s="1994">
        <f>'Exhibit G State'!J34</f>
        <v>38.800000000000011</v>
      </c>
      <c r="K34" s="2541"/>
      <c r="L34" s="1994">
        <f>'Exhibit G State'!L34</f>
        <v>38.699999999999974</v>
      </c>
      <c r="M34" s="2541"/>
      <c r="N34" s="1994">
        <f>'Exhibit G State'!N34</f>
        <v>43.200000000000017</v>
      </c>
      <c r="O34" s="2541"/>
      <c r="P34" s="1994">
        <f>'Exhibit G State'!P34</f>
        <v>39.600000000000009</v>
      </c>
      <c r="Q34" s="2541"/>
      <c r="R34" s="1994"/>
      <c r="S34" s="2541"/>
      <c r="T34" s="1994"/>
      <c r="U34" s="2541"/>
      <c r="V34" s="1994"/>
      <c r="W34" s="2541"/>
      <c r="X34" s="1994"/>
      <c r="Y34" s="2541"/>
      <c r="Z34" s="1994"/>
      <c r="AA34" s="1994"/>
      <c r="AB34" s="1994">
        <v>0</v>
      </c>
      <c r="AC34" s="2038"/>
      <c r="AD34" s="1994">
        <f>ROUND(SUM(D34:Z34),1)</f>
        <v>245.9</v>
      </c>
      <c r="AE34" s="1994"/>
      <c r="AF34" s="2038"/>
      <c r="AG34" s="1994">
        <f>'Exhibit G State'!AG34</f>
        <v>312.8</v>
      </c>
      <c r="AH34" s="3480"/>
      <c r="AI34" s="1976"/>
      <c r="AJ34" s="1999">
        <f>ROUND(SUM(+AD34-AG34),1)</f>
        <v>-66.900000000000006</v>
      </c>
      <c r="AK34" s="2549"/>
      <c r="AL34" s="1723">
        <f>ROUND(IF(AG34=0,0,AJ34/ABS(AG34)),3)</f>
        <v>-0.214</v>
      </c>
    </row>
    <row r="35" spans="1:38" s="2427" customFormat="1" ht="15" customHeight="1">
      <c r="A35" s="2426"/>
      <c r="B35" s="2547" t="s">
        <v>1210</v>
      </c>
      <c r="C35" s="2426"/>
      <c r="D35" s="2032">
        <f t="shared" ref="D35:F35" si="5">ROUND(SUM(D30:D34),1)</f>
        <v>98</v>
      </c>
      <c r="E35" s="2529"/>
      <c r="F35" s="2032">
        <f t="shared" si="5"/>
        <v>7.7</v>
      </c>
      <c r="G35" s="2529"/>
      <c r="H35" s="2473">
        <f>ROUND(SUM(H30:H34),1)</f>
        <v>219.8</v>
      </c>
      <c r="I35" s="2529"/>
      <c r="J35" s="2473">
        <f>ROUND(SUM(J30:J34),1)</f>
        <v>174.2</v>
      </c>
      <c r="K35" s="2529"/>
      <c r="L35" s="2032">
        <f t="shared" ref="L35:V35" si="6">ROUND(SUM(L30:L34),1)</f>
        <v>55.5</v>
      </c>
      <c r="M35" s="2529"/>
      <c r="N35" s="2032">
        <f t="shared" ref="N35:P35" si="7">ROUND(SUM(N30:N34),1)</f>
        <v>273.5</v>
      </c>
      <c r="O35" s="2529"/>
      <c r="P35" s="2032">
        <f t="shared" si="7"/>
        <v>86.1</v>
      </c>
      <c r="Q35" s="2529"/>
      <c r="R35" s="2032">
        <f t="shared" ref="R35" si="8">ROUND(SUM(R30:R34),1)</f>
        <v>0</v>
      </c>
      <c r="S35" s="2529"/>
      <c r="T35" s="2016">
        <f t="shared" si="6"/>
        <v>0</v>
      </c>
      <c r="U35" s="2529"/>
      <c r="V35" s="2032">
        <f t="shared" si="6"/>
        <v>0</v>
      </c>
      <c r="W35" s="2529"/>
      <c r="X35" s="2032">
        <f t="shared" ref="X35:Z35" si="9">ROUND(SUM(X30:X34),1)</f>
        <v>0</v>
      </c>
      <c r="Y35" s="2529"/>
      <c r="Z35" s="2032">
        <f t="shared" si="9"/>
        <v>0</v>
      </c>
      <c r="AA35" s="1442"/>
      <c r="AB35" s="2032">
        <f>SUM(AB30:AB34)</f>
        <v>0</v>
      </c>
      <c r="AC35" s="2039"/>
      <c r="AD35" s="2016">
        <f>ROUND(SUM(AD30:AD34),1)</f>
        <v>914.8</v>
      </c>
      <c r="AE35" s="2049"/>
      <c r="AF35" s="2553"/>
      <c r="AG35" s="2016">
        <f>ROUND(SUM(AG30:AG34),1)</f>
        <v>1035.9000000000001</v>
      </c>
      <c r="AH35" s="3483"/>
      <c r="AI35" s="1442"/>
      <c r="AJ35" s="2032">
        <f>ROUND(SUM(AJ30:AJ34),1)</f>
        <v>-121.1</v>
      </c>
      <c r="AL35" s="1432">
        <f>ROUND(SUM(+AJ35/AG35),3)</f>
        <v>-0.11700000000000001</v>
      </c>
    </row>
    <row r="36" spans="1:38" ht="15" customHeight="1">
      <c r="A36" s="2043"/>
      <c r="B36" s="2550"/>
      <c r="C36" s="2043"/>
      <c r="D36" s="2006"/>
      <c r="F36" s="2006"/>
      <c r="H36" s="2476"/>
      <c r="J36" s="2476"/>
      <c r="L36" s="2006"/>
      <c r="N36" s="2006"/>
      <c r="P36" s="2006"/>
      <c r="R36" s="2006"/>
      <c r="T36" s="1976"/>
      <c r="V36" s="2006"/>
      <c r="X36" s="2006"/>
      <c r="Z36" s="2006"/>
      <c r="AA36" s="2006"/>
      <c r="AB36" s="2005"/>
      <c r="AC36" s="2036"/>
      <c r="AD36" s="1976"/>
      <c r="AE36" s="1994"/>
      <c r="AF36" s="2038"/>
      <c r="AG36" s="1976"/>
      <c r="AH36" s="3480"/>
      <c r="AI36" s="2006"/>
      <c r="AJ36" s="2476"/>
      <c r="AK36" s="2020"/>
      <c r="AL36" s="1445"/>
    </row>
    <row r="37" spans="1:38" ht="15" customHeight="1">
      <c r="A37" s="2043"/>
      <c r="B37" s="2547" t="s">
        <v>1211</v>
      </c>
      <c r="C37" s="2043"/>
      <c r="D37" s="2051">
        <f>ROUND(SUM(D17+D28+D35),1)</f>
        <v>254</v>
      </c>
      <c r="F37" s="2051">
        <f>ROUND(SUM(F17+F28+F35),1)</f>
        <v>114.2</v>
      </c>
      <c r="H37" s="2051">
        <f>ROUND(SUM(H17+H28+H35),1)</f>
        <v>368</v>
      </c>
      <c r="J37" s="2051">
        <f>ROUND(SUM(J17+J28+J35),1)</f>
        <v>326.5</v>
      </c>
      <c r="L37" s="2051">
        <f>ROUND(SUM(L17+L28+L35),1)</f>
        <v>201.5</v>
      </c>
      <c r="N37" s="2051">
        <f>ROUND(SUM(N17+N28+N35),1)</f>
        <v>443.8</v>
      </c>
      <c r="P37" s="2051">
        <f>ROUND(SUM(P17+P28+P35),1)</f>
        <v>230.2</v>
      </c>
      <c r="R37" s="2051">
        <f>ROUND(SUM(R17+R28+R35),1)</f>
        <v>0</v>
      </c>
      <c r="T37" s="2051">
        <f>ROUND(SUM(T17+T28+T35),1)</f>
        <v>0</v>
      </c>
      <c r="V37" s="2051">
        <f>ROUND(SUM(V17+V28+V35),1)</f>
        <v>0</v>
      </c>
      <c r="X37" s="2051">
        <f>ROUND(SUM(X17+X28+X35),1)</f>
        <v>0</v>
      </c>
      <c r="Z37" s="2051">
        <f>ROUND(SUM(Z17+Z28+Z35),1)</f>
        <v>0</v>
      </c>
      <c r="AA37" s="1442"/>
      <c r="AB37" s="2051">
        <f>ROUND(SUM(AB17+AB28+AB35),1)</f>
        <v>0</v>
      </c>
      <c r="AC37" s="2036"/>
      <c r="AD37" s="2053">
        <f>ROUND(SUM(AD17+AD28+AD35),1)</f>
        <v>1938.2</v>
      </c>
      <c r="AE37" s="1994"/>
      <c r="AF37" s="2038"/>
      <c r="AG37" s="2053">
        <f>ROUND(SUM(AG17+AG28+AG35),1)</f>
        <v>2206</v>
      </c>
      <c r="AH37" s="3480"/>
      <c r="AI37" s="2006"/>
      <c r="AJ37" s="2051">
        <f>ROUND(SUM(AJ17+AJ28+AJ35),1)</f>
        <v>-267.8</v>
      </c>
      <c r="AL37" s="1433">
        <f>ROUND(SUM(+AJ37/AG37),3)</f>
        <v>-0.121</v>
      </c>
    </row>
    <row r="38" spans="1:38" ht="15" customHeight="1">
      <c r="A38" s="2043"/>
      <c r="B38" s="2043"/>
      <c r="C38" s="2043"/>
      <c r="D38" s="2549"/>
      <c r="F38" s="2549"/>
      <c r="H38" s="2551"/>
      <c r="J38" s="2551"/>
      <c r="L38" s="2551"/>
      <c r="N38" s="2551"/>
      <c r="P38" s="2551"/>
      <c r="R38" s="2551"/>
      <c r="T38" s="1993"/>
      <c r="V38" s="2014"/>
      <c r="X38" s="2014"/>
      <c r="Z38" s="2014"/>
      <c r="AA38" s="2549"/>
      <c r="AB38" s="2005"/>
      <c r="AC38" s="2036"/>
      <c r="AD38" s="1994"/>
      <c r="AE38" s="1994"/>
      <c r="AF38" s="2038"/>
      <c r="AG38" s="2119"/>
      <c r="AH38" s="3484"/>
      <c r="AI38" s="2006"/>
      <c r="AJ38" s="1441"/>
      <c r="AK38" s="2542"/>
      <c r="AL38" s="1430"/>
    </row>
    <row r="39" spans="1:38" ht="15" customHeight="1">
      <c r="A39" s="2043"/>
      <c r="B39" s="2461" t="s">
        <v>1014</v>
      </c>
      <c r="C39" s="2043"/>
      <c r="D39" s="2549"/>
      <c r="F39" s="2549"/>
      <c r="H39" s="2551"/>
      <c r="J39" s="2551"/>
      <c r="L39" s="2551"/>
      <c r="N39" s="2551"/>
      <c r="P39" s="2551"/>
      <c r="R39" s="2551"/>
      <c r="T39" s="1993"/>
      <c r="V39" s="2014"/>
      <c r="X39" s="2014"/>
      <c r="Z39" s="2014"/>
      <c r="AA39" s="2549"/>
      <c r="AB39" s="2005"/>
      <c r="AC39" s="2036"/>
      <c r="AD39" s="1994"/>
      <c r="AE39" s="1994"/>
      <c r="AF39" s="2038"/>
      <c r="AG39" s="2119"/>
      <c r="AH39" s="3484"/>
      <c r="AI39" s="2006"/>
      <c r="AJ39" s="1441"/>
      <c r="AK39" s="2542"/>
      <c r="AL39" s="1430"/>
    </row>
    <row r="40" spans="1:38" ht="15" customHeight="1">
      <c r="A40" s="2043"/>
      <c r="B40" s="2484" t="s">
        <v>1133</v>
      </c>
      <c r="C40" s="2043"/>
      <c r="D40" s="2549"/>
      <c r="F40" s="2549"/>
      <c r="H40" s="2551"/>
      <c r="J40" s="2551"/>
      <c r="L40" s="2551"/>
      <c r="N40" s="2551"/>
      <c r="P40" s="2551"/>
      <c r="R40" s="2551"/>
      <c r="T40" s="1993"/>
      <c r="V40" s="2014"/>
      <c r="X40" s="2014"/>
      <c r="Z40" s="2014"/>
      <c r="AA40" s="2549"/>
      <c r="AB40" s="2005"/>
      <c r="AC40" s="2036"/>
      <c r="AD40" s="1994"/>
      <c r="AE40" s="1994"/>
      <c r="AF40" s="2038"/>
      <c r="AG40" s="2119"/>
      <c r="AH40" s="3484"/>
      <c r="AI40" s="2006"/>
      <c r="AJ40" s="1441"/>
      <c r="AK40" s="2542"/>
      <c r="AL40" s="1430"/>
    </row>
    <row r="41" spans="1:38" s="2184" customFormat="1" ht="15" customHeight="1">
      <c r="A41" s="2464"/>
      <c r="B41" s="2484" t="s">
        <v>1047</v>
      </c>
      <c r="C41" s="2464"/>
      <c r="D41" s="2031">
        <f>'Exhibit G State'!D41+'Exhibit G Federal'!D19</f>
        <v>1.2000000000000002</v>
      </c>
      <c r="E41" s="2551"/>
      <c r="F41" s="2031">
        <f>'Exhibit G State'!F41+'Exhibit G Federal'!F19</f>
        <v>0.69999999999999973</v>
      </c>
      <c r="G41" s="2551"/>
      <c r="H41" s="2031">
        <f>'Exhibit G State'!H41+'Exhibit G Federal'!H19</f>
        <v>0.80000000000000027</v>
      </c>
      <c r="I41" s="2529"/>
      <c r="J41" s="2031">
        <f>'Exhibit G State'!J41+'Exhibit G Federal'!J19</f>
        <v>0.89999999999999991</v>
      </c>
      <c r="K41" s="2541"/>
      <c r="L41" s="2031">
        <f>'Exhibit G State'!L41+'Exhibit G Federal'!L19</f>
        <v>0.80000000000000027</v>
      </c>
      <c r="M41" s="2541"/>
      <c r="N41" s="2031">
        <f>'Exhibit G State'!N41+'Exhibit G Federal'!N19</f>
        <v>1.1999999999999993</v>
      </c>
      <c r="O41" s="2541"/>
      <c r="P41" s="2031">
        <f>'Exhibit G State'!P41+'Exhibit G Federal'!P19</f>
        <v>0.80000000000000027</v>
      </c>
      <c r="Q41" s="2541"/>
      <c r="R41" s="2031"/>
      <c r="S41" s="2541"/>
      <c r="T41" s="2031"/>
      <c r="U41" s="2541"/>
      <c r="V41" s="2031"/>
      <c r="W41" s="2541"/>
      <c r="X41" s="2031"/>
      <c r="Y41" s="2541"/>
      <c r="Z41" s="2031"/>
      <c r="AA41" s="2031"/>
      <c r="AB41" s="1994">
        <v>0</v>
      </c>
      <c r="AC41" s="2038"/>
      <c r="AD41" s="1994">
        <f t="shared" ref="AD41:AD82" si="10">ROUND(SUM(D41:Z41),1)</f>
        <v>6.4</v>
      </c>
      <c r="AE41" s="1994"/>
      <c r="AF41" s="2038"/>
      <c r="AG41" s="2031">
        <f>'Exhibit G State'!AG41+'Exhibit G Federal'!AG19</f>
        <v>6.8</v>
      </c>
      <c r="AH41" s="3484"/>
      <c r="AI41" s="1976"/>
      <c r="AJ41" s="1999">
        <f>ROUND(SUM(+AD41-AG41),1)</f>
        <v>-0.4</v>
      </c>
      <c r="AK41" s="2549"/>
      <c r="AL41" s="1723">
        <f>ROUND(IF(AG41=0,0,AJ41/ABS(AG41)),3)</f>
        <v>-5.8999999999999997E-2</v>
      </c>
    </row>
    <row r="42" spans="1:38" s="2184" customFormat="1" ht="15" customHeight="1">
      <c r="A42" s="2464"/>
      <c r="B42" s="2484" t="s">
        <v>1134</v>
      </c>
      <c r="C42" s="2464"/>
      <c r="D42" s="2031"/>
      <c r="E42" s="2529"/>
      <c r="F42" s="2031"/>
      <c r="G42" s="2529"/>
      <c r="H42" s="2031"/>
      <c r="I42" s="2529"/>
      <c r="J42" s="2031"/>
      <c r="K42" s="2541"/>
      <c r="L42" s="2031"/>
      <c r="M42" s="2541"/>
      <c r="N42" s="2031"/>
      <c r="O42" s="2541"/>
      <c r="P42" s="2031"/>
      <c r="Q42" s="2541"/>
      <c r="R42" s="2031"/>
      <c r="S42" s="2541"/>
      <c r="T42" s="2031"/>
      <c r="U42" s="2541"/>
      <c r="V42" s="2031"/>
      <c r="W42" s="2541"/>
      <c r="X42" s="2031"/>
      <c r="Y42" s="2541"/>
      <c r="Z42" s="2031"/>
      <c r="AA42" s="2031"/>
      <c r="AB42" s="1994"/>
      <c r="AC42" s="2038"/>
      <c r="AD42" s="1994"/>
      <c r="AE42" s="1994"/>
      <c r="AF42" s="2038"/>
      <c r="AG42" s="2031"/>
      <c r="AH42" s="3484"/>
      <c r="AI42" s="1976"/>
      <c r="AJ42" s="1999"/>
      <c r="AK42" s="2549"/>
      <c r="AL42" s="1817"/>
    </row>
    <row r="43" spans="1:38" s="2184" customFormat="1" ht="15" customHeight="1">
      <c r="A43" s="2464"/>
      <c r="B43" s="2484" t="s">
        <v>1049</v>
      </c>
      <c r="C43" s="2464"/>
      <c r="D43" s="2031">
        <f>'Exhibit G State'!D43+'Exhibit G Federal'!D21</f>
        <v>46.7</v>
      </c>
      <c r="E43" s="2031"/>
      <c r="F43" s="2031">
        <f>'Exhibit G State'!F43+'Exhibit G Federal'!F21</f>
        <v>62.4</v>
      </c>
      <c r="G43" s="2031"/>
      <c r="H43" s="2031">
        <f>'Exhibit G State'!H43+'Exhibit G Federal'!H21</f>
        <v>82.6</v>
      </c>
      <c r="I43" s="2529"/>
      <c r="J43" s="2031">
        <f>'Exhibit G State'!J43+'Exhibit G Federal'!J21</f>
        <v>71.499999999999986</v>
      </c>
      <c r="K43" s="2541"/>
      <c r="L43" s="2031">
        <f>'Exhibit G State'!L43+'Exhibit G Federal'!L21</f>
        <v>40.999999999999979</v>
      </c>
      <c r="M43" s="2541"/>
      <c r="N43" s="2031">
        <f>'Exhibit G State'!N43+'Exhibit G Federal'!N21</f>
        <v>65.600000000000051</v>
      </c>
      <c r="O43" s="2541"/>
      <c r="P43" s="2031">
        <f>'Exhibit G State'!P43+'Exhibit G Federal'!P21</f>
        <v>90.300000000000011</v>
      </c>
      <c r="Q43" s="2541"/>
      <c r="R43" s="2031"/>
      <c r="S43" s="2541"/>
      <c r="T43" s="2031"/>
      <c r="U43" s="2541"/>
      <c r="V43" s="2031"/>
      <c r="W43" s="2541"/>
      <c r="X43" s="2031"/>
      <c r="Y43" s="2541"/>
      <c r="Z43" s="2031"/>
      <c r="AA43" s="2031"/>
      <c r="AB43" s="1994">
        <v>0</v>
      </c>
      <c r="AC43" s="2038"/>
      <c r="AD43" s="1994">
        <f>ROUND(SUM(D43:Z43),1)</f>
        <v>460.1</v>
      </c>
      <c r="AE43" s="1994"/>
      <c r="AF43" s="2038"/>
      <c r="AG43" s="2031">
        <f>'Exhibit G State'!AG43+'Exhibit G Federal'!AG21</f>
        <v>483.5</v>
      </c>
      <c r="AH43" s="3484"/>
      <c r="AI43" s="1976"/>
      <c r="AJ43" s="1999">
        <f>ROUND(SUM(+AD43-AG43),1)</f>
        <v>-23.4</v>
      </c>
      <c r="AK43" s="2549"/>
      <c r="AL43" s="1723">
        <f>ROUND(IF(AG43=0,0,AJ43/ABS(AG43)),3)</f>
        <v>-4.8000000000000001E-2</v>
      </c>
    </row>
    <row r="44" spans="1:38" s="2184" customFormat="1" ht="15" customHeight="1">
      <c r="A44" s="2464"/>
      <c r="B44" s="2484" t="s">
        <v>1050</v>
      </c>
      <c r="C44" s="2464"/>
      <c r="D44" s="2031">
        <f>'Exhibit G State'!D44+'Exhibit G Federal'!D22</f>
        <v>569.29999999999995</v>
      </c>
      <c r="E44" s="2031"/>
      <c r="F44" s="2031">
        <f>'Exhibit G State'!F44+'Exhibit G Federal'!F22</f>
        <v>464.70000000000005</v>
      </c>
      <c r="G44" s="2031"/>
      <c r="H44" s="2031">
        <f>'Exhibit G State'!H44+'Exhibit G Federal'!H22</f>
        <v>504.40000000000009</v>
      </c>
      <c r="I44" s="2529"/>
      <c r="J44" s="2031">
        <f>'Exhibit G State'!J44+'Exhibit G Federal'!J22</f>
        <v>440.79999999999995</v>
      </c>
      <c r="K44" s="2541"/>
      <c r="L44" s="2031">
        <f>'Exhibit G State'!L44+'Exhibit G Federal'!L22</f>
        <v>461.49999999999977</v>
      </c>
      <c r="M44" s="2541"/>
      <c r="N44" s="2031">
        <f>'Exhibit G State'!N44+'Exhibit G Federal'!N22</f>
        <v>517.29999999999995</v>
      </c>
      <c r="O44" s="2541"/>
      <c r="P44" s="2031">
        <f>'Exhibit G State'!P44+'Exhibit G Federal'!P22</f>
        <v>505.70000000000005</v>
      </c>
      <c r="Q44" s="2541"/>
      <c r="R44" s="2031"/>
      <c r="S44" s="2541"/>
      <c r="T44" s="2031"/>
      <c r="U44" s="2541"/>
      <c r="V44" s="2031"/>
      <c r="W44" s="2541"/>
      <c r="X44" s="2031"/>
      <c r="Y44" s="2541"/>
      <c r="Z44" s="2031"/>
      <c r="AA44" s="2031"/>
      <c r="AB44" s="1994">
        <v>0</v>
      </c>
      <c r="AC44" s="2038"/>
      <c r="AD44" s="1999">
        <f t="shared" si="10"/>
        <v>3463.7</v>
      </c>
      <c r="AE44" s="1994"/>
      <c r="AF44" s="2038"/>
      <c r="AG44" s="2031">
        <f>'Exhibit G State'!AG44+'Exhibit G Federal'!AG22</f>
        <v>3804.4</v>
      </c>
      <c r="AH44" s="3484"/>
      <c r="AI44" s="1976"/>
      <c r="AJ44" s="1999">
        <f>ROUND(SUM(+AD44-AG44),1)</f>
        <v>-340.7</v>
      </c>
      <c r="AK44" s="2549"/>
      <c r="AL44" s="1723">
        <f>ROUND(IF(AG44=0,0,AJ44/ABS(AG44)),3)</f>
        <v>-0.09</v>
      </c>
    </row>
    <row r="45" spans="1:38" s="2184" customFormat="1" ht="15" customHeight="1">
      <c r="A45" s="2464"/>
      <c r="B45" s="2484" t="s">
        <v>1051</v>
      </c>
      <c r="C45" s="2464"/>
      <c r="D45" s="2031">
        <f>'Exhibit G State'!D45+'Exhibit G Federal'!D23</f>
        <v>0.1</v>
      </c>
      <c r="E45" s="2031"/>
      <c r="F45" s="2031">
        <f>'Exhibit G State'!F45+'Exhibit G Federal'!F23</f>
        <v>0</v>
      </c>
      <c r="G45" s="2031"/>
      <c r="H45" s="2031">
        <f>'Exhibit G State'!H45+'Exhibit G Federal'!H23</f>
        <v>0.4</v>
      </c>
      <c r="I45" s="2529"/>
      <c r="J45" s="2031">
        <f>'Exhibit G State'!J45+'Exhibit G Federal'!J23</f>
        <v>4.4000000000000004</v>
      </c>
      <c r="K45" s="2541"/>
      <c r="L45" s="2031">
        <f>'Exhibit G State'!L45+'Exhibit G Federal'!L23</f>
        <v>0.39999999999999947</v>
      </c>
      <c r="M45" s="2541"/>
      <c r="N45" s="2031">
        <f>'Exhibit G State'!N45+'Exhibit G Federal'!N23</f>
        <v>45.400000000000006</v>
      </c>
      <c r="O45" s="2541"/>
      <c r="P45" s="2031">
        <f>'Exhibit G State'!P45+'Exhibit G Federal'!P23</f>
        <v>-10.100000000000001</v>
      </c>
      <c r="Q45" s="2541"/>
      <c r="R45" s="2031"/>
      <c r="S45" s="2541"/>
      <c r="T45" s="2031"/>
      <c r="U45" s="2541"/>
      <c r="V45" s="2031"/>
      <c r="W45" s="2541"/>
      <c r="X45" s="2031"/>
      <c r="Y45" s="2541"/>
      <c r="Z45" s="2031"/>
      <c r="AA45" s="2031"/>
      <c r="AB45" s="1994">
        <v>0</v>
      </c>
      <c r="AC45" s="2038"/>
      <c r="AD45" s="1994">
        <f t="shared" si="10"/>
        <v>40.6</v>
      </c>
      <c r="AE45" s="1994"/>
      <c r="AF45" s="2038"/>
      <c r="AG45" s="2031">
        <f>'Exhibit G State'!AG45+'Exhibit G Federal'!AG23</f>
        <v>44.9</v>
      </c>
      <c r="AH45" s="3484"/>
      <c r="AI45" s="1976"/>
      <c r="AJ45" s="1999">
        <f>ROUND(SUM(+AD45-AG45),1)</f>
        <v>-4.3</v>
      </c>
      <c r="AK45" s="2549"/>
      <c r="AL45" s="1723">
        <f>ROUND(IF(AG45=0,0,AJ45/ABS(AG45)),3)</f>
        <v>-9.6000000000000002E-2</v>
      </c>
    </row>
    <row r="46" spans="1:38" s="2184" customFormat="1" ht="15" customHeight="1">
      <c r="A46" s="2464"/>
      <c r="B46" s="2484" t="s">
        <v>1052</v>
      </c>
      <c r="C46" s="2464"/>
      <c r="D46" s="2031">
        <f>'Exhibit G State'!D46+'Exhibit G Federal'!D24</f>
        <v>0</v>
      </c>
      <c r="E46" s="2031"/>
      <c r="F46" s="2031">
        <f>'Exhibit G State'!F46+'Exhibit G Federal'!F24</f>
        <v>0</v>
      </c>
      <c r="G46" s="2031"/>
      <c r="H46" s="2031">
        <f>'Exhibit G State'!H46+'Exhibit G Federal'!H24</f>
        <v>0</v>
      </c>
      <c r="I46" s="2529"/>
      <c r="J46" s="2031">
        <f>'Exhibit G State'!J46+'Exhibit G Federal'!J24</f>
        <v>0</v>
      </c>
      <c r="K46" s="2541"/>
      <c r="L46" s="2031">
        <f>'Exhibit G State'!L46+'Exhibit G Federal'!L24</f>
        <v>0</v>
      </c>
      <c r="M46" s="2541"/>
      <c r="N46" s="2031">
        <f>'Exhibit G State'!N46+'Exhibit G Federal'!N24</f>
        <v>0</v>
      </c>
      <c r="O46" s="2541"/>
      <c r="P46" s="2031">
        <f>'Exhibit G State'!P46+'Exhibit G Federal'!P24</f>
        <v>0</v>
      </c>
      <c r="Q46" s="2541"/>
      <c r="R46" s="2031"/>
      <c r="S46" s="2541"/>
      <c r="T46" s="2031"/>
      <c r="U46" s="2541"/>
      <c r="V46" s="2031"/>
      <c r="W46" s="2541"/>
      <c r="X46" s="2031"/>
      <c r="Y46" s="2541"/>
      <c r="Z46" s="2031"/>
      <c r="AA46" s="2031"/>
      <c r="AB46" s="1994">
        <v>0</v>
      </c>
      <c r="AC46" s="2038"/>
      <c r="AD46" s="1994">
        <f t="shared" si="10"/>
        <v>0</v>
      </c>
      <c r="AE46" s="1994"/>
      <c r="AF46" s="2038"/>
      <c r="AG46" s="2031">
        <f>'Exhibit G State'!AG46+'Exhibit G Federal'!AG24</f>
        <v>0.19999999999999998</v>
      </c>
      <c r="AH46" s="3484"/>
      <c r="AI46" s="1976"/>
      <c r="AJ46" s="1999">
        <f>ROUND(SUM(+AD46-AG46),1)</f>
        <v>-0.2</v>
      </c>
      <c r="AK46" s="2549"/>
      <c r="AL46" s="1723">
        <f>ROUND(IF(AG46=0,0,AJ46/ABS(AG46)),3)</f>
        <v>-1</v>
      </c>
    </row>
    <row r="47" spans="1:38" s="2184" customFormat="1" ht="15" customHeight="1">
      <c r="A47" s="2464"/>
      <c r="B47" s="2484" t="s">
        <v>1139</v>
      </c>
      <c r="C47" s="2464"/>
      <c r="D47" s="2031"/>
      <c r="E47" s="2529"/>
      <c r="F47" s="2031"/>
      <c r="G47" s="2529"/>
      <c r="H47" s="2031"/>
      <c r="I47" s="2529"/>
      <c r="J47" s="2031"/>
      <c r="K47" s="2541"/>
      <c r="L47" s="2031"/>
      <c r="M47" s="2541"/>
      <c r="N47" s="2031"/>
      <c r="O47" s="2541"/>
      <c r="P47" s="2031"/>
      <c r="Q47" s="2541"/>
      <c r="R47" s="2031"/>
      <c r="S47" s="2541"/>
      <c r="T47" s="2031"/>
      <c r="U47" s="2541"/>
      <c r="V47" s="2031"/>
      <c r="W47" s="2541"/>
      <c r="X47" s="2031"/>
      <c r="Y47" s="2541"/>
      <c r="Z47" s="2031"/>
      <c r="AA47" s="2031"/>
      <c r="AB47" s="1994"/>
      <c r="AC47" s="2038"/>
      <c r="AD47" s="1994"/>
      <c r="AE47" s="1994"/>
      <c r="AF47" s="2038"/>
      <c r="AG47" s="2031"/>
      <c r="AH47" s="3484"/>
      <c r="AI47" s="1976"/>
      <c r="AJ47" s="1999"/>
      <c r="AK47" s="2549"/>
      <c r="AL47" s="1817"/>
    </row>
    <row r="48" spans="1:38" s="2184" customFormat="1" ht="15" customHeight="1">
      <c r="A48" s="2464"/>
      <c r="B48" s="2484" t="s">
        <v>1231</v>
      </c>
      <c r="C48" s="2464"/>
      <c r="D48" s="2031">
        <f>'Exhibit G State'!D48</f>
        <v>0</v>
      </c>
      <c r="E48" s="2031"/>
      <c r="F48" s="2031">
        <f>'Exhibit G State'!F48</f>
        <v>0</v>
      </c>
      <c r="G48" s="2031"/>
      <c r="H48" s="2031">
        <f>'Exhibit G State'!H48</f>
        <v>0.1</v>
      </c>
      <c r="I48" s="2529"/>
      <c r="J48" s="2031">
        <f>'Exhibit G State'!J48</f>
        <v>0.19999999999999998</v>
      </c>
      <c r="K48" s="2541"/>
      <c r="L48" s="2031">
        <f>'Exhibit G State'!L48</f>
        <v>0.70000000000000007</v>
      </c>
      <c r="M48" s="2541"/>
      <c r="N48" s="2031">
        <f>'Exhibit G State'!N48</f>
        <v>0.69999999999999984</v>
      </c>
      <c r="O48" s="2541"/>
      <c r="P48" s="2031">
        <f>'Exhibit G State'!P48</f>
        <v>0.10000000000000009</v>
      </c>
      <c r="Q48" s="2541"/>
      <c r="R48" s="2031"/>
      <c r="S48" s="2541"/>
      <c r="T48" s="2031"/>
      <c r="U48" s="2541"/>
      <c r="V48" s="2031"/>
      <c r="W48" s="2541"/>
      <c r="X48" s="2031"/>
      <c r="Y48" s="2541"/>
      <c r="Z48" s="2031"/>
      <c r="AA48" s="2031"/>
      <c r="AB48" s="1994">
        <v>0</v>
      </c>
      <c r="AC48" s="2038"/>
      <c r="AD48" s="1994">
        <f>ROUND(SUM(D48:Z48),1)</f>
        <v>1.8</v>
      </c>
      <c r="AE48" s="1994"/>
      <c r="AF48" s="2038"/>
      <c r="AG48" s="2031">
        <f>'Exhibit G State'!AG48</f>
        <v>2.6</v>
      </c>
      <c r="AH48" s="3484"/>
      <c r="AI48" s="1976"/>
      <c r="AJ48" s="1999">
        <f>ROUND(SUM(+AD48-AG48),1)</f>
        <v>-0.8</v>
      </c>
      <c r="AK48" s="2549"/>
      <c r="AL48" s="1723">
        <f>ROUND(IF(AG48=0,0,AJ48/ABS(AG48)),3)</f>
        <v>-0.308</v>
      </c>
    </row>
    <row r="49" spans="1:38" s="2184" customFormat="1" ht="15" customHeight="1">
      <c r="A49" s="2464"/>
      <c r="B49" s="2484" t="s">
        <v>1053</v>
      </c>
      <c r="C49" s="2464"/>
      <c r="D49" s="2031">
        <f>'Exhibit G State'!D49+'Exhibit G Federal'!D26</f>
        <v>48.2</v>
      </c>
      <c r="E49" s="2031"/>
      <c r="F49" s="2031">
        <f>'Exhibit G State'!F49+'Exhibit G Federal'!F26</f>
        <v>70.399999999999991</v>
      </c>
      <c r="G49" s="2031"/>
      <c r="H49" s="2031">
        <f>'Exhibit G State'!H49+'Exhibit G Federal'!H26</f>
        <v>86.499999999999986</v>
      </c>
      <c r="I49" s="2529"/>
      <c r="J49" s="2031">
        <f>'Exhibit G State'!J49+'Exhibit G Federal'!J26</f>
        <v>40.800000000000011</v>
      </c>
      <c r="K49" s="2541"/>
      <c r="L49" s="2031">
        <f>'Exhibit G State'!L49+'Exhibit G Federal'!L26</f>
        <v>36.300000000000026</v>
      </c>
      <c r="M49" s="2541"/>
      <c r="N49" s="2031">
        <f>'Exhibit G State'!N49+'Exhibit G Federal'!N26</f>
        <v>94.8</v>
      </c>
      <c r="O49" s="2541"/>
      <c r="P49" s="2031">
        <f>'Exhibit G State'!P49+'Exhibit G Federal'!P26</f>
        <v>46.100000000000037</v>
      </c>
      <c r="Q49" s="2541"/>
      <c r="R49" s="2031"/>
      <c r="S49" s="2541"/>
      <c r="T49" s="2031"/>
      <c r="U49" s="2541"/>
      <c r="V49" s="2031"/>
      <c r="W49" s="2541"/>
      <c r="X49" s="2031"/>
      <c r="Y49" s="2541"/>
      <c r="Z49" s="2031"/>
      <c r="AA49" s="2031"/>
      <c r="AB49" s="1994">
        <v>0</v>
      </c>
      <c r="AC49" s="2038"/>
      <c r="AD49" s="1994">
        <f t="shared" si="10"/>
        <v>423.1</v>
      </c>
      <c r="AE49" s="1994"/>
      <c r="AF49" s="2038"/>
      <c r="AG49" s="2031">
        <f>'Exhibit G State'!AG49+'Exhibit G Federal'!AG26</f>
        <v>408.8</v>
      </c>
      <c r="AH49" s="3484"/>
      <c r="AI49" s="1976"/>
      <c r="AJ49" s="1999">
        <f t="shared" ref="AJ49:AJ54" si="11">ROUND(SUM(+AD49-AG49),1)</f>
        <v>14.3</v>
      </c>
      <c r="AK49" s="2549"/>
      <c r="AL49" s="1723">
        <f t="shared" ref="AL49:AL54" si="12">ROUND(IF(AG49=0,0,AJ49/ABS(AG49)),3)</f>
        <v>3.5000000000000003E-2</v>
      </c>
    </row>
    <row r="50" spans="1:38" s="2184" customFormat="1" ht="15" customHeight="1">
      <c r="A50" s="2464"/>
      <c r="B50" s="2484" t="s">
        <v>1054</v>
      </c>
      <c r="C50" s="2464"/>
      <c r="D50" s="2031">
        <f>'Exhibit G State'!D50+'Exhibit G Federal'!D27</f>
        <v>3.2</v>
      </c>
      <c r="E50" s="2031"/>
      <c r="F50" s="2031">
        <f>'Exhibit G State'!F50+'Exhibit G Federal'!F27</f>
        <v>2.3999999999999995</v>
      </c>
      <c r="G50" s="2031"/>
      <c r="H50" s="2031">
        <f>'Exhibit G State'!H50+'Exhibit G Federal'!H27</f>
        <v>2.5999999999999996</v>
      </c>
      <c r="I50" s="2529"/>
      <c r="J50" s="2031">
        <f>'Exhibit G State'!J50+'Exhibit G Federal'!J27</f>
        <v>1.4000000000000004</v>
      </c>
      <c r="K50" s="2541"/>
      <c r="L50" s="2031">
        <f>'Exhibit G State'!L50+'Exhibit G Federal'!L27</f>
        <v>6.1000000000000014</v>
      </c>
      <c r="M50" s="2541"/>
      <c r="N50" s="2031">
        <f>'Exhibit G State'!N50+'Exhibit G Federal'!N27</f>
        <v>4.6999999999999993</v>
      </c>
      <c r="O50" s="2541"/>
      <c r="P50" s="2031">
        <f>'Exhibit G State'!P50+'Exhibit G Federal'!P27</f>
        <v>5.1000000000000032</v>
      </c>
      <c r="Q50" s="2541"/>
      <c r="R50" s="2031"/>
      <c r="S50" s="2541"/>
      <c r="T50" s="2031"/>
      <c r="U50" s="2541"/>
      <c r="V50" s="2031"/>
      <c r="W50" s="2541"/>
      <c r="X50" s="2031"/>
      <c r="Y50" s="2541"/>
      <c r="Z50" s="2031"/>
      <c r="AA50" s="2031"/>
      <c r="AB50" s="1994">
        <v>0</v>
      </c>
      <c r="AC50" s="2038"/>
      <c r="AD50" s="1994">
        <f t="shared" si="10"/>
        <v>25.5</v>
      </c>
      <c r="AE50" s="1994"/>
      <c r="AF50" s="2038"/>
      <c r="AG50" s="2031">
        <f>'Exhibit G State'!AG50+'Exhibit G Federal'!AG27</f>
        <v>32.799999999999997</v>
      </c>
      <c r="AH50" s="3484"/>
      <c r="AI50" s="1976"/>
      <c r="AJ50" s="1999">
        <f t="shared" si="11"/>
        <v>-7.3</v>
      </c>
      <c r="AK50" s="2549"/>
      <c r="AL50" s="1723">
        <f t="shared" si="12"/>
        <v>-0.223</v>
      </c>
    </row>
    <row r="51" spans="1:38" s="2184" customFormat="1" ht="15" customHeight="1">
      <c r="A51" s="2464"/>
      <c r="B51" s="2484" t="s">
        <v>1055</v>
      </c>
      <c r="C51" s="2464"/>
      <c r="D51" s="2031">
        <f>'Exhibit G State'!D51+'Exhibit G Federal'!D28</f>
        <v>0.5</v>
      </c>
      <c r="E51" s="2031"/>
      <c r="F51" s="2031">
        <f>'Exhibit G State'!F51+'Exhibit G Federal'!F28</f>
        <v>0.30000000000000004</v>
      </c>
      <c r="G51" s="2031"/>
      <c r="H51" s="2031">
        <f>'Exhibit G State'!H51+'Exhibit G Federal'!H28</f>
        <v>9.9999999999999978E-2</v>
      </c>
      <c r="I51" s="2529"/>
      <c r="J51" s="2031">
        <f>'Exhibit G State'!J51+'Exhibit G Federal'!J28</f>
        <v>1.5</v>
      </c>
      <c r="K51" s="2541"/>
      <c r="L51" s="2031">
        <f>'Exhibit G State'!L51+'Exhibit G Federal'!L28</f>
        <v>0</v>
      </c>
      <c r="M51" s="2541"/>
      <c r="N51" s="2031">
        <f>'Exhibit G State'!N51+'Exhibit G Federal'!N28</f>
        <v>0</v>
      </c>
      <c r="O51" s="2541"/>
      <c r="P51" s="2031">
        <f>'Exhibit G State'!P51+'Exhibit G Federal'!P28</f>
        <v>0.39999999999999991</v>
      </c>
      <c r="Q51" s="2541"/>
      <c r="R51" s="2031"/>
      <c r="S51" s="2541"/>
      <c r="T51" s="2031"/>
      <c r="U51" s="2541"/>
      <c r="V51" s="2031"/>
      <c r="W51" s="2541"/>
      <c r="X51" s="2031"/>
      <c r="Y51" s="2541"/>
      <c r="Z51" s="2031"/>
      <c r="AA51" s="2031"/>
      <c r="AB51" s="1994">
        <v>0</v>
      </c>
      <c r="AC51" s="2038"/>
      <c r="AD51" s="1994">
        <f>ROUND(SUM(D51:Z51),1)</f>
        <v>2.8</v>
      </c>
      <c r="AE51" s="1994"/>
      <c r="AF51" s="2038"/>
      <c r="AG51" s="2031">
        <f>'Exhibit G State'!AG51+'Exhibit G Federal'!AG28</f>
        <v>3.8</v>
      </c>
      <c r="AH51" s="3484"/>
      <c r="AI51" s="1976"/>
      <c r="AJ51" s="1999">
        <f t="shared" si="11"/>
        <v>-1</v>
      </c>
      <c r="AK51" s="2549"/>
      <c r="AL51" s="1723">
        <f>ROUND(IF(AG51=0,1,AJ51/ABS(AG51)),3)</f>
        <v>-0.26300000000000001</v>
      </c>
    </row>
    <row r="52" spans="1:38" s="2184" customFormat="1" ht="15" customHeight="1">
      <c r="A52" s="2464"/>
      <c r="B52" s="2484" t="s">
        <v>1056</v>
      </c>
      <c r="C52" s="2464"/>
      <c r="D52" s="2031">
        <f>'Exhibit G State'!D52+'Exhibit G Federal'!D29</f>
        <v>18.399999999999999</v>
      </c>
      <c r="E52" s="2031"/>
      <c r="F52" s="2031">
        <f>'Exhibit G State'!F52+'Exhibit G Federal'!F29</f>
        <v>15.800000000000004</v>
      </c>
      <c r="G52" s="2031"/>
      <c r="H52" s="2031">
        <f>'Exhibit G State'!H52+'Exhibit G Federal'!H29</f>
        <v>17</v>
      </c>
      <c r="I52" s="2529"/>
      <c r="J52" s="2031">
        <f>'Exhibit G State'!J52+'Exhibit G Federal'!J29</f>
        <v>30.599999999999994</v>
      </c>
      <c r="K52" s="2541"/>
      <c r="L52" s="2031">
        <f>'Exhibit G State'!L52+'Exhibit G Federal'!L29</f>
        <v>27</v>
      </c>
      <c r="M52" s="2541"/>
      <c r="N52" s="2031">
        <f>'Exhibit G State'!N52+'Exhibit G Federal'!N29</f>
        <v>28.299999999999983</v>
      </c>
      <c r="O52" s="2541"/>
      <c r="P52" s="2031">
        <f>'Exhibit G State'!P52+'Exhibit G Federal'!P29</f>
        <v>15.800000000000011</v>
      </c>
      <c r="Q52" s="2541"/>
      <c r="R52" s="2031"/>
      <c r="S52" s="2541"/>
      <c r="T52" s="2031"/>
      <c r="U52" s="2541"/>
      <c r="V52" s="2031"/>
      <c r="W52" s="2541"/>
      <c r="X52" s="2031"/>
      <c r="Y52" s="2541"/>
      <c r="Z52" s="2031"/>
      <c r="AA52" s="2031"/>
      <c r="AB52" s="1994">
        <v>0</v>
      </c>
      <c r="AC52" s="2038"/>
      <c r="AD52" s="1994">
        <f t="shared" si="10"/>
        <v>152.9</v>
      </c>
      <c r="AE52" s="1994"/>
      <c r="AF52" s="2038"/>
      <c r="AG52" s="2031">
        <f>'Exhibit G State'!AG52+'Exhibit G Federal'!AG29</f>
        <v>168.4</v>
      </c>
      <c r="AH52" s="3484"/>
      <c r="AI52" s="1976"/>
      <c r="AJ52" s="1999">
        <f t="shared" si="11"/>
        <v>-15.5</v>
      </c>
      <c r="AK52" s="2549"/>
      <c r="AL52" s="1723">
        <f t="shared" si="12"/>
        <v>-9.1999999999999998E-2</v>
      </c>
    </row>
    <row r="53" spans="1:38" s="2184" customFormat="1" ht="15" customHeight="1">
      <c r="A53" s="2464"/>
      <c r="B53" s="2484" t="s">
        <v>1057</v>
      </c>
      <c r="C53" s="2464"/>
      <c r="D53" s="2031">
        <f>'Exhibit G State'!D53+'Exhibit G Federal'!D30</f>
        <v>43</v>
      </c>
      <c r="E53" s="2031"/>
      <c r="F53" s="2031">
        <f>'Exhibit G State'!F53+'Exhibit G Federal'!F30</f>
        <v>0</v>
      </c>
      <c r="G53" s="2031"/>
      <c r="H53" s="2031">
        <f>'Exhibit G State'!H53+'Exhibit G Federal'!H30</f>
        <v>36</v>
      </c>
      <c r="I53" s="2529"/>
      <c r="J53" s="2031">
        <f>'Exhibit G State'!J53+'Exhibit G Federal'!J30</f>
        <v>34.299999999999997</v>
      </c>
      <c r="K53" s="2541"/>
      <c r="L53" s="2031">
        <f>'Exhibit G State'!L53+'Exhibit G Federal'!L30</f>
        <v>31.799999999999997</v>
      </c>
      <c r="M53" s="2541"/>
      <c r="N53" s="2031">
        <f>'Exhibit G State'!N53+'Exhibit G Federal'!N30</f>
        <v>144.29999999999995</v>
      </c>
      <c r="O53" s="2541"/>
      <c r="P53" s="2031">
        <f>'Exhibit G State'!P53+'Exhibit G Federal'!P30</f>
        <v>83.300000000000011</v>
      </c>
      <c r="Q53" s="2541"/>
      <c r="R53" s="2031"/>
      <c r="S53" s="2541"/>
      <c r="T53" s="2031"/>
      <c r="U53" s="2541"/>
      <c r="V53" s="2031"/>
      <c r="W53" s="2541"/>
      <c r="X53" s="2031"/>
      <c r="Y53" s="2541"/>
      <c r="Z53" s="2031"/>
      <c r="AA53" s="2031"/>
      <c r="AB53" s="1994">
        <v>0</v>
      </c>
      <c r="AC53" s="2038"/>
      <c r="AD53" s="1999">
        <f t="shared" si="10"/>
        <v>372.7</v>
      </c>
      <c r="AE53" s="1994"/>
      <c r="AF53" s="2038"/>
      <c r="AG53" s="2031">
        <f>'Exhibit G State'!AG53+'Exhibit G Federal'!AG30</f>
        <v>510.7</v>
      </c>
      <c r="AH53" s="3484"/>
      <c r="AI53" s="1976"/>
      <c r="AJ53" s="1999">
        <f t="shared" si="11"/>
        <v>-138</v>
      </c>
      <c r="AK53" s="2549"/>
      <c r="AL53" s="1723">
        <f t="shared" si="12"/>
        <v>-0.27</v>
      </c>
    </row>
    <row r="54" spans="1:38" s="2184" customFormat="1" ht="15" customHeight="1">
      <c r="A54" s="2464"/>
      <c r="B54" s="2484" t="s">
        <v>1015</v>
      </c>
      <c r="C54" s="2464"/>
      <c r="D54" s="2031">
        <f>'Exhibit G State'!D54+'Exhibit G Federal'!D31</f>
        <v>10</v>
      </c>
      <c r="E54" s="2031"/>
      <c r="F54" s="2031">
        <f>'Exhibit G State'!F54+'Exhibit G Federal'!F31</f>
        <v>5.8000000000000016</v>
      </c>
      <c r="G54" s="2031"/>
      <c r="H54" s="2031">
        <f>'Exhibit G State'!H54+'Exhibit G Federal'!H31</f>
        <v>1.5999999999999985</v>
      </c>
      <c r="I54" s="2529"/>
      <c r="J54" s="2031">
        <f>'Exhibit G State'!J54+'Exhibit G Federal'!J31</f>
        <v>14</v>
      </c>
      <c r="K54" s="2541"/>
      <c r="L54" s="2031">
        <f>'Exhibit G State'!L54+'Exhibit G Federal'!L31</f>
        <v>0.3999999999999993</v>
      </c>
      <c r="M54" s="2541"/>
      <c r="N54" s="2031">
        <f>'Exhibit G State'!N54+'Exhibit G Federal'!N31</f>
        <v>5.8999999999999977</v>
      </c>
      <c r="O54" s="2541"/>
      <c r="P54" s="2031">
        <f>'Exhibit G State'!P54+'Exhibit G Federal'!P31</f>
        <v>65.399999999999977</v>
      </c>
      <c r="Q54" s="2541"/>
      <c r="R54" s="2031"/>
      <c r="S54" s="2541"/>
      <c r="T54" s="2031"/>
      <c r="U54" s="2541"/>
      <c r="V54" s="2031"/>
      <c r="W54" s="2541"/>
      <c r="X54" s="2031"/>
      <c r="Y54" s="2541"/>
      <c r="Z54" s="2031"/>
      <c r="AA54" s="2031"/>
      <c r="AB54" s="1994">
        <v>0</v>
      </c>
      <c r="AC54" s="2038"/>
      <c r="AD54" s="1999">
        <f>ROUND(SUM(D54:Z54),1)</f>
        <v>103.1</v>
      </c>
      <c r="AE54" s="1994"/>
      <c r="AF54" s="2038"/>
      <c r="AG54" s="2031">
        <f>'Exhibit G State'!AG54+'Exhibit G Federal'!AG31</f>
        <v>221.7</v>
      </c>
      <c r="AH54" s="3484"/>
      <c r="AI54" s="1976"/>
      <c r="AJ54" s="1999">
        <f t="shared" si="11"/>
        <v>-118.6</v>
      </c>
      <c r="AK54" s="2549"/>
      <c r="AL54" s="1728">
        <f t="shared" si="12"/>
        <v>-0.53500000000000003</v>
      </c>
    </row>
    <row r="55" spans="1:38" s="2184" customFormat="1" ht="15" customHeight="1">
      <c r="A55" s="2464"/>
      <c r="B55" s="2484" t="s">
        <v>1136</v>
      </c>
      <c r="C55" s="2464"/>
      <c r="D55" s="2031"/>
      <c r="E55" s="2529"/>
      <c r="F55" s="2031"/>
      <c r="G55" s="2529"/>
      <c r="H55" s="2031"/>
      <c r="I55" s="2529"/>
      <c r="J55" s="2031"/>
      <c r="K55" s="2541"/>
      <c r="L55" s="2031"/>
      <c r="M55" s="2541"/>
      <c r="N55" s="2031"/>
      <c r="O55" s="2541"/>
      <c r="P55" s="2031"/>
      <c r="Q55" s="2541"/>
      <c r="R55" s="2031"/>
      <c r="S55" s="2541"/>
      <c r="T55" s="2031"/>
      <c r="U55" s="2541"/>
      <c r="V55" s="2031"/>
      <c r="W55" s="2541"/>
      <c r="X55" s="2031"/>
      <c r="Y55" s="2541"/>
      <c r="Z55" s="2031"/>
      <c r="AA55" s="2031"/>
      <c r="AB55" s="1994"/>
      <c r="AC55" s="2038"/>
      <c r="AD55" s="1999"/>
      <c r="AE55" s="1994"/>
      <c r="AF55" s="2038"/>
      <c r="AG55" s="2031"/>
      <c r="AH55" s="3484"/>
      <c r="AI55" s="1976"/>
      <c r="AJ55" s="1999"/>
      <c r="AK55" s="2549"/>
      <c r="AL55" s="1817"/>
    </row>
    <row r="56" spans="1:38" s="2184" customFormat="1" ht="15" customHeight="1">
      <c r="A56" s="2464"/>
      <c r="B56" s="2484" t="s">
        <v>1058</v>
      </c>
      <c r="C56" s="2464"/>
      <c r="D56" s="2031">
        <f>'Exhibit G State'!D56</f>
        <v>0</v>
      </c>
      <c r="E56" s="2031"/>
      <c r="F56" s="2031">
        <f>'Exhibit G State'!F56</f>
        <v>0</v>
      </c>
      <c r="G56" s="2031"/>
      <c r="H56" s="2031">
        <f>'Exhibit G State'!H56</f>
        <v>0</v>
      </c>
      <c r="I56" s="2529"/>
      <c r="J56" s="2031">
        <f>'Exhibit G State'!J56</f>
        <v>20.8</v>
      </c>
      <c r="K56" s="2541"/>
      <c r="L56" s="2031">
        <f>'Exhibit G State'!L56</f>
        <v>0</v>
      </c>
      <c r="M56" s="2541"/>
      <c r="N56" s="2031">
        <f>'Exhibit G State'!N56</f>
        <v>8</v>
      </c>
      <c r="O56" s="2541"/>
      <c r="P56" s="2031">
        <f>'Exhibit G State'!P56</f>
        <v>33.400000000000006</v>
      </c>
      <c r="Q56" s="2541"/>
      <c r="R56" s="2031"/>
      <c r="S56" s="2541"/>
      <c r="T56" s="2031"/>
      <c r="U56" s="2541"/>
      <c r="V56" s="2031"/>
      <c r="W56" s="2541"/>
      <c r="X56" s="2031"/>
      <c r="Y56" s="2541"/>
      <c r="Z56" s="2031"/>
      <c r="AA56" s="2031"/>
      <c r="AB56" s="1994">
        <v>0</v>
      </c>
      <c r="AC56" s="2038"/>
      <c r="AD56" s="1999">
        <f t="shared" si="10"/>
        <v>62.2</v>
      </c>
      <c r="AE56" s="1994"/>
      <c r="AF56" s="2038"/>
      <c r="AG56" s="2031">
        <f>'Exhibit G State'!AG56</f>
        <v>179.7</v>
      </c>
      <c r="AH56" s="3484"/>
      <c r="AI56" s="1976"/>
      <c r="AJ56" s="1999">
        <f>ROUND(SUM(+AD56-AG56),1)</f>
        <v>-117.5</v>
      </c>
      <c r="AK56" s="2549"/>
      <c r="AL56" s="1728">
        <f>ROUND(IF(AG56=0,0,AJ56/ABS(AG56)),3)</f>
        <v>-0.65400000000000003</v>
      </c>
    </row>
    <row r="57" spans="1:38" s="2184" customFormat="1" ht="15" customHeight="1">
      <c r="A57" s="2464"/>
      <c r="B57" s="2484" t="s">
        <v>1059</v>
      </c>
      <c r="C57" s="2464"/>
      <c r="D57" s="2031">
        <f>'Exhibit G State'!D57</f>
        <v>157</v>
      </c>
      <c r="E57" s="2031"/>
      <c r="F57" s="2031">
        <f>'Exhibit G State'!F57</f>
        <v>142.10000000000002</v>
      </c>
      <c r="G57" s="2031"/>
      <c r="H57" s="2031">
        <f>'Exhibit G State'!H57</f>
        <v>173.79999999999995</v>
      </c>
      <c r="I57" s="2529"/>
      <c r="J57" s="2031">
        <f>'Exhibit G State'!J57</f>
        <v>202.20000000000005</v>
      </c>
      <c r="K57" s="2541"/>
      <c r="L57" s="2031">
        <f>'Exhibit G State'!L57</f>
        <v>195.89999999999998</v>
      </c>
      <c r="M57" s="2541"/>
      <c r="N57" s="2031">
        <f>'Exhibit G State'!N57</f>
        <v>199.29999999999995</v>
      </c>
      <c r="O57" s="2541"/>
      <c r="P57" s="2031">
        <f>'Exhibit G State'!P57</f>
        <v>168.29999999999995</v>
      </c>
      <c r="Q57" s="2541"/>
      <c r="R57" s="2031"/>
      <c r="S57" s="2541"/>
      <c r="T57" s="2031"/>
      <c r="U57" s="2541"/>
      <c r="V57" s="2031"/>
      <c r="W57" s="2541"/>
      <c r="X57" s="2031"/>
      <c r="Y57" s="2541"/>
      <c r="Z57" s="2031"/>
      <c r="AA57" s="2031"/>
      <c r="AB57" s="1994">
        <v>0</v>
      </c>
      <c r="AC57" s="2038"/>
      <c r="AD57" s="1999">
        <f t="shared" si="10"/>
        <v>1238.5999999999999</v>
      </c>
      <c r="AE57" s="1994"/>
      <c r="AF57" s="2038"/>
      <c r="AG57" s="2031">
        <f>'Exhibit G State'!AG57</f>
        <v>1475</v>
      </c>
      <c r="AH57" s="3484"/>
      <c r="AI57" s="1976"/>
      <c r="AJ57" s="1999">
        <f>ROUND(SUM(+AD57-AG57),1)</f>
        <v>-236.4</v>
      </c>
      <c r="AK57" s="2549"/>
      <c r="AL57" s="1723">
        <f>ROUND(IF(AG57=0,0,AJ57/ABS(AG57)),3)</f>
        <v>-0.16</v>
      </c>
    </row>
    <row r="58" spans="1:38" s="2184" customFormat="1" ht="15" customHeight="1">
      <c r="A58" s="2464"/>
      <c r="B58" s="2484" t="s">
        <v>1060</v>
      </c>
      <c r="C58" s="2464"/>
      <c r="D58" s="2031">
        <f>'Exhibit G State'!D58</f>
        <v>0</v>
      </c>
      <c r="E58" s="2031"/>
      <c r="F58" s="2031">
        <f>'Exhibit G State'!F58</f>
        <v>0.6</v>
      </c>
      <c r="G58" s="2031"/>
      <c r="H58" s="2031">
        <f>'Exhibit G State'!H58</f>
        <v>0</v>
      </c>
      <c r="I58" s="2529"/>
      <c r="J58" s="2031">
        <f>'Exhibit G State'!J58</f>
        <v>-0.39999999999999997</v>
      </c>
      <c r="K58" s="2541"/>
      <c r="L58" s="2031">
        <f>'Exhibit G State'!L58</f>
        <v>0</v>
      </c>
      <c r="M58" s="2541"/>
      <c r="N58" s="2031">
        <f>'Exhibit G State'!N58</f>
        <v>33.799999999999997</v>
      </c>
      <c r="O58" s="2541"/>
      <c r="P58" s="2031">
        <f>'Exhibit G State'!P58</f>
        <v>59.600000000000009</v>
      </c>
      <c r="Q58" s="2541"/>
      <c r="R58" s="2031"/>
      <c r="S58" s="2541"/>
      <c r="T58" s="2031"/>
      <c r="U58" s="2541"/>
      <c r="V58" s="2031"/>
      <c r="W58" s="2541"/>
      <c r="X58" s="2031"/>
      <c r="Y58" s="2541"/>
      <c r="Z58" s="2031"/>
      <c r="AA58" s="2031"/>
      <c r="AB58" s="1994">
        <v>0</v>
      </c>
      <c r="AC58" s="2038"/>
      <c r="AD58" s="1999">
        <f t="shared" si="10"/>
        <v>93.6</v>
      </c>
      <c r="AE58" s="1994"/>
      <c r="AF58" s="2038"/>
      <c r="AG58" s="2031">
        <f>'Exhibit G State'!AG58</f>
        <v>566.4</v>
      </c>
      <c r="AH58" s="3484"/>
      <c r="AI58" s="1976"/>
      <c r="AJ58" s="1999">
        <f>ROUND(SUM(+AD58-AG58),1)</f>
        <v>-472.8</v>
      </c>
      <c r="AK58" s="2549"/>
      <c r="AL58" s="1723">
        <f>ROUND(IF(AG58=0,0,AJ58/ABS(AG58)),3)</f>
        <v>-0.83499999999999996</v>
      </c>
    </row>
    <row r="59" spans="1:38" s="2184" customFormat="1" ht="15" customHeight="1">
      <c r="A59" s="2464"/>
      <c r="B59" s="2484" t="s">
        <v>1016</v>
      </c>
      <c r="C59" s="2464"/>
      <c r="D59" s="2031">
        <f>'Exhibit G State'!D59+'Exhibit G Federal'!D32</f>
        <v>16.5</v>
      </c>
      <c r="E59" s="2031"/>
      <c r="F59" s="2031">
        <f>'Exhibit G State'!F59+'Exhibit G Federal'!F32</f>
        <v>11.700000000000001</v>
      </c>
      <c r="G59" s="2031"/>
      <c r="H59" s="2031">
        <f>'Exhibit G State'!H59+'Exhibit G Federal'!H32</f>
        <v>7.4999999999999982</v>
      </c>
      <c r="I59" s="2529"/>
      <c r="J59" s="2031">
        <f>'Exhibit G State'!J59+'Exhibit G Federal'!J32</f>
        <v>4.3000000000000007</v>
      </c>
      <c r="K59" s="2541"/>
      <c r="L59" s="2031">
        <f>'Exhibit G State'!L59+'Exhibit G Federal'!L32</f>
        <v>5.1999999999999975</v>
      </c>
      <c r="M59" s="2541"/>
      <c r="N59" s="2031">
        <f>'Exhibit G State'!N59+'Exhibit G Federal'!N32</f>
        <v>4.2000000000000046</v>
      </c>
      <c r="O59" s="2541"/>
      <c r="P59" s="2031">
        <f>'Exhibit G State'!P59+'Exhibit G Federal'!P32</f>
        <v>4.0999999999999979</v>
      </c>
      <c r="Q59" s="2541"/>
      <c r="R59" s="2031"/>
      <c r="S59" s="2541"/>
      <c r="T59" s="2031"/>
      <c r="U59" s="2541"/>
      <c r="V59" s="2031"/>
      <c r="W59" s="2541"/>
      <c r="X59" s="2031"/>
      <c r="Y59" s="2541"/>
      <c r="Z59" s="2031"/>
      <c r="AA59" s="2031"/>
      <c r="AB59" s="1994">
        <v>0</v>
      </c>
      <c r="AC59" s="2038"/>
      <c r="AD59" s="1999">
        <f>ROUND(SUM(D59:Z59),1)</f>
        <v>53.5</v>
      </c>
      <c r="AE59" s="1994"/>
      <c r="AF59" s="2038"/>
      <c r="AG59" s="2031">
        <f>'Exhibit G State'!AG59+'Exhibit G Federal'!AG32</f>
        <v>155.1</v>
      </c>
      <c r="AH59" s="3484"/>
      <c r="AI59" s="1976"/>
      <c r="AJ59" s="1999">
        <f>ROUND(SUM(+AD59-AG59),1)</f>
        <v>-101.6</v>
      </c>
      <c r="AK59" s="2549"/>
      <c r="AL59" s="1723">
        <f>ROUND(IF(AG59=0,0,AJ59/ABS(AG59)),3)</f>
        <v>-0.65500000000000003</v>
      </c>
    </row>
    <row r="60" spans="1:38" s="2184" customFormat="1" ht="15" customHeight="1">
      <c r="A60" s="2464"/>
      <c r="B60" s="2484" t="s">
        <v>1137</v>
      </c>
      <c r="C60" s="2464"/>
      <c r="D60" s="2031"/>
      <c r="E60" s="2529"/>
      <c r="F60" s="2031"/>
      <c r="G60" s="2529"/>
      <c r="H60" s="2031"/>
      <c r="I60" s="2529"/>
      <c r="J60" s="2031"/>
      <c r="K60" s="2541"/>
      <c r="L60" s="2031"/>
      <c r="M60" s="2541"/>
      <c r="N60" s="2031"/>
      <c r="O60" s="2541"/>
      <c r="P60" s="2031"/>
      <c r="Q60" s="2541"/>
      <c r="R60" s="2031"/>
      <c r="S60" s="2541"/>
      <c r="T60" s="2031"/>
      <c r="U60" s="2541"/>
      <c r="V60" s="2031"/>
      <c r="W60" s="2541"/>
      <c r="X60" s="2031"/>
      <c r="Y60" s="2541"/>
      <c r="Z60" s="2031"/>
      <c r="AA60" s="2031"/>
      <c r="AB60" s="1994"/>
      <c r="AC60" s="2038"/>
      <c r="AD60" s="1999"/>
      <c r="AE60" s="1994"/>
      <c r="AF60" s="2038"/>
      <c r="AG60" s="2031"/>
      <c r="AH60" s="3484"/>
      <c r="AI60" s="1976"/>
      <c r="AJ60" s="1999"/>
      <c r="AK60" s="2549"/>
      <c r="AL60" s="1817"/>
    </row>
    <row r="61" spans="1:38" s="2184" customFormat="1" ht="15" customHeight="1">
      <c r="A61" s="2464"/>
      <c r="B61" s="2484" t="s">
        <v>1061</v>
      </c>
      <c r="C61" s="2464"/>
      <c r="D61" s="2031">
        <f>'Exhibit G State'!D61+'Exhibit G Federal'!D34</f>
        <v>0</v>
      </c>
      <c r="E61" s="2031"/>
      <c r="F61" s="2031">
        <f>'Exhibit G State'!F61+'Exhibit G Federal'!F34</f>
        <v>0</v>
      </c>
      <c r="G61" s="2031"/>
      <c r="H61" s="2031">
        <f>'Exhibit G State'!H61+'Exhibit G Federal'!H34</f>
        <v>0</v>
      </c>
      <c r="I61" s="2529"/>
      <c r="J61" s="2031">
        <f>'Exhibit G State'!J61+'Exhibit G Federal'!J34</f>
        <v>0</v>
      </c>
      <c r="K61" s="2541"/>
      <c r="L61" s="2031">
        <f>'Exhibit G State'!L61+'Exhibit G Federal'!L34</f>
        <v>0</v>
      </c>
      <c r="M61" s="2541"/>
      <c r="N61" s="2031">
        <f>'Exhibit G State'!N61+'Exhibit G Federal'!N34</f>
        <v>0</v>
      </c>
      <c r="O61" s="2541"/>
      <c r="P61" s="2031">
        <f>'Exhibit G State'!P61+'Exhibit G Federal'!P34</f>
        <v>0</v>
      </c>
      <c r="Q61" s="2541"/>
      <c r="R61" s="2031"/>
      <c r="S61" s="2541"/>
      <c r="T61" s="2031"/>
      <c r="U61" s="2541"/>
      <c r="V61" s="2031"/>
      <c r="W61" s="2541"/>
      <c r="X61" s="2031"/>
      <c r="Y61" s="2541"/>
      <c r="Z61" s="2031"/>
      <c r="AA61" s="2031"/>
      <c r="AB61" s="1994">
        <v>0</v>
      </c>
      <c r="AC61" s="2038"/>
      <c r="AD61" s="1999">
        <f t="shared" si="10"/>
        <v>0</v>
      </c>
      <c r="AE61" s="1994"/>
      <c r="AF61" s="2038"/>
      <c r="AG61" s="2031">
        <f>'Exhibit G State'!AG61+'Exhibit G Federal'!AG34</f>
        <v>0</v>
      </c>
      <c r="AH61" s="3484"/>
      <c r="AI61" s="1976"/>
      <c r="AJ61" s="1999">
        <f t="shared" ref="AJ61:AJ66" si="13">ROUND(SUM(+AD61-AG61),1)</f>
        <v>0</v>
      </c>
      <c r="AK61" s="2549"/>
      <c r="AL61" s="1723">
        <f>ROUND(IF(AG61=0,0,AJ61/ABS(AG61)),3)</f>
        <v>0</v>
      </c>
    </row>
    <row r="62" spans="1:38" s="2184" customFormat="1" ht="15" customHeight="1">
      <c r="A62" s="2464"/>
      <c r="B62" s="2484" t="s">
        <v>1062</v>
      </c>
      <c r="C62" s="2464"/>
      <c r="D62" s="2031">
        <f>'Exhibit G State'!D62+'Exhibit G Federal'!D35</f>
        <v>0</v>
      </c>
      <c r="E62" s="2031"/>
      <c r="F62" s="2031">
        <f>'Exhibit G State'!F62+'Exhibit G Federal'!F35</f>
        <v>0</v>
      </c>
      <c r="G62" s="2031"/>
      <c r="H62" s="2031">
        <f>'Exhibit G State'!H62+'Exhibit G Federal'!H35</f>
        <v>0</v>
      </c>
      <c r="I62" s="2529"/>
      <c r="J62" s="2031">
        <f>'Exhibit G State'!J62+'Exhibit G Federal'!J35</f>
        <v>0</v>
      </c>
      <c r="K62" s="2541"/>
      <c r="L62" s="2031">
        <f>'Exhibit G State'!L62+'Exhibit G Federal'!L35</f>
        <v>0</v>
      </c>
      <c r="M62" s="2541"/>
      <c r="N62" s="2031">
        <f>'Exhibit G State'!N62+'Exhibit G Federal'!N35</f>
        <v>0</v>
      </c>
      <c r="O62" s="2541"/>
      <c r="P62" s="2031">
        <f>'Exhibit G State'!P62+'Exhibit G Federal'!P35</f>
        <v>8.9</v>
      </c>
      <c r="Q62" s="2541"/>
      <c r="R62" s="2031"/>
      <c r="S62" s="2541"/>
      <c r="T62" s="2031"/>
      <c r="U62" s="2541"/>
      <c r="V62" s="2031"/>
      <c r="W62" s="2541"/>
      <c r="X62" s="2031"/>
      <c r="Y62" s="2541"/>
      <c r="Z62" s="2031"/>
      <c r="AA62" s="2031"/>
      <c r="AB62" s="1994">
        <v>0</v>
      </c>
      <c r="AC62" s="2038"/>
      <c r="AD62" s="1999">
        <f t="shared" si="10"/>
        <v>8.9</v>
      </c>
      <c r="AE62" s="1994"/>
      <c r="AF62" s="2038"/>
      <c r="AG62" s="2031">
        <f>'Exhibit G State'!AG62+'Exhibit G Federal'!AG35</f>
        <v>28.7</v>
      </c>
      <c r="AH62" s="3484"/>
      <c r="AI62" s="1976"/>
      <c r="AJ62" s="1999">
        <f t="shared" si="13"/>
        <v>-19.8</v>
      </c>
      <c r="AK62" s="2549"/>
      <c r="AL62" s="1723">
        <f>ROUND(IF(AG62=0,0,AJ62/ABS(AG62)),3)</f>
        <v>-0.69</v>
      </c>
    </row>
    <row r="63" spans="1:38" s="2184" customFormat="1" ht="15" customHeight="1">
      <c r="A63" s="2464"/>
      <c r="B63" s="2484" t="s">
        <v>1063</v>
      </c>
      <c r="C63" s="2464"/>
      <c r="D63" s="2031">
        <f>'Exhibit G State'!D63+'Exhibit G Federal'!D36</f>
        <v>0.5</v>
      </c>
      <c r="E63" s="2031"/>
      <c r="F63" s="2031">
        <f>'Exhibit G State'!F63+'Exhibit G Federal'!F36</f>
        <v>1.4</v>
      </c>
      <c r="G63" s="2031"/>
      <c r="H63" s="2031">
        <f>'Exhibit G State'!H63+'Exhibit G Federal'!H36</f>
        <v>5.3000000000000007</v>
      </c>
      <c r="I63" s="2529"/>
      <c r="J63" s="2031">
        <f>'Exhibit G State'!J63+'Exhibit G Federal'!J36</f>
        <v>0</v>
      </c>
      <c r="K63" s="2541"/>
      <c r="L63" s="2031">
        <f>'Exhibit G State'!L63+'Exhibit G Federal'!L36</f>
        <v>0</v>
      </c>
      <c r="M63" s="2541"/>
      <c r="N63" s="2031">
        <f>'Exhibit G State'!N63+'Exhibit G Federal'!N36</f>
        <v>0</v>
      </c>
      <c r="O63" s="2541"/>
      <c r="P63" s="2031">
        <f>'Exhibit G State'!P63+'Exhibit G Federal'!P36</f>
        <v>0</v>
      </c>
      <c r="Q63" s="2541"/>
      <c r="R63" s="2031"/>
      <c r="S63" s="2541"/>
      <c r="T63" s="2031"/>
      <c r="U63" s="2541"/>
      <c r="V63" s="2031"/>
      <c r="W63" s="2541"/>
      <c r="X63" s="2031"/>
      <c r="Y63" s="2541"/>
      <c r="Z63" s="2031"/>
      <c r="AA63" s="2031"/>
      <c r="AB63" s="1994">
        <v>0</v>
      </c>
      <c r="AC63" s="2038"/>
      <c r="AD63" s="1999">
        <f t="shared" si="10"/>
        <v>7.2</v>
      </c>
      <c r="AE63" s="1994"/>
      <c r="AF63" s="2038"/>
      <c r="AG63" s="2031">
        <f>'Exhibit G State'!AG63+'Exhibit G Federal'!AG36</f>
        <v>7.2</v>
      </c>
      <c r="AH63" s="3484"/>
      <c r="AI63" s="1976"/>
      <c r="AJ63" s="1999">
        <f t="shared" si="13"/>
        <v>0</v>
      </c>
      <c r="AK63" s="2549"/>
      <c r="AL63" s="1728">
        <f t="shared" ref="AL63:AL66" si="14">ROUND(IF(AG63=0,0,AJ63/ABS(AG63)),3)</f>
        <v>0</v>
      </c>
    </row>
    <row r="64" spans="1:38" s="2184" customFormat="1" ht="15" customHeight="1">
      <c r="A64" s="2464"/>
      <c r="B64" s="2484" t="s">
        <v>1064</v>
      </c>
      <c r="C64" s="2464"/>
      <c r="D64" s="2031">
        <f>'Exhibit G State'!D64+'Exhibit G Federal'!D37</f>
        <v>8.9</v>
      </c>
      <c r="E64" s="2031"/>
      <c r="F64" s="2031">
        <f>'Exhibit G State'!F64+'Exhibit G Federal'!F37</f>
        <v>0.29999999999999893</v>
      </c>
      <c r="G64" s="2031"/>
      <c r="H64" s="2031">
        <f>'Exhibit G State'!H64+'Exhibit G Federal'!H37</f>
        <v>0</v>
      </c>
      <c r="I64" s="2529"/>
      <c r="J64" s="2031">
        <f>'Exhibit G State'!J64+'Exhibit G Federal'!J37</f>
        <v>4.2000000000000011</v>
      </c>
      <c r="K64" s="2541"/>
      <c r="L64" s="2031">
        <f>'Exhibit G State'!L64+'Exhibit G Federal'!L37</f>
        <v>1.7999999999999989</v>
      </c>
      <c r="M64" s="2541"/>
      <c r="N64" s="2031">
        <f>'Exhibit G State'!N64+'Exhibit G Federal'!N37</f>
        <v>0</v>
      </c>
      <c r="O64" s="2541"/>
      <c r="P64" s="2031">
        <f>'Exhibit G State'!P64+'Exhibit G Federal'!P37</f>
        <v>0.40000000000000036</v>
      </c>
      <c r="Q64" s="2541"/>
      <c r="R64" s="2031"/>
      <c r="S64" s="2541"/>
      <c r="T64" s="2031"/>
      <c r="U64" s="2541"/>
      <c r="V64" s="2031"/>
      <c r="W64" s="2541"/>
      <c r="X64" s="2031"/>
      <c r="Y64" s="2541"/>
      <c r="Z64" s="2031"/>
      <c r="AA64" s="2031"/>
      <c r="AB64" s="1994">
        <v>0</v>
      </c>
      <c r="AC64" s="2038"/>
      <c r="AD64" s="1999">
        <f t="shared" si="10"/>
        <v>15.6</v>
      </c>
      <c r="AE64" s="1994"/>
      <c r="AF64" s="2038"/>
      <c r="AG64" s="2031">
        <f>'Exhibit G State'!AG64+'Exhibit G Federal'!AG37</f>
        <v>29.2</v>
      </c>
      <c r="AH64" s="3484"/>
      <c r="AI64" s="1976"/>
      <c r="AJ64" s="1999">
        <f t="shared" si="13"/>
        <v>-13.6</v>
      </c>
      <c r="AK64" s="2549"/>
      <c r="AL64" s="1728">
        <f t="shared" si="14"/>
        <v>-0.46600000000000003</v>
      </c>
    </row>
    <row r="65" spans="1:38" s="2184" customFormat="1" ht="15" customHeight="1">
      <c r="A65" s="2464"/>
      <c r="B65" s="2484" t="s">
        <v>1034</v>
      </c>
      <c r="C65" s="2464"/>
      <c r="D65" s="2031">
        <f>'Exhibit G State'!D65+'Exhibit G Federal'!D38</f>
        <v>9.2999999999999989</v>
      </c>
      <c r="E65" s="2031"/>
      <c r="F65" s="2031">
        <f>'Exhibit G State'!F65+'Exhibit G Federal'!F38</f>
        <v>2.2000000000000011</v>
      </c>
      <c r="G65" s="2031"/>
      <c r="H65" s="2031">
        <f>'Exhibit G State'!H65+'Exhibit G Federal'!H38</f>
        <v>3.6999999999999993</v>
      </c>
      <c r="I65" s="2529"/>
      <c r="J65" s="2031">
        <f>'Exhibit G State'!J65+'Exhibit G Federal'!J38</f>
        <v>3.6999999999999993</v>
      </c>
      <c r="K65" s="2541"/>
      <c r="L65" s="2031">
        <f>'Exhibit G State'!L65+'Exhibit G Federal'!L38</f>
        <v>1.6000000000000014</v>
      </c>
      <c r="M65" s="2541"/>
      <c r="N65" s="2031">
        <f>'Exhibit G State'!N65+'Exhibit G Federal'!N38</f>
        <v>4.6999999999999993</v>
      </c>
      <c r="O65" s="2541"/>
      <c r="P65" s="2031">
        <f>'Exhibit G State'!P65+'Exhibit G Federal'!P38</f>
        <v>3.4000000000000021</v>
      </c>
      <c r="Q65" s="2541"/>
      <c r="R65" s="2031"/>
      <c r="S65" s="2541"/>
      <c r="T65" s="2031"/>
      <c r="U65" s="2541"/>
      <c r="V65" s="2031"/>
      <c r="W65" s="2541"/>
      <c r="X65" s="2031"/>
      <c r="Y65" s="2541"/>
      <c r="Z65" s="2031"/>
      <c r="AA65" s="2031"/>
      <c r="AB65" s="1994">
        <v>0</v>
      </c>
      <c r="AC65" s="2038"/>
      <c r="AD65" s="1999">
        <f t="shared" si="10"/>
        <v>28.6</v>
      </c>
      <c r="AE65" s="1994"/>
      <c r="AF65" s="2038"/>
      <c r="AG65" s="2031">
        <f>'Exhibit G State'!AG65+'Exhibit G Federal'!AG38</f>
        <v>34.1</v>
      </c>
      <c r="AH65" s="3484"/>
      <c r="AI65" s="1976"/>
      <c r="AJ65" s="1999">
        <f t="shared" si="13"/>
        <v>-5.5</v>
      </c>
      <c r="AK65" s="2549"/>
      <c r="AL65" s="1723">
        <f t="shared" si="14"/>
        <v>-0.161</v>
      </c>
    </row>
    <row r="66" spans="1:38" s="2184" customFormat="1" ht="15" customHeight="1">
      <c r="A66" s="2464"/>
      <c r="B66" s="2484" t="s">
        <v>1035</v>
      </c>
      <c r="C66" s="2464"/>
      <c r="D66" s="2031">
        <f>'Exhibit G State'!D66+'Exhibit G Federal'!D39</f>
        <v>-5.3</v>
      </c>
      <c r="E66" s="2031"/>
      <c r="F66" s="2031">
        <f>'Exhibit G State'!F66+'Exhibit G Federal'!F39</f>
        <v>-42.900000000000006</v>
      </c>
      <c r="G66" s="2031"/>
      <c r="H66" s="2031">
        <f>'Exhibit G State'!H66+'Exhibit G Federal'!H39</f>
        <v>-0.39999999999999858</v>
      </c>
      <c r="I66" s="2529"/>
      <c r="J66" s="2031">
        <f>'Exhibit G State'!J66+'Exhibit G Federal'!J39</f>
        <v>1.8999999999999986</v>
      </c>
      <c r="K66" s="2541"/>
      <c r="L66" s="2031">
        <f>'Exhibit G State'!L66+'Exhibit G Federal'!L39</f>
        <v>3.8000000000000043</v>
      </c>
      <c r="M66" s="2541"/>
      <c r="N66" s="2031">
        <f>'Exhibit G State'!N66+'Exhibit G Federal'!N39</f>
        <v>34.6</v>
      </c>
      <c r="O66" s="2541"/>
      <c r="P66" s="2031">
        <f>'Exhibit G State'!P66+'Exhibit G Federal'!P39</f>
        <v>60.999999999999993</v>
      </c>
      <c r="Q66" s="2541"/>
      <c r="R66" s="2031"/>
      <c r="S66" s="2541"/>
      <c r="T66" s="2031"/>
      <c r="U66" s="2541"/>
      <c r="V66" s="2031"/>
      <c r="W66" s="2541"/>
      <c r="X66" s="2031"/>
      <c r="Y66" s="2541"/>
      <c r="Z66" s="2031"/>
      <c r="AA66" s="2031"/>
      <c r="AB66" s="1994">
        <v>0</v>
      </c>
      <c r="AC66" s="2038"/>
      <c r="AD66" s="1999">
        <f t="shared" si="10"/>
        <v>52.7</v>
      </c>
      <c r="AE66" s="1994"/>
      <c r="AF66" s="2038"/>
      <c r="AG66" s="2031">
        <f>'Exhibit G State'!AG66+'Exhibit G Federal'!AG39</f>
        <v>171.8</v>
      </c>
      <c r="AH66" s="3484"/>
      <c r="AI66" s="1976"/>
      <c r="AJ66" s="1999">
        <f t="shared" si="13"/>
        <v>-119.1</v>
      </c>
      <c r="AK66" s="2549"/>
      <c r="AL66" s="1728">
        <f t="shared" si="14"/>
        <v>-0.69299999999999995</v>
      </c>
    </row>
    <row r="67" spans="1:38" s="2184" customFormat="1" ht="15" customHeight="1">
      <c r="A67" s="2464"/>
      <c r="B67" s="2484" t="s">
        <v>1138</v>
      </c>
      <c r="C67" s="2464"/>
      <c r="D67" s="2031"/>
      <c r="E67" s="2031"/>
      <c r="F67" s="2031"/>
      <c r="G67" s="2529"/>
      <c r="H67" s="2031"/>
      <c r="I67" s="2529"/>
      <c r="J67" s="2031"/>
      <c r="K67" s="2541"/>
      <c r="L67" s="2031"/>
      <c r="M67" s="2541"/>
      <c r="N67" s="2031"/>
      <c r="O67" s="2541"/>
      <c r="P67" s="2031"/>
      <c r="Q67" s="2541"/>
      <c r="R67" s="2031"/>
      <c r="S67" s="2541"/>
      <c r="T67" s="2031"/>
      <c r="U67" s="2541"/>
      <c r="V67" s="2031"/>
      <c r="W67" s="2541"/>
      <c r="X67" s="2031"/>
      <c r="Y67" s="2541"/>
      <c r="Z67" s="2031"/>
      <c r="AA67" s="2031"/>
      <c r="AB67" s="1994"/>
      <c r="AC67" s="2038"/>
      <c r="AD67" s="1999"/>
      <c r="AE67" s="1994"/>
      <c r="AF67" s="2038"/>
      <c r="AG67" s="2031"/>
      <c r="AH67" s="3484"/>
      <c r="AI67" s="1976"/>
      <c r="AJ67" s="1999"/>
      <c r="AK67" s="2549"/>
      <c r="AL67" s="1817"/>
    </row>
    <row r="68" spans="1:38" s="2184" customFormat="1" ht="15" customHeight="1">
      <c r="A68" s="2464"/>
      <c r="B68" s="2484" t="s">
        <v>1065</v>
      </c>
      <c r="C68" s="2464"/>
      <c r="D68" s="2031">
        <f>'Exhibit G State'!D68+'Exhibit G Federal'!D41</f>
        <v>24.6</v>
      </c>
      <c r="E68" s="2031"/>
      <c r="F68" s="2031">
        <f>'Exhibit G State'!F68+'Exhibit G Federal'!F41</f>
        <v>8.5</v>
      </c>
      <c r="G68" s="2031"/>
      <c r="H68" s="2031">
        <f>'Exhibit G State'!H68+'Exhibit G Federal'!H41</f>
        <v>8.6999999999999957</v>
      </c>
      <c r="I68" s="2529"/>
      <c r="J68" s="2031">
        <f>'Exhibit G State'!J68+'Exhibit G Federal'!J41</f>
        <v>8.7000000000000028</v>
      </c>
      <c r="K68" s="2541"/>
      <c r="L68" s="2031">
        <f>'Exhibit G State'!L68+'Exhibit G Federal'!L41</f>
        <v>8.7999999999999972</v>
      </c>
      <c r="M68" s="2541"/>
      <c r="N68" s="2031">
        <f>'Exhibit G State'!N68+'Exhibit G Federal'!N41</f>
        <v>10.100000000000009</v>
      </c>
      <c r="O68" s="2541"/>
      <c r="P68" s="2031">
        <f>'Exhibit G State'!P68+'Exhibit G Federal'!P41</f>
        <v>24.199999999999996</v>
      </c>
      <c r="Q68" s="2541"/>
      <c r="R68" s="2031"/>
      <c r="S68" s="2541"/>
      <c r="T68" s="2031"/>
      <c r="U68" s="2541"/>
      <c r="V68" s="2031"/>
      <c r="W68" s="2541"/>
      <c r="X68" s="2031"/>
      <c r="Y68" s="2541"/>
      <c r="Z68" s="2031"/>
      <c r="AA68" s="2031"/>
      <c r="AB68" s="1994">
        <v>0</v>
      </c>
      <c r="AC68" s="2038"/>
      <c r="AD68" s="1999">
        <f t="shared" si="10"/>
        <v>93.6</v>
      </c>
      <c r="AE68" s="1994"/>
      <c r="AF68" s="2038"/>
      <c r="AG68" s="2031">
        <f>'Exhibit G State'!AG68+'Exhibit G Federal'!AG41</f>
        <v>59.6</v>
      </c>
      <c r="AH68" s="3484"/>
      <c r="AI68" s="1976"/>
      <c r="AJ68" s="1999">
        <f t="shared" ref="AJ68:AJ79" si="15">ROUND(SUM(+AD68-AG68),1)</f>
        <v>34</v>
      </c>
      <c r="AK68" s="2549"/>
      <c r="AL68" s="1728">
        <f>ROUND(IF(AG68=0,0,AJ68/ABS(AG68)),3)</f>
        <v>0.56999999999999995</v>
      </c>
    </row>
    <row r="69" spans="1:38" s="2184" customFormat="1" ht="15" customHeight="1">
      <c r="A69" s="2464"/>
      <c r="B69" s="2484" t="s">
        <v>1066</v>
      </c>
      <c r="C69" s="2464"/>
      <c r="D69" s="2031">
        <f>'Exhibit G State'!D69+'Exhibit G Federal'!D42</f>
        <v>0.2</v>
      </c>
      <c r="E69" s="2031"/>
      <c r="F69" s="2031">
        <f>'Exhibit G State'!F69+'Exhibit G Federal'!F42</f>
        <v>9.9999999999999978E-2</v>
      </c>
      <c r="G69" s="2031"/>
      <c r="H69" s="2031">
        <f>'Exhibit G State'!H69+'Exhibit G Federal'!H42</f>
        <v>0.10000000000000003</v>
      </c>
      <c r="I69" s="2529"/>
      <c r="J69" s="2031">
        <f>'Exhibit G State'!J69+'Exhibit G Federal'!J42</f>
        <v>0.19999999999999785</v>
      </c>
      <c r="K69" s="2541"/>
      <c r="L69" s="2031">
        <f>'Exhibit G State'!L69+'Exhibit G Federal'!L42</f>
        <v>0.30000000000000077</v>
      </c>
      <c r="M69" s="2541"/>
      <c r="N69" s="2031">
        <f>'Exhibit G State'!N69+'Exhibit G Federal'!N42</f>
        <v>0.80000000000000071</v>
      </c>
      <c r="O69" s="2541"/>
      <c r="P69" s="2031">
        <f>'Exhibit G State'!P69+'Exhibit G Federal'!P42</f>
        <v>0.69999999999999174</v>
      </c>
      <c r="Q69" s="2541"/>
      <c r="R69" s="2031"/>
      <c r="S69" s="2541"/>
      <c r="T69" s="2031"/>
      <c r="U69" s="2541"/>
      <c r="V69" s="2031"/>
      <c r="W69" s="2541"/>
      <c r="X69" s="2031"/>
      <c r="Y69" s="2541"/>
      <c r="Z69" s="2031"/>
      <c r="AA69" s="2031"/>
      <c r="AB69" s="1994">
        <v>0</v>
      </c>
      <c r="AC69" s="2038"/>
      <c r="AD69" s="1999">
        <f t="shared" si="10"/>
        <v>2.4</v>
      </c>
      <c r="AE69" s="1994"/>
      <c r="AF69" s="2038"/>
      <c r="AG69" s="2031">
        <f>'Exhibit G State'!AG69+'Exhibit G Federal'!AG42</f>
        <v>3.8</v>
      </c>
      <c r="AH69" s="3484"/>
      <c r="AI69" s="1976"/>
      <c r="AJ69" s="1999">
        <f t="shared" si="15"/>
        <v>-1.4</v>
      </c>
      <c r="AK69" s="2549"/>
      <c r="AL69" s="1723">
        <f>ROUND(IF(AG69=0,1,AJ69/ABS(AG69)),3)</f>
        <v>-0.36799999999999999</v>
      </c>
    </row>
    <row r="70" spans="1:38" s="2184" customFormat="1" ht="15" customHeight="1">
      <c r="A70" s="2464"/>
      <c r="B70" s="2484" t="s">
        <v>1352</v>
      </c>
      <c r="C70" s="2464"/>
      <c r="D70" s="2031">
        <f>'Exhibit G State'!D70</f>
        <v>0</v>
      </c>
      <c r="E70" s="2031"/>
      <c r="F70" s="2031">
        <f>'Exhibit G State'!F70</f>
        <v>0</v>
      </c>
      <c r="G70" s="2031"/>
      <c r="H70" s="2031">
        <f>'Exhibit G State'!H70</f>
        <v>0</v>
      </c>
      <c r="I70" s="3592"/>
      <c r="J70" s="2031">
        <f>'Exhibit G State'!J70</f>
        <v>0</v>
      </c>
      <c r="K70" s="3592"/>
      <c r="L70" s="2031">
        <f>'Exhibit G State'!L70</f>
        <v>0</v>
      </c>
      <c r="M70" s="3592"/>
      <c r="N70" s="2031">
        <f>'Exhibit G State'!N70</f>
        <v>0</v>
      </c>
      <c r="O70" s="3592"/>
      <c r="P70" s="2031">
        <f>'Exhibit G State'!P70</f>
        <v>0</v>
      </c>
      <c r="Q70" s="3592"/>
      <c r="R70" s="2031"/>
      <c r="S70" s="3592"/>
      <c r="T70" s="2031"/>
      <c r="U70" s="2541"/>
      <c r="V70" s="2031"/>
      <c r="W70" s="2541"/>
      <c r="X70" s="2031"/>
      <c r="Y70" s="2541"/>
      <c r="Z70" s="2031"/>
      <c r="AA70" s="2031"/>
      <c r="AB70" s="1994">
        <v>0</v>
      </c>
      <c r="AC70" s="2038"/>
      <c r="AD70" s="1999">
        <f>ROUND(SUM(D70:Z70),1)</f>
        <v>0</v>
      </c>
      <c r="AE70" s="1994"/>
      <c r="AF70" s="2038"/>
      <c r="AG70" s="2031">
        <f>'Exhibit G State'!AG70</f>
        <v>0</v>
      </c>
      <c r="AH70" s="3484"/>
      <c r="AI70" s="1976"/>
      <c r="AJ70" s="1999">
        <f t="shared" ref="AJ70" si="16">ROUND(SUM(+AD70-AG70),1)</f>
        <v>0</v>
      </c>
      <c r="AK70" s="2549"/>
      <c r="AL70" s="1723">
        <f>ROUND(IF(AG70=0,0,AJ70/ABS(AG70)),3)</f>
        <v>0</v>
      </c>
    </row>
    <row r="71" spans="1:38" s="2184" customFormat="1" ht="15" customHeight="1">
      <c r="A71" s="2464"/>
      <c r="B71" s="2484" t="s">
        <v>1067</v>
      </c>
      <c r="C71" s="2464"/>
      <c r="D71" s="2031">
        <f>'Exhibit G State'!D71+'Exhibit G Federal'!D43</f>
        <v>0.6</v>
      </c>
      <c r="E71" s="2031"/>
      <c r="F71" s="2031">
        <f>'Exhibit G State'!F71+'Exhibit G Federal'!F43</f>
        <v>1.5</v>
      </c>
      <c r="G71" s="2031"/>
      <c r="H71" s="2031">
        <f>'Exhibit G State'!H71+'Exhibit G Federal'!H43</f>
        <v>22.099999999999998</v>
      </c>
      <c r="I71" s="2529"/>
      <c r="J71" s="2031">
        <f>'Exhibit G State'!J71+'Exhibit G Federal'!J43</f>
        <v>0.69999999999999929</v>
      </c>
      <c r="K71" s="2541"/>
      <c r="L71" s="2031">
        <f>'Exhibit G State'!L71+'Exhibit G Federal'!L43</f>
        <v>0.60000000000000142</v>
      </c>
      <c r="M71" s="2541"/>
      <c r="N71" s="2031">
        <f>'Exhibit G State'!N71+'Exhibit G Federal'!N43</f>
        <v>0.5</v>
      </c>
      <c r="O71" s="2541"/>
      <c r="P71" s="2031">
        <f>'Exhibit G State'!P71+'Exhibit G Federal'!P43</f>
        <v>5.1000000000000014</v>
      </c>
      <c r="Q71" s="2541"/>
      <c r="R71" s="2031"/>
      <c r="S71" s="2541"/>
      <c r="T71" s="2031"/>
      <c r="U71" s="2541"/>
      <c r="V71" s="2031"/>
      <c r="W71" s="2541"/>
      <c r="X71" s="2031"/>
      <c r="Y71" s="2541"/>
      <c r="Z71" s="2031"/>
      <c r="AA71" s="2031"/>
      <c r="AB71" s="1994">
        <v>0</v>
      </c>
      <c r="AC71" s="2038"/>
      <c r="AD71" s="1999">
        <f t="shared" si="10"/>
        <v>31.1</v>
      </c>
      <c r="AE71" s="1994"/>
      <c r="AF71" s="2038"/>
      <c r="AG71" s="2031">
        <f>'Exhibit G State'!AG71+'Exhibit G Federal'!AG43</f>
        <v>5.8</v>
      </c>
      <c r="AH71" s="3484"/>
      <c r="AI71" s="1976"/>
      <c r="AJ71" s="1999">
        <f t="shared" si="15"/>
        <v>25.3</v>
      </c>
      <c r="AK71" s="2549"/>
      <c r="AL71" s="1728">
        <f t="shared" ref="AL71:AL74" si="17">ROUND(IF(AG71=0,0,AJ71/ABS(AG71)),3)</f>
        <v>4.3620000000000001</v>
      </c>
    </row>
    <row r="72" spans="1:38" s="2184" customFormat="1" ht="15" customHeight="1">
      <c r="A72" s="2464"/>
      <c r="B72" s="2484" t="s">
        <v>1068</v>
      </c>
      <c r="C72" s="2464"/>
      <c r="D72" s="2031">
        <f>'Exhibit G State'!D72+'Exhibit G Federal'!D44</f>
        <v>0</v>
      </c>
      <c r="E72" s="2031"/>
      <c r="F72" s="2031">
        <f>'Exhibit G State'!F72+'Exhibit G Federal'!F44</f>
        <v>0</v>
      </c>
      <c r="G72" s="2031"/>
      <c r="H72" s="2031">
        <f>'Exhibit G State'!H72+'Exhibit G Federal'!H44</f>
        <v>0</v>
      </c>
      <c r="I72" s="2529"/>
      <c r="J72" s="2031">
        <f>'Exhibit G State'!J72+'Exhibit G Federal'!J44</f>
        <v>0</v>
      </c>
      <c r="K72" s="2541"/>
      <c r="L72" s="2031">
        <f>'Exhibit G State'!L72+'Exhibit G Federal'!L44</f>
        <v>0</v>
      </c>
      <c r="M72" s="2541"/>
      <c r="N72" s="2031">
        <f>'Exhibit G State'!N72+'Exhibit G Federal'!N44</f>
        <v>0</v>
      </c>
      <c r="O72" s="2541"/>
      <c r="P72" s="2031">
        <f>'Exhibit G State'!P72+'Exhibit G Federal'!P44</f>
        <v>0</v>
      </c>
      <c r="Q72" s="2541"/>
      <c r="R72" s="2031"/>
      <c r="S72" s="2541"/>
      <c r="T72" s="2031"/>
      <c r="U72" s="2541"/>
      <c r="V72" s="2031"/>
      <c r="W72" s="2541"/>
      <c r="X72" s="2031"/>
      <c r="Y72" s="2541"/>
      <c r="Z72" s="2031"/>
      <c r="AA72" s="2031"/>
      <c r="AB72" s="1994">
        <v>0</v>
      </c>
      <c r="AC72" s="2038"/>
      <c r="AD72" s="1999">
        <f t="shared" si="10"/>
        <v>0</v>
      </c>
      <c r="AE72" s="1994"/>
      <c r="AF72" s="2038"/>
      <c r="AG72" s="2031">
        <f>'Exhibit G State'!AG72+'Exhibit G Federal'!AG44</f>
        <v>0.9</v>
      </c>
      <c r="AH72" s="3484"/>
      <c r="AI72" s="1976"/>
      <c r="AJ72" s="1999">
        <f t="shared" si="15"/>
        <v>-0.9</v>
      </c>
      <c r="AK72" s="2549"/>
      <c r="AL72" s="1728">
        <f>ROUND(IF(AG72=0,0,AJ72/ABS(AG72)),3)</f>
        <v>-1</v>
      </c>
    </row>
    <row r="73" spans="1:38" s="2184" customFormat="1" ht="15" customHeight="1">
      <c r="A73" s="2464"/>
      <c r="B73" s="2484" t="s">
        <v>1069</v>
      </c>
      <c r="C73" s="2464"/>
      <c r="D73" s="2031">
        <f>'Exhibit G State'!D73+'Exhibit G Federal'!D45</f>
        <v>483</v>
      </c>
      <c r="E73" s="2031"/>
      <c r="F73" s="2031">
        <f>'Exhibit G State'!F73+'Exhibit G Federal'!F45</f>
        <v>305.70000000000005</v>
      </c>
      <c r="G73" s="2031"/>
      <c r="H73" s="2031">
        <f>'Exhibit G State'!H73+'Exhibit G Federal'!H45</f>
        <v>305.79999999999995</v>
      </c>
      <c r="I73" s="2529"/>
      <c r="J73" s="2031">
        <f>'Exhibit G State'!J73+'Exhibit G Federal'!J45</f>
        <v>198.79999999999995</v>
      </c>
      <c r="K73" s="2541"/>
      <c r="L73" s="2031">
        <f>'Exhibit G State'!L73+'Exhibit G Federal'!L45</f>
        <v>167.90000000000009</v>
      </c>
      <c r="M73" s="2541"/>
      <c r="N73" s="2031">
        <f>'Exhibit G State'!N73+'Exhibit G Federal'!N45</f>
        <v>150.09999999999991</v>
      </c>
      <c r="O73" s="2541"/>
      <c r="P73" s="2031">
        <f>'Exhibit G State'!P73+'Exhibit G Federal'!P45</f>
        <v>221.20000000000005</v>
      </c>
      <c r="Q73" s="2541"/>
      <c r="R73" s="2031"/>
      <c r="S73" s="2541"/>
      <c r="T73" s="2031"/>
      <c r="U73" s="2541"/>
      <c r="V73" s="2031"/>
      <c r="W73" s="2541"/>
      <c r="X73" s="2031"/>
      <c r="Y73" s="2541"/>
      <c r="Z73" s="2031"/>
      <c r="AA73" s="2031"/>
      <c r="AB73" s="1994">
        <v>0</v>
      </c>
      <c r="AC73" s="2038"/>
      <c r="AD73" s="1999">
        <f t="shared" si="10"/>
        <v>1832.5</v>
      </c>
      <c r="AE73" s="1994"/>
      <c r="AF73" s="2038"/>
      <c r="AG73" s="2031">
        <f>'Exhibit G State'!AG73+'Exhibit G Federal'!AG45</f>
        <v>1280.9000000000001</v>
      </c>
      <c r="AH73" s="3484"/>
      <c r="AI73" s="1976"/>
      <c r="AJ73" s="1999">
        <f t="shared" si="15"/>
        <v>551.6</v>
      </c>
      <c r="AK73" s="2549"/>
      <c r="AL73" s="1723">
        <f t="shared" si="17"/>
        <v>0.43099999999999999</v>
      </c>
    </row>
    <row r="74" spans="1:38" s="2184" customFormat="1" ht="15" customHeight="1">
      <c r="A74" s="2464"/>
      <c r="B74" s="2484" t="s">
        <v>1070</v>
      </c>
      <c r="C74" s="2464"/>
      <c r="D74" s="2031">
        <f>'Exhibit G State'!D74+'Exhibit G Federal'!D46</f>
        <v>7.8</v>
      </c>
      <c r="E74" s="2031"/>
      <c r="F74" s="2031">
        <f>'Exhibit G State'!F74+'Exhibit G Federal'!F46</f>
        <v>13.6</v>
      </c>
      <c r="G74" s="2031"/>
      <c r="H74" s="2031">
        <f>'Exhibit G State'!H74+'Exhibit G Federal'!H46</f>
        <v>14.1</v>
      </c>
      <c r="I74" s="2529"/>
      <c r="J74" s="2031">
        <f>'Exhibit G State'!J74+'Exhibit G Federal'!J46</f>
        <v>17.699999999999996</v>
      </c>
      <c r="K74" s="2541"/>
      <c r="L74" s="2031">
        <f>'Exhibit G State'!L74+'Exhibit G Federal'!L46</f>
        <v>9.5</v>
      </c>
      <c r="M74" s="2541"/>
      <c r="N74" s="2031">
        <f>'Exhibit G State'!N74+'Exhibit G Federal'!N46</f>
        <v>12.699999999999998</v>
      </c>
      <c r="O74" s="2541"/>
      <c r="P74" s="2031">
        <f>'Exhibit G State'!P74+'Exhibit G Federal'!P46</f>
        <v>10.499999999999996</v>
      </c>
      <c r="Q74" s="2541"/>
      <c r="R74" s="2031"/>
      <c r="S74" s="2541"/>
      <c r="T74" s="2031"/>
      <c r="U74" s="2541"/>
      <c r="V74" s="2031"/>
      <c r="W74" s="2541"/>
      <c r="X74" s="2031"/>
      <c r="Y74" s="2541"/>
      <c r="Z74" s="2031"/>
      <c r="AA74" s="2031"/>
      <c r="AB74" s="1994">
        <v>0</v>
      </c>
      <c r="AC74" s="2038"/>
      <c r="AD74" s="1999">
        <f t="shared" si="10"/>
        <v>85.9</v>
      </c>
      <c r="AE74" s="1994"/>
      <c r="AF74" s="2038"/>
      <c r="AG74" s="2031">
        <f>'Exhibit G State'!AG74+'Exhibit G Federal'!AG46</f>
        <v>99.1</v>
      </c>
      <c r="AH74" s="3484"/>
      <c r="AI74" s="1976"/>
      <c r="AJ74" s="1999">
        <f t="shared" si="15"/>
        <v>-13.2</v>
      </c>
      <c r="AK74" s="2549"/>
      <c r="AL74" s="1723">
        <f t="shared" si="17"/>
        <v>-0.13300000000000001</v>
      </c>
    </row>
    <row r="75" spans="1:38" s="2184" customFormat="1" ht="15" customHeight="1">
      <c r="A75" s="2464"/>
      <c r="B75" s="2484" t="s">
        <v>1071</v>
      </c>
      <c r="C75" s="2464"/>
      <c r="D75" s="2031">
        <f>'Exhibit G State'!D75+'Exhibit G Federal'!D47</f>
        <v>3.7</v>
      </c>
      <c r="E75" s="2031"/>
      <c r="F75" s="2031">
        <f>'Exhibit G State'!F75+'Exhibit G Federal'!F47</f>
        <v>0.39999999999999947</v>
      </c>
      <c r="G75" s="2031"/>
      <c r="H75" s="2031">
        <f>'Exhibit G State'!H75+'Exhibit G Federal'!H47</f>
        <v>0.60000000000000053</v>
      </c>
      <c r="I75" s="2529"/>
      <c r="J75" s="2031">
        <f>'Exhibit G State'!J75+'Exhibit G Federal'!J47</f>
        <v>9.9999999999999645E-2</v>
      </c>
      <c r="K75" s="2541"/>
      <c r="L75" s="2031">
        <f>'Exhibit G State'!L75+'Exhibit G Federal'!L47</f>
        <v>41.8</v>
      </c>
      <c r="M75" s="2541"/>
      <c r="N75" s="2031">
        <f>'Exhibit G State'!N75+'Exhibit G Federal'!N47</f>
        <v>3.8999999999999986</v>
      </c>
      <c r="O75" s="2541"/>
      <c r="P75" s="2031">
        <f>'Exhibit G State'!P75+'Exhibit G Federal'!P47</f>
        <v>0.29999999999999716</v>
      </c>
      <c r="Q75" s="2541"/>
      <c r="R75" s="2031"/>
      <c r="S75" s="2541"/>
      <c r="T75" s="2031"/>
      <c r="U75" s="2541"/>
      <c r="V75" s="2031"/>
      <c r="W75" s="2541"/>
      <c r="X75" s="2031"/>
      <c r="Y75" s="2541"/>
      <c r="Z75" s="2031"/>
      <c r="AA75" s="2031"/>
      <c r="AB75" s="1994">
        <v>0</v>
      </c>
      <c r="AC75" s="2038"/>
      <c r="AD75" s="1999">
        <f t="shared" si="10"/>
        <v>50.8</v>
      </c>
      <c r="AE75" s="1994"/>
      <c r="AF75" s="2038"/>
      <c r="AG75" s="2031">
        <f>'Exhibit G State'!AG75+'Exhibit G Federal'!AG47</f>
        <v>17.3</v>
      </c>
      <c r="AH75" s="3484"/>
      <c r="AI75" s="1976"/>
      <c r="AJ75" s="1999">
        <f t="shared" si="15"/>
        <v>33.5</v>
      </c>
      <c r="AK75" s="2549"/>
      <c r="AL75" s="1728">
        <f>ROUND(IF(AG75=0,1,AJ75/ABS(AG75)),3)</f>
        <v>1.9359999999999999</v>
      </c>
    </row>
    <row r="76" spans="1:38" s="2184" customFormat="1" ht="15" customHeight="1">
      <c r="A76" s="2464"/>
      <c r="B76" s="2484" t="s">
        <v>1072</v>
      </c>
      <c r="C76" s="2464"/>
      <c r="D76" s="2031">
        <f>'Exhibit G State'!D76+'Exhibit G Federal'!D48</f>
        <v>6.1</v>
      </c>
      <c r="E76" s="2031"/>
      <c r="F76" s="2031">
        <f>'Exhibit G State'!F76+'Exhibit G Federal'!F48</f>
        <v>1.4000000000000004</v>
      </c>
      <c r="G76" s="2031"/>
      <c r="H76" s="2031">
        <f>'Exhibit G State'!H76+'Exhibit G Federal'!H48</f>
        <v>3.1999999999999993</v>
      </c>
      <c r="I76" s="2529"/>
      <c r="J76" s="2031">
        <f>'Exhibit G State'!J76+'Exhibit G Federal'!J48</f>
        <v>6.4000000000000021</v>
      </c>
      <c r="K76" s="2541"/>
      <c r="L76" s="2031">
        <f>'Exhibit G State'!L76+'Exhibit G Federal'!L48</f>
        <v>6.7999999999999972</v>
      </c>
      <c r="M76" s="2541"/>
      <c r="N76" s="2031">
        <f>'Exhibit G State'!N76+'Exhibit G Federal'!N48</f>
        <v>3.7000000000000028</v>
      </c>
      <c r="O76" s="2541"/>
      <c r="P76" s="2031">
        <f>'Exhibit G State'!P76+'Exhibit G Federal'!P48</f>
        <v>6</v>
      </c>
      <c r="Q76" s="2541"/>
      <c r="R76" s="2031"/>
      <c r="S76" s="2541"/>
      <c r="T76" s="2031"/>
      <c r="U76" s="2541"/>
      <c r="V76" s="2031"/>
      <c r="W76" s="2541"/>
      <c r="X76" s="2031"/>
      <c r="Y76" s="2541"/>
      <c r="Z76" s="2031"/>
      <c r="AA76" s="2031"/>
      <c r="AB76" s="1994">
        <v>0</v>
      </c>
      <c r="AC76" s="2038"/>
      <c r="AD76" s="1999">
        <f t="shared" si="10"/>
        <v>33.6</v>
      </c>
      <c r="AE76" s="1994"/>
      <c r="AF76" s="2038"/>
      <c r="AG76" s="2031">
        <f>'Exhibit G State'!AG76+'Exhibit G Federal'!AG48</f>
        <v>41.5</v>
      </c>
      <c r="AH76" s="3484"/>
      <c r="AI76" s="1976"/>
      <c r="AJ76" s="1999">
        <f t="shared" si="15"/>
        <v>-7.9</v>
      </c>
      <c r="AK76" s="2549"/>
      <c r="AL76" s="1723">
        <f>ROUND(IF(AG76=0,0,AJ76/ABS(AG76)),3)</f>
        <v>-0.19</v>
      </c>
    </row>
    <row r="77" spans="1:38" s="2184" customFormat="1" ht="15" customHeight="1">
      <c r="A77" s="2464"/>
      <c r="B77" s="2484" t="s">
        <v>1073</v>
      </c>
      <c r="C77" s="2464"/>
      <c r="D77" s="2031">
        <f>'Exhibit G State'!D77+'Exhibit G Federal'!D49</f>
        <v>-24.599999999999998</v>
      </c>
      <c r="E77" s="2031"/>
      <c r="F77" s="2031">
        <f>'Exhibit G State'!F77+'Exhibit G Federal'!F49</f>
        <v>4.3999999999999977</v>
      </c>
      <c r="G77" s="2031"/>
      <c r="H77" s="2031">
        <f>'Exhibit G State'!H77+'Exhibit G Federal'!H49</f>
        <v>13.100000000000001</v>
      </c>
      <c r="I77" s="2529"/>
      <c r="J77" s="2031">
        <f>'Exhibit G State'!J77+'Exhibit G Federal'!J49</f>
        <v>63.5</v>
      </c>
      <c r="K77" s="2541"/>
      <c r="L77" s="2031">
        <f>'Exhibit G State'!L77+'Exhibit G Federal'!L49</f>
        <v>40.000000000000014</v>
      </c>
      <c r="M77" s="2541"/>
      <c r="N77" s="2031">
        <f>'Exhibit G State'!N77+'Exhibit G Federal'!N49</f>
        <v>48.600000000000009</v>
      </c>
      <c r="O77" s="2541"/>
      <c r="P77" s="2031">
        <f>'Exhibit G State'!P77+'Exhibit G Federal'!P49</f>
        <v>58.3</v>
      </c>
      <c r="Q77" s="2541"/>
      <c r="R77" s="2031"/>
      <c r="S77" s="2541"/>
      <c r="T77" s="2031"/>
      <c r="U77" s="2541"/>
      <c r="V77" s="2031"/>
      <c r="W77" s="2541"/>
      <c r="X77" s="2031"/>
      <c r="Y77" s="2541"/>
      <c r="Z77" s="2031"/>
      <c r="AA77" s="2031"/>
      <c r="AB77" s="1994">
        <v>0</v>
      </c>
      <c r="AC77" s="2038"/>
      <c r="AD77" s="1999">
        <f t="shared" si="10"/>
        <v>203.3</v>
      </c>
      <c r="AE77" s="1994"/>
      <c r="AF77" s="2038"/>
      <c r="AG77" s="2031">
        <f>'Exhibit G State'!AG77+'Exhibit G Federal'!AG49</f>
        <v>323</v>
      </c>
      <c r="AH77" s="3484"/>
      <c r="AI77" s="1976"/>
      <c r="AJ77" s="1999">
        <f t="shared" si="15"/>
        <v>-119.7</v>
      </c>
      <c r="AK77" s="2549"/>
      <c r="AL77" s="1728">
        <f>ROUND(IF(AG77=0,0,AJ77/ABS(AG77)),3)</f>
        <v>-0.371</v>
      </c>
    </row>
    <row r="78" spans="1:38" s="2184" customFormat="1" ht="15" customHeight="1">
      <c r="A78" s="2464"/>
      <c r="B78" s="2484" t="s">
        <v>1045</v>
      </c>
      <c r="C78" s="2464"/>
      <c r="D78" s="2031">
        <f>'Exhibit G State'!D78+'Exhibit G Federal'!D50</f>
        <v>0.5</v>
      </c>
      <c r="E78" s="2031"/>
      <c r="F78" s="2031">
        <f>'Exhibit G State'!F78+'Exhibit G Federal'!F50</f>
        <v>0.60000000000000009</v>
      </c>
      <c r="G78" s="2031"/>
      <c r="H78" s="2031">
        <f>'Exhibit G State'!H78+'Exhibit G Federal'!H50</f>
        <v>0.79999999999999982</v>
      </c>
      <c r="I78" s="2529"/>
      <c r="J78" s="2031">
        <f>'Exhibit G State'!J78+'Exhibit G Federal'!J50</f>
        <v>0.70000000000000018</v>
      </c>
      <c r="K78" s="2541"/>
      <c r="L78" s="2031">
        <f>'Exhibit G State'!L78+'Exhibit G Federal'!L50</f>
        <v>0.5</v>
      </c>
      <c r="M78" s="2541"/>
      <c r="N78" s="2031">
        <f>'Exhibit G State'!N78+'Exhibit G Federal'!N50</f>
        <v>0.60000000000000009</v>
      </c>
      <c r="O78" s="2541"/>
      <c r="P78" s="2031">
        <f>'Exhibit G State'!P78+'Exhibit G Federal'!P50</f>
        <v>1.2999999999999998</v>
      </c>
      <c r="Q78" s="2541"/>
      <c r="R78" s="2031"/>
      <c r="S78" s="2541"/>
      <c r="T78" s="2031"/>
      <c r="U78" s="2541"/>
      <c r="V78" s="2031"/>
      <c r="W78" s="2541"/>
      <c r="X78" s="2031"/>
      <c r="Y78" s="2541"/>
      <c r="Z78" s="2031"/>
      <c r="AA78" s="2031"/>
      <c r="AB78" s="1994">
        <v>0</v>
      </c>
      <c r="AC78" s="2038"/>
      <c r="AD78" s="1994">
        <f t="shared" si="10"/>
        <v>5</v>
      </c>
      <c r="AE78" s="1994"/>
      <c r="AF78" s="2038"/>
      <c r="AG78" s="2031">
        <f>'Exhibit G State'!AG78+'Exhibit G Federal'!AG50</f>
        <v>10.7</v>
      </c>
      <c r="AH78" s="3484"/>
      <c r="AI78" s="1976"/>
      <c r="AJ78" s="1999">
        <f t="shared" si="15"/>
        <v>-5.7</v>
      </c>
      <c r="AK78" s="2549"/>
      <c r="AL78" s="1723">
        <f>ROUND(IF(AG78=0,0,AJ78/ABS(AG78)),3)</f>
        <v>-0.53300000000000003</v>
      </c>
    </row>
    <row r="79" spans="1:38" s="2184" customFormat="1" ht="15" customHeight="1">
      <c r="A79" s="2464"/>
      <c r="B79" s="2484" t="s">
        <v>1046</v>
      </c>
      <c r="C79" s="2464"/>
      <c r="D79" s="2031">
        <f>'Exhibit G State'!D79+'Exhibit G Federal'!D51</f>
        <v>-67.5</v>
      </c>
      <c r="E79" s="2031"/>
      <c r="F79" s="2031">
        <f>'Exhibit G State'!F79+'Exhibit G Federal'!F51</f>
        <v>33.6</v>
      </c>
      <c r="G79" s="2031"/>
      <c r="H79" s="2031">
        <f>'Exhibit G State'!H79+'Exhibit G Federal'!H51</f>
        <v>56.9</v>
      </c>
      <c r="I79" s="2529"/>
      <c r="J79" s="2031">
        <f>'Exhibit G State'!J79+'Exhibit G Federal'!J51</f>
        <v>50.900000000000013</v>
      </c>
      <c r="K79" s="2541"/>
      <c r="L79" s="2031">
        <f>'Exhibit G State'!L79+'Exhibit G Federal'!L51</f>
        <v>113.29999999999998</v>
      </c>
      <c r="M79" s="2541"/>
      <c r="N79" s="2031">
        <f>'Exhibit G State'!N79+'Exhibit G Federal'!N51</f>
        <v>375.69999999999993</v>
      </c>
      <c r="O79" s="2541"/>
      <c r="P79" s="2031">
        <f>'Exhibit G State'!P79+'Exhibit G Federal'!P51</f>
        <v>172.80000000000018</v>
      </c>
      <c r="Q79" s="2541"/>
      <c r="R79" s="2031"/>
      <c r="S79" s="2541"/>
      <c r="T79" s="2031"/>
      <c r="U79" s="2541"/>
      <c r="V79" s="2031"/>
      <c r="W79" s="2541"/>
      <c r="X79" s="2031"/>
      <c r="Y79" s="2541"/>
      <c r="Z79" s="2031"/>
      <c r="AA79" s="2031"/>
      <c r="AB79" s="1994">
        <v>0</v>
      </c>
      <c r="AC79" s="2038"/>
      <c r="AD79" s="1994">
        <f t="shared" si="10"/>
        <v>735.7</v>
      </c>
      <c r="AE79" s="1994"/>
      <c r="AF79" s="2038"/>
      <c r="AG79" s="2031">
        <f>'Exhibit G State'!AG79+'Exhibit G Federal'!AG51</f>
        <v>867.4</v>
      </c>
      <c r="AH79" s="3484"/>
      <c r="AI79" s="1976"/>
      <c r="AJ79" s="1999">
        <f t="shared" si="15"/>
        <v>-131.69999999999999</v>
      </c>
      <c r="AK79" s="2549"/>
      <c r="AL79" s="1723">
        <f>ROUND(IF(AG79=0,0,AJ79/ABS(AG79)),3)</f>
        <v>-0.152</v>
      </c>
    </row>
    <row r="80" spans="1:38" s="2555" customFormat="1" ht="15" customHeight="1">
      <c r="A80" s="2552"/>
      <c r="B80" s="2472" t="s">
        <v>1208</v>
      </c>
      <c r="C80" s="2552"/>
      <c r="D80" s="1458">
        <f>ROUND(SUM(D41:D79),1)</f>
        <v>1361.9</v>
      </c>
      <c r="E80" s="2529"/>
      <c r="F80" s="1458">
        <f>ROUND(SUM(F41:F79),1)</f>
        <v>1107.7</v>
      </c>
      <c r="G80" s="2529"/>
      <c r="H80" s="2041">
        <f>ROUND(SUM(H41:H79),1)</f>
        <v>1347.4</v>
      </c>
      <c r="I80" s="2529"/>
      <c r="J80" s="2041">
        <f>ROUND(SUM(J41:J79),1)</f>
        <v>1224.8</v>
      </c>
      <c r="K80" s="2541"/>
      <c r="L80" s="1458">
        <f>ROUND(SUM(L41:L79),1)</f>
        <v>1203.8</v>
      </c>
      <c r="M80" s="2541"/>
      <c r="N80" s="1458">
        <f>ROUND(SUM(N41:N79),1)</f>
        <v>1799.5</v>
      </c>
      <c r="O80" s="2541"/>
      <c r="P80" s="1458">
        <f>ROUND(SUM(P41:P79),1)</f>
        <v>1642.4</v>
      </c>
      <c r="Q80" s="2541"/>
      <c r="R80" s="1458">
        <f>ROUND(SUM(R41:R79),1)</f>
        <v>0</v>
      </c>
      <c r="S80" s="2541"/>
      <c r="T80" s="1458">
        <f>ROUND(SUM(T41:T79),1)</f>
        <v>0</v>
      </c>
      <c r="U80" s="2541"/>
      <c r="V80" s="1458">
        <f>ROUND(SUM(V41:V79),1)</f>
        <v>0</v>
      </c>
      <c r="W80" s="2541"/>
      <c r="X80" s="1458">
        <f>ROUND(SUM(X41:X79),1)</f>
        <v>0</v>
      </c>
      <c r="Y80" s="2541"/>
      <c r="Z80" s="1458">
        <f>ROUND(SUM(Z41:Z79),1)</f>
        <v>0</v>
      </c>
      <c r="AA80" s="1460"/>
      <c r="AB80" s="2032">
        <f>SUM(AB41:AB79)</f>
        <v>0</v>
      </c>
      <c r="AC80" s="2553"/>
      <c r="AD80" s="1458">
        <f>ROUND(SUM(AD41:AD79),1)</f>
        <v>9687.5</v>
      </c>
      <c r="AE80" s="2049"/>
      <c r="AF80" s="2553"/>
      <c r="AG80" s="1458">
        <f>ROUND(SUM(AG41:AG79),1)</f>
        <v>11045.8</v>
      </c>
      <c r="AH80" s="3483"/>
      <c r="AI80" s="1460"/>
      <c r="AJ80" s="1458">
        <f>ROUND(SUM(AJ41:AJ79),1)</f>
        <v>-1358.3</v>
      </c>
      <c r="AK80" s="2554"/>
      <c r="AL80" s="1819">
        <f>ROUND(SUM(+AJ80/AG80),3)</f>
        <v>-0.123</v>
      </c>
    </row>
    <row r="81" spans="1:45" ht="15" customHeight="1">
      <c r="A81" s="2043"/>
      <c r="B81" s="2556"/>
      <c r="C81" s="2043"/>
      <c r="D81" s="2549"/>
      <c r="F81" s="2549"/>
      <c r="H81" s="1441"/>
      <c r="J81" s="1441"/>
      <c r="L81" s="2005"/>
      <c r="N81" s="2005"/>
      <c r="P81" s="2005"/>
      <c r="R81" s="2005"/>
      <c r="T81" s="1993"/>
      <c r="V81" s="2014"/>
      <c r="X81" s="2014"/>
      <c r="Z81" s="2014"/>
      <c r="AA81" s="2549"/>
      <c r="AB81" s="2005"/>
      <c r="AC81" s="2036"/>
      <c r="AD81" s="1994"/>
      <c r="AE81" s="1994"/>
      <c r="AF81" s="2038"/>
      <c r="AG81" s="1994"/>
      <c r="AH81" s="3480"/>
      <c r="AI81" s="2006"/>
      <c r="AJ81" s="1441"/>
      <c r="AK81" s="2542"/>
      <c r="AL81" s="1430"/>
    </row>
    <row r="82" spans="1:45" s="2184" customFormat="1" ht="15" customHeight="1">
      <c r="A82" s="2464"/>
      <c r="B82" s="2557" t="s">
        <v>149</v>
      </c>
      <c r="C82" s="2464"/>
      <c r="D82" s="2031">
        <f>'Exhibit G State'!D82+'Exhibit G Federal'!D54</f>
        <v>10777.4</v>
      </c>
      <c r="E82" s="2551"/>
      <c r="F82" s="2031">
        <f>'Exhibit G State'!F82+'Exhibit G Federal'!F54</f>
        <v>4104.3</v>
      </c>
      <c r="G82" s="2551"/>
      <c r="H82" s="2031">
        <f>'Exhibit G State'!H82+'Exhibit G Federal'!H54</f>
        <v>7352.3</v>
      </c>
      <c r="I82" s="2529"/>
      <c r="J82" s="2031">
        <f>'Exhibit G State'!J82+'Exhibit G Federal'!J54</f>
        <v>5214.0999999999976</v>
      </c>
      <c r="K82" s="2541"/>
      <c r="L82" s="2031">
        <f>'Exhibit G State'!L82+'Exhibit G Federal'!L54</f>
        <v>4404.4999999999991</v>
      </c>
      <c r="M82" s="2541"/>
      <c r="N82" s="2031">
        <f>'Exhibit G State'!N82+'Exhibit G Federal'!N54</f>
        <v>9934.4</v>
      </c>
      <c r="O82" s="2541"/>
      <c r="P82" s="2031">
        <f>'Exhibit G State'!P82+'Exhibit G Federal'!P54</f>
        <v>7441.4999999999945</v>
      </c>
      <c r="Q82" s="2541"/>
      <c r="R82" s="2031"/>
      <c r="S82" s="2541"/>
      <c r="T82" s="2031"/>
      <c r="U82" s="2541"/>
      <c r="V82" s="2031"/>
      <c r="W82" s="2541"/>
      <c r="X82" s="2031"/>
      <c r="Y82" s="2541"/>
      <c r="Z82" s="2031"/>
      <c r="AA82" s="2031"/>
      <c r="AB82" s="2558">
        <v>0</v>
      </c>
      <c r="AC82" s="2038"/>
      <c r="AD82" s="1994">
        <f t="shared" si="10"/>
        <v>49228.5</v>
      </c>
      <c r="AE82" s="1994"/>
      <c r="AF82" s="2038"/>
      <c r="AG82" s="2031">
        <f>'Exhibit G State'!AG82+'Exhibit G Federal'!AG54</f>
        <v>36535</v>
      </c>
      <c r="AH82" s="3480"/>
      <c r="AI82" s="1976"/>
      <c r="AJ82" s="2040">
        <f>ROUND(SUM(+AD82-AG82),1)</f>
        <v>12693.5</v>
      </c>
      <c r="AK82" s="2559"/>
      <c r="AL82" s="1723">
        <f>ROUND(IF(AG82=0,0,AJ82/ABS(AG82)),3)</f>
        <v>0.34699999999999998</v>
      </c>
    </row>
    <row r="83" spans="1:45" ht="15" customHeight="1">
      <c r="A83" s="2043"/>
      <c r="B83" s="2043"/>
      <c r="C83" s="2043"/>
      <c r="D83" s="2004"/>
      <c r="F83" s="2004"/>
      <c r="H83" s="2492"/>
      <c r="J83" s="2492"/>
      <c r="L83" s="2004"/>
      <c r="N83" s="2004"/>
      <c r="P83" s="2004"/>
      <c r="R83" s="2004"/>
      <c r="T83" s="2050"/>
      <c r="V83" s="2004"/>
      <c r="X83" s="2004"/>
      <c r="Z83" s="2004"/>
      <c r="AA83" s="2006"/>
      <c r="AB83" s="2560"/>
      <c r="AC83" s="2006"/>
      <c r="AD83" s="2050"/>
      <c r="AE83" s="1994"/>
      <c r="AF83" s="2038"/>
      <c r="AG83" s="2050"/>
      <c r="AH83" s="3480"/>
      <c r="AI83" s="2006"/>
      <c r="AJ83" s="2561"/>
      <c r="AL83" s="1444"/>
    </row>
    <row r="84" spans="1:45" ht="15" customHeight="1">
      <c r="A84" s="2043"/>
      <c r="B84" s="2426" t="s">
        <v>150</v>
      </c>
      <c r="C84" s="2043"/>
      <c r="D84" s="1459">
        <f>ROUND(SUM(D82+D80+D37),1)</f>
        <v>12393.3</v>
      </c>
      <c r="F84" s="1459">
        <f>ROUND(SUM(F82+F80+F37),1)</f>
        <v>5326.2</v>
      </c>
      <c r="H84" s="1459">
        <f>ROUND(SUM(H82+H80+H37),1)</f>
        <v>9067.7000000000007</v>
      </c>
      <c r="J84" s="1459">
        <f>ROUND(SUM(J82+J80+J37),1)</f>
        <v>6765.4</v>
      </c>
      <c r="L84" s="1459">
        <f t="shared" ref="L84:V84" si="18">ROUND(SUM(L82+L80+L37),1)</f>
        <v>5809.8</v>
      </c>
      <c r="N84" s="1459">
        <f t="shared" ref="N84" si="19">ROUND(SUM(N82+N80+N37),1)</f>
        <v>12177.7</v>
      </c>
      <c r="P84" s="1459">
        <f>ROUND(SUM(P82+P80+P37),1)</f>
        <v>9314.1</v>
      </c>
      <c r="R84" s="1459">
        <f t="shared" ref="R84" si="20">ROUND(SUM(R82+R80+R37),1)</f>
        <v>0</v>
      </c>
      <c r="T84" s="2049">
        <f t="shared" si="18"/>
        <v>0</v>
      </c>
      <c r="V84" s="1459">
        <f t="shared" si="18"/>
        <v>0</v>
      </c>
      <c r="X84" s="1459">
        <f t="shared" ref="X84:Z84" si="21">ROUND(SUM(X82+X80+X37),1)</f>
        <v>0</v>
      </c>
      <c r="Z84" s="1459">
        <f t="shared" si="21"/>
        <v>0</v>
      </c>
      <c r="AA84" s="1459"/>
      <c r="AB84" s="2562">
        <f t="shared" ref="AB84" si="22">ROUND(SUM(AB82+AB80+AB37),1)</f>
        <v>0</v>
      </c>
      <c r="AC84" s="2039"/>
      <c r="AD84" s="2049">
        <f>ROUND(SUM(AD82+AD80+AD37),1)</f>
        <v>60854.2</v>
      </c>
      <c r="AE84" s="2049"/>
      <c r="AF84" s="2553"/>
      <c r="AG84" s="2049">
        <f>ROUND(SUM(AG82+AG80+AG37),1)</f>
        <v>49786.8</v>
      </c>
      <c r="AH84" s="3483"/>
      <c r="AI84" s="1442"/>
      <c r="AJ84" s="2051">
        <f>ROUND(SUM(AJ82+AJ80+AJ37),1)</f>
        <v>11067.4</v>
      </c>
      <c r="AK84" s="2563"/>
      <c r="AL84" s="1434">
        <f>ROUND(SUM(+AJ84/AG84),3)</f>
        <v>0.222</v>
      </c>
    </row>
    <row r="85" spans="1:45" ht="15" customHeight="1">
      <c r="A85" s="2043"/>
      <c r="B85" s="2043"/>
      <c r="C85" s="2043"/>
      <c r="D85" s="2004"/>
      <c r="F85" s="2004"/>
      <c r="H85" s="2492"/>
      <c r="J85" s="2492"/>
      <c r="L85" s="2004"/>
      <c r="N85" s="2004"/>
      <c r="P85" s="2004"/>
      <c r="R85" s="2004"/>
      <c r="T85" s="2050"/>
      <c r="V85" s="2004"/>
      <c r="X85" s="2004"/>
      <c r="Z85" s="2004"/>
      <c r="AA85" s="2006"/>
      <c r="AB85" s="2005"/>
      <c r="AC85" s="2036"/>
      <c r="AD85" s="2050"/>
      <c r="AE85" s="1994"/>
      <c r="AF85" s="2038"/>
      <c r="AG85" s="2050"/>
      <c r="AH85" s="3480"/>
      <c r="AI85" s="2006"/>
      <c r="AJ85" s="1441"/>
      <c r="AL85" s="1430"/>
    </row>
    <row r="86" spans="1:45" ht="15" customHeight="1">
      <c r="A86" s="2043"/>
      <c r="B86" s="2535" t="s">
        <v>23</v>
      </c>
      <c r="C86" s="2043"/>
      <c r="D86" s="2005"/>
      <c r="F86" s="2005"/>
      <c r="H86" s="1441"/>
      <c r="J86" s="1441"/>
      <c r="L86" s="2005"/>
      <c r="N86" s="2005"/>
      <c r="P86" s="2005"/>
      <c r="R86" s="2005"/>
      <c r="T86" s="1994"/>
      <c r="V86" s="2005"/>
      <c r="X86" s="2005"/>
      <c r="Z86" s="2005"/>
      <c r="AA86" s="2005"/>
      <c r="AB86" s="2005"/>
      <c r="AC86" s="2036"/>
      <c r="AD86" s="1994"/>
      <c r="AE86" s="3181"/>
      <c r="AF86" s="3173"/>
      <c r="AG86" s="1994"/>
      <c r="AH86" s="3480"/>
      <c r="AI86" s="2006"/>
      <c r="AJ86" s="1441"/>
      <c r="AL86" s="1430"/>
    </row>
    <row r="87" spans="1:45" ht="15" customHeight="1">
      <c r="A87" s="2043"/>
      <c r="B87" s="2468" t="s">
        <v>151</v>
      </c>
      <c r="C87" s="2043"/>
      <c r="D87" s="2549"/>
      <c r="F87" s="2549"/>
      <c r="H87" s="1999"/>
      <c r="J87" s="1999"/>
      <c r="L87" s="1994"/>
      <c r="N87" s="1994"/>
      <c r="P87" s="1994"/>
      <c r="R87" s="1994"/>
      <c r="T87" s="1993"/>
      <c r="V87" s="2014"/>
      <c r="X87" s="2014"/>
      <c r="Z87" s="2014"/>
      <c r="AA87" s="2549"/>
      <c r="AB87" s="2005"/>
      <c r="AC87" s="2036"/>
      <c r="AD87" s="1994"/>
      <c r="AE87" s="1994"/>
      <c r="AF87" s="2038"/>
      <c r="AG87" s="1994"/>
      <c r="AH87" s="3480"/>
      <c r="AI87" s="2006"/>
      <c r="AJ87" s="1441"/>
      <c r="AL87" s="1445"/>
    </row>
    <row r="88" spans="1:45" s="2184" customFormat="1" ht="15" customHeight="1">
      <c r="A88" s="2464"/>
      <c r="B88" s="2564" t="s">
        <v>25</v>
      </c>
      <c r="C88" s="2464"/>
      <c r="D88" s="2031">
        <f>'Exhibit G State'!D88+'Exhibit G Federal'!D60</f>
        <v>383</v>
      </c>
      <c r="E88" s="2551"/>
      <c r="F88" s="2031">
        <f>'Exhibit G State'!F88+'Exhibit G Federal'!F60</f>
        <v>102.6</v>
      </c>
      <c r="G88" s="2551"/>
      <c r="H88" s="2031">
        <f>'Exhibit G State'!H88+'Exhibit G Federal'!H60</f>
        <v>847.9</v>
      </c>
      <c r="I88" s="2529"/>
      <c r="J88" s="2031">
        <f>'Exhibit G State'!J88+'Exhibit G Federal'!J60</f>
        <v>234.89999999999998</v>
      </c>
      <c r="K88" s="2541"/>
      <c r="L88" s="2031">
        <f>'Exhibit G State'!L88+'Exhibit G Federal'!L60</f>
        <v>213.2000000000001</v>
      </c>
      <c r="M88" s="2541"/>
      <c r="N88" s="2031">
        <f>'Exhibit G State'!N88+'Exhibit G Federal'!N60</f>
        <v>2584.3999999999996</v>
      </c>
      <c r="O88" s="2541"/>
      <c r="P88" s="2031">
        <f>'Exhibit G State'!P88+'Exhibit G Federal'!P60</f>
        <v>279.30000000000018</v>
      </c>
      <c r="Q88" s="2541"/>
      <c r="R88" s="2031"/>
      <c r="S88" s="2541"/>
      <c r="T88" s="2031"/>
      <c r="U88" s="2541"/>
      <c r="V88" s="2031"/>
      <c r="W88" s="2541"/>
      <c r="X88" s="2031"/>
      <c r="Y88" s="2541"/>
      <c r="Z88" s="2031"/>
      <c r="AA88" s="2031"/>
      <c r="AB88" s="1994">
        <v>0</v>
      </c>
      <c r="AC88" s="2038"/>
      <c r="AD88" s="1994">
        <f>ROUND(SUM(D88:Z88),1)</f>
        <v>4645.3</v>
      </c>
      <c r="AE88" s="1994"/>
      <c r="AF88" s="2038"/>
      <c r="AG88" s="2031">
        <f>'Exhibit G State'!AG88+'Exhibit G Federal'!AG60</f>
        <v>5115.5</v>
      </c>
      <c r="AH88" s="3480"/>
      <c r="AI88" s="1976"/>
      <c r="AJ88" s="1999">
        <f>ROUND(SUM(+AD88-AG88),1)</f>
        <v>-470.2</v>
      </c>
      <c r="AK88" s="2559"/>
      <c r="AL88" s="1723">
        <f>ROUND(IF(AG88=0,0,AJ88/ABS(AG88)),3)</f>
        <v>-9.1999999999999998E-2</v>
      </c>
      <c r="AR88" s="1990"/>
      <c r="AS88" s="2565"/>
    </row>
    <row r="89" spans="1:45" s="2184" customFormat="1" ht="15" customHeight="1">
      <c r="A89" s="2464"/>
      <c r="B89" s="2564" t="s">
        <v>26</v>
      </c>
      <c r="C89" s="2464"/>
      <c r="D89" s="2031">
        <f>'Exhibit G State'!D89+'Exhibit G Federal'!D61</f>
        <v>0</v>
      </c>
      <c r="E89" s="2551"/>
      <c r="F89" s="2031">
        <f>'Exhibit G State'!F89+'Exhibit G Federal'!F61</f>
        <v>0.5</v>
      </c>
      <c r="G89" s="2551"/>
      <c r="H89" s="2031">
        <f>'Exhibit G State'!H89+'Exhibit G Federal'!H61</f>
        <v>0</v>
      </c>
      <c r="I89" s="2529"/>
      <c r="J89" s="2031">
        <f>'Exhibit G State'!J89+'Exhibit G Federal'!J61</f>
        <v>0.3</v>
      </c>
      <c r="K89" s="2541"/>
      <c r="L89" s="2031">
        <f>'Exhibit G State'!L89+'Exhibit G Federal'!L61</f>
        <v>0.10000000000000003</v>
      </c>
      <c r="M89" s="2541"/>
      <c r="N89" s="2031">
        <f>'Exhibit G State'!N89+'Exhibit G Federal'!N61</f>
        <v>0.30000000000000004</v>
      </c>
      <c r="O89" s="2541"/>
      <c r="P89" s="2031">
        <f>'Exhibit G State'!P89+'Exhibit G Federal'!P61</f>
        <v>0.8</v>
      </c>
      <c r="Q89" s="2541"/>
      <c r="R89" s="2031"/>
      <c r="S89" s="2541"/>
      <c r="T89" s="2031"/>
      <c r="U89" s="2541"/>
      <c r="V89" s="2031"/>
      <c r="W89" s="2541"/>
      <c r="X89" s="2031"/>
      <c r="Y89" s="2541"/>
      <c r="Z89" s="2031"/>
      <c r="AA89" s="2031"/>
      <c r="AB89" s="1994">
        <v>0</v>
      </c>
      <c r="AC89" s="2038"/>
      <c r="AD89" s="1994">
        <f>ROUND(SUM(D89:Z89),1)</f>
        <v>2</v>
      </c>
      <c r="AE89" s="1994"/>
      <c r="AF89" s="2038"/>
      <c r="AG89" s="2031">
        <f>'Exhibit G State'!AG89+'Exhibit G Federal'!AG61</f>
        <v>1.5</v>
      </c>
      <c r="AH89" s="3480"/>
      <c r="AI89" s="1976"/>
      <c r="AJ89" s="1999">
        <f>ROUND(SUM(+AD89-AG89),1)</f>
        <v>0.5</v>
      </c>
      <c r="AK89" s="2559"/>
      <c r="AL89" s="1728">
        <f>ROUND(IF(AG89=0,1,AJ89/ABS(AG89)),3)</f>
        <v>0.33300000000000002</v>
      </c>
      <c r="AR89" s="2565"/>
      <c r="AS89" s="2565"/>
    </row>
    <row r="90" spans="1:45" s="2184" customFormat="1" ht="15" customHeight="1">
      <c r="A90" s="2464"/>
      <c r="B90" s="2564" t="s">
        <v>27</v>
      </c>
      <c r="C90" s="2464"/>
      <c r="D90" s="2031">
        <f>'Exhibit G State'!D90+'Exhibit G Federal'!D62</f>
        <v>11.3</v>
      </c>
      <c r="E90" s="2551"/>
      <c r="F90" s="2031">
        <f>'Exhibit G State'!F90+'Exhibit G Federal'!F62</f>
        <v>6.0999999999999988</v>
      </c>
      <c r="G90" s="2551"/>
      <c r="H90" s="2031">
        <f>'Exhibit G State'!H90+'Exhibit G Federal'!H62</f>
        <v>8.5</v>
      </c>
      <c r="I90" s="2529"/>
      <c r="J90" s="2031">
        <f>'Exhibit G State'!J90+'Exhibit G Federal'!J62</f>
        <v>19</v>
      </c>
      <c r="K90" s="2541"/>
      <c r="L90" s="2031">
        <f>'Exhibit G State'!L90+'Exhibit G Federal'!L62</f>
        <v>39.400000000000006</v>
      </c>
      <c r="M90" s="2541"/>
      <c r="N90" s="2031">
        <f>'Exhibit G State'!N90+'Exhibit G Federal'!N62</f>
        <v>3866.8000000000006</v>
      </c>
      <c r="O90" s="2541"/>
      <c r="P90" s="2031">
        <f>'Exhibit G State'!P90+'Exhibit G Federal'!P62</f>
        <v>169.59999999999974</v>
      </c>
      <c r="Q90" s="2541"/>
      <c r="R90" s="2031"/>
      <c r="S90" s="2541"/>
      <c r="T90" s="2031"/>
      <c r="U90" s="2541"/>
      <c r="V90" s="2031"/>
      <c r="W90" s="2541"/>
      <c r="X90" s="2031"/>
      <c r="Y90" s="2541"/>
      <c r="Z90" s="2031"/>
      <c r="AA90" s="2031"/>
      <c r="AB90" s="1994">
        <v>0</v>
      </c>
      <c r="AC90" s="2038"/>
      <c r="AD90" s="1994">
        <f>ROUND(SUM(D90:Z90),1)</f>
        <v>4120.7</v>
      </c>
      <c r="AE90" s="1994"/>
      <c r="AF90" s="2038"/>
      <c r="AG90" s="2031">
        <f>'Exhibit G State'!AG90+'Exhibit G Federal'!AG62</f>
        <v>146.9</v>
      </c>
      <c r="AH90" s="3480"/>
      <c r="AI90" s="1976"/>
      <c r="AJ90" s="1999">
        <f>ROUND(SUM(+AD90-AG90),1)</f>
        <v>3973.8</v>
      </c>
      <c r="AK90" s="2559"/>
      <c r="AL90" s="3811">
        <f>ROUND(IF(AG90=0,0,AJ90/ABS(AG90)),3)</f>
        <v>27.050999999999998</v>
      </c>
      <c r="AR90" s="2565"/>
      <c r="AS90" s="2565"/>
    </row>
    <row r="91" spans="1:45" s="2184" customFormat="1" ht="15" customHeight="1">
      <c r="A91" s="2464"/>
      <c r="B91" s="2564" t="s">
        <v>28</v>
      </c>
      <c r="C91" s="2464"/>
      <c r="D91" s="1976"/>
      <c r="E91" s="2529"/>
      <c r="F91" s="1976"/>
      <c r="G91" s="2529"/>
      <c r="H91" s="1976"/>
      <c r="I91" s="2529"/>
      <c r="J91" s="1976"/>
      <c r="K91" s="2541"/>
      <c r="L91" s="1976"/>
      <c r="M91" s="2541"/>
      <c r="N91" s="1976"/>
      <c r="O91" s="2541"/>
      <c r="P91" s="1976"/>
      <c r="Q91" s="2541"/>
      <c r="R91" s="1976"/>
      <c r="S91" s="2541"/>
      <c r="T91" s="1976"/>
      <c r="U91" s="2541"/>
      <c r="V91" s="1976"/>
      <c r="W91" s="2541"/>
      <c r="X91" s="1976"/>
      <c r="Y91" s="2541"/>
      <c r="Z91" s="1976"/>
      <c r="AA91" s="1976"/>
      <c r="AB91" s="1994"/>
      <c r="AC91" s="2038"/>
      <c r="AD91" s="1994"/>
      <c r="AE91" s="1994"/>
      <c r="AF91" s="2038"/>
      <c r="AG91" s="1976"/>
      <c r="AH91" s="3480"/>
      <c r="AI91" s="1976"/>
      <c r="AJ91" s="1999" t="s">
        <v>15</v>
      </c>
      <c r="AK91" s="2566" t="s">
        <v>15</v>
      </c>
      <c r="AL91" s="1446" t="s">
        <v>15</v>
      </c>
      <c r="AR91" s="1990"/>
      <c r="AS91" s="1990"/>
    </row>
    <row r="92" spans="1:45" s="2184" customFormat="1" ht="15" customHeight="1">
      <c r="A92" s="2464"/>
      <c r="B92" s="2567" t="s">
        <v>29</v>
      </c>
      <c r="C92" s="2464"/>
      <c r="D92" s="2031">
        <f>'Exhibit G State'!D92+'Exhibit G Federal'!D64</f>
        <v>5180.9000000000005</v>
      </c>
      <c r="E92" s="2551"/>
      <c r="F92" s="2031">
        <f>'Exhibit G State'!F92+'Exhibit G Federal'!F64</f>
        <v>3816</v>
      </c>
      <c r="G92" s="2551"/>
      <c r="H92" s="2031">
        <f>'Exhibit G State'!H92+'Exhibit G Federal'!H64</f>
        <v>3615.5999999999995</v>
      </c>
      <c r="I92" s="2529"/>
      <c r="J92" s="2031">
        <f>'Exhibit G State'!J92+'Exhibit G Federal'!J64</f>
        <v>4136.8000000000011</v>
      </c>
      <c r="K92" s="2541"/>
      <c r="L92" s="2031">
        <f>'Exhibit G State'!L92+'Exhibit G Federal'!L64</f>
        <v>3860.9999999999986</v>
      </c>
      <c r="M92" s="2541"/>
      <c r="N92" s="2031">
        <f>'Exhibit G State'!N92+'Exhibit G Federal'!N64</f>
        <v>5390.1000000000031</v>
      </c>
      <c r="O92" s="2541"/>
      <c r="P92" s="2031">
        <f>'Exhibit G State'!P92+'Exhibit G Federal'!P64</f>
        <v>3286.5999999999985</v>
      </c>
      <c r="Q92" s="2541"/>
      <c r="R92" s="2031"/>
      <c r="S92" s="2541"/>
      <c r="T92" s="2031"/>
      <c r="U92" s="2541"/>
      <c r="V92" s="2031"/>
      <c r="W92" s="2541"/>
      <c r="X92" s="2031"/>
      <c r="Y92" s="2541"/>
      <c r="Z92" s="2031"/>
      <c r="AA92" s="2031"/>
      <c r="AB92" s="1994">
        <v>0</v>
      </c>
      <c r="AC92" s="2038"/>
      <c r="AD92" s="1994">
        <f t="shared" ref="AD92:AD97" si="23">ROUND(SUM(D92:Z92),1)</f>
        <v>29287</v>
      </c>
      <c r="AE92" s="1994"/>
      <c r="AF92" s="2038"/>
      <c r="AG92" s="2031">
        <f>'Exhibit G State'!AG92+'Exhibit G Federal'!AG64</f>
        <v>26942.7</v>
      </c>
      <c r="AH92" s="3480"/>
      <c r="AI92" s="1976"/>
      <c r="AJ92" s="1999">
        <f t="shared" ref="AJ92:AJ97" si="24">ROUND(SUM(+AD92-AG92),1)</f>
        <v>2344.3000000000002</v>
      </c>
      <c r="AK92" s="2559"/>
      <c r="AL92" s="1723">
        <f t="shared" ref="AL92:AL97" si="25">ROUND(IF(AG92=0,0,AJ92/ABS(AG92)),3)</f>
        <v>8.6999999999999994E-2</v>
      </c>
      <c r="AR92" s="1990"/>
      <c r="AS92" s="1990"/>
    </row>
    <row r="93" spans="1:45" s="2184" customFormat="1" ht="15" customHeight="1">
      <c r="A93" s="2464"/>
      <c r="B93" s="2564" t="s">
        <v>30</v>
      </c>
      <c r="C93" s="2464"/>
      <c r="D93" s="2031">
        <f>'Exhibit G State'!D93+'Exhibit G Federal'!D65</f>
        <v>509.6</v>
      </c>
      <c r="E93" s="2551"/>
      <c r="F93" s="2031">
        <f>'Exhibit G State'!F93+'Exhibit G Federal'!F65</f>
        <v>533</v>
      </c>
      <c r="G93" s="2551"/>
      <c r="H93" s="2031">
        <f>'Exhibit G State'!H93+'Exhibit G Federal'!H65</f>
        <v>709.69999999999993</v>
      </c>
      <c r="I93" s="2529"/>
      <c r="J93" s="2031">
        <f>'Exhibit G State'!J93+'Exhibit G Federal'!J65</f>
        <v>556.09999999999991</v>
      </c>
      <c r="K93" s="2541"/>
      <c r="L93" s="2031">
        <f>'Exhibit G State'!L93+'Exhibit G Federal'!L65</f>
        <v>552.90000000000032</v>
      </c>
      <c r="M93" s="2541"/>
      <c r="N93" s="2031">
        <f>'Exhibit G State'!N93+'Exhibit G Federal'!N65</f>
        <v>805.49999999999977</v>
      </c>
      <c r="O93" s="2541"/>
      <c r="P93" s="2031">
        <f>'Exhibit G State'!P93+'Exhibit G Federal'!P65</f>
        <v>570.69999999999993</v>
      </c>
      <c r="Q93" s="2541"/>
      <c r="R93" s="2031"/>
      <c r="S93" s="2541"/>
      <c r="T93" s="2031"/>
      <c r="U93" s="2541"/>
      <c r="V93" s="2031"/>
      <c r="W93" s="2541"/>
      <c r="X93" s="2031"/>
      <c r="Y93" s="2541"/>
      <c r="Z93" s="2031"/>
      <c r="AA93" s="2031"/>
      <c r="AB93" s="1994">
        <v>0</v>
      </c>
      <c r="AC93" s="2038"/>
      <c r="AD93" s="1994">
        <f t="shared" si="23"/>
        <v>4237.5</v>
      </c>
      <c r="AE93" s="1994"/>
      <c r="AF93" s="2038"/>
      <c r="AG93" s="2031">
        <f>'Exhibit G State'!AG93+'Exhibit G Federal'!AG65</f>
        <v>4261.5</v>
      </c>
      <c r="AH93" s="3480"/>
      <c r="AI93" s="1976"/>
      <c r="AJ93" s="1999">
        <f t="shared" si="24"/>
        <v>-24</v>
      </c>
      <c r="AK93" s="2559"/>
      <c r="AL93" s="1723">
        <f t="shared" si="25"/>
        <v>-6.0000000000000001E-3</v>
      </c>
      <c r="AR93" s="1990"/>
      <c r="AS93" s="1990"/>
    </row>
    <row r="94" spans="1:45" s="2184" customFormat="1" ht="15" customHeight="1">
      <c r="A94" s="2464"/>
      <c r="B94" s="2564" t="s">
        <v>31</v>
      </c>
      <c r="C94" s="2464"/>
      <c r="D94" s="2031">
        <f>'Exhibit G State'!D94+'Exhibit G Federal'!D66</f>
        <v>92.4</v>
      </c>
      <c r="E94" s="2551"/>
      <c r="F94" s="2031">
        <f>'Exhibit G State'!F94+'Exhibit G Federal'!F66</f>
        <v>62.2</v>
      </c>
      <c r="G94" s="2551"/>
      <c r="H94" s="2031">
        <f>'Exhibit G State'!H94+'Exhibit G Federal'!H66</f>
        <v>159.19999999999996</v>
      </c>
      <c r="I94" s="2529"/>
      <c r="J94" s="2031">
        <f>'Exhibit G State'!J94+'Exhibit G Federal'!J66</f>
        <v>261.60000000000002</v>
      </c>
      <c r="K94" s="2541"/>
      <c r="L94" s="2031">
        <f>'Exhibit G State'!L94+'Exhibit G Federal'!L66</f>
        <v>62.2</v>
      </c>
      <c r="M94" s="2541"/>
      <c r="N94" s="2031">
        <f>'Exhibit G State'!N94+'Exhibit G Federal'!N66</f>
        <v>136.20000000000005</v>
      </c>
      <c r="O94" s="2541"/>
      <c r="P94" s="2031">
        <f>'Exhibit G State'!P94+'Exhibit G Federal'!P66</f>
        <v>627.0999999999998</v>
      </c>
      <c r="Q94" s="2541"/>
      <c r="R94" s="2031"/>
      <c r="S94" s="2541"/>
      <c r="T94" s="2031"/>
      <c r="U94" s="2541"/>
      <c r="V94" s="2031"/>
      <c r="W94" s="2541"/>
      <c r="X94" s="2031"/>
      <c r="Y94" s="2541"/>
      <c r="Z94" s="2031"/>
      <c r="AA94" s="2031"/>
      <c r="AB94" s="1994">
        <v>0</v>
      </c>
      <c r="AC94" s="2038"/>
      <c r="AD94" s="1994">
        <f t="shared" si="23"/>
        <v>1400.9</v>
      </c>
      <c r="AE94" s="1994"/>
      <c r="AF94" s="2038"/>
      <c r="AG94" s="2031">
        <f>'Exhibit G State'!AG94+'Exhibit G Federal'!AG66</f>
        <v>738.6</v>
      </c>
      <c r="AH94" s="3480"/>
      <c r="AI94" s="1976"/>
      <c r="AJ94" s="1999">
        <f t="shared" si="24"/>
        <v>662.3</v>
      </c>
      <c r="AK94" s="2559"/>
      <c r="AL94" s="1723">
        <f t="shared" si="25"/>
        <v>0.89700000000000002</v>
      </c>
      <c r="AR94" s="1990"/>
      <c r="AS94" s="1990"/>
    </row>
    <row r="95" spans="1:45" s="2184" customFormat="1" ht="15" customHeight="1">
      <c r="A95" s="2464"/>
      <c r="B95" s="2564" t="s">
        <v>32</v>
      </c>
      <c r="C95" s="2464"/>
      <c r="D95" s="2031">
        <f>'Exhibit G State'!D95+'Exhibit G Federal'!D67</f>
        <v>134.9</v>
      </c>
      <c r="E95" s="2551"/>
      <c r="F95" s="2031">
        <f>'Exhibit G State'!F95+'Exhibit G Federal'!F67</f>
        <v>25.9</v>
      </c>
      <c r="G95" s="2551"/>
      <c r="H95" s="2031">
        <f>'Exhibit G State'!H95+'Exhibit G Federal'!H67</f>
        <v>253.60000000000002</v>
      </c>
      <c r="I95" s="2529"/>
      <c r="J95" s="2031">
        <f>'Exhibit G State'!J95+'Exhibit G Federal'!J67</f>
        <v>201.6</v>
      </c>
      <c r="K95" s="2541"/>
      <c r="L95" s="2031">
        <f>'Exhibit G State'!L95+'Exhibit G Federal'!L67</f>
        <v>253.89999999999998</v>
      </c>
      <c r="M95" s="2541"/>
      <c r="N95" s="2031">
        <f>'Exhibit G State'!N95+'Exhibit G Federal'!N67</f>
        <v>950.39999999999986</v>
      </c>
      <c r="O95" s="2541"/>
      <c r="P95" s="2031">
        <f>'Exhibit G State'!P95+'Exhibit G Federal'!P67</f>
        <v>384.0999999999998</v>
      </c>
      <c r="Q95" s="2541"/>
      <c r="R95" s="2031"/>
      <c r="S95" s="2541"/>
      <c r="T95" s="2031"/>
      <c r="U95" s="2541"/>
      <c r="V95" s="2031"/>
      <c r="W95" s="2541"/>
      <c r="X95" s="2031"/>
      <c r="Y95" s="2541"/>
      <c r="Z95" s="2031"/>
      <c r="AA95" s="2031"/>
      <c r="AB95" s="1994">
        <v>0</v>
      </c>
      <c r="AC95" s="2038"/>
      <c r="AD95" s="1994">
        <f t="shared" si="23"/>
        <v>2204.4</v>
      </c>
      <c r="AE95" s="1994"/>
      <c r="AF95" s="2038"/>
      <c r="AG95" s="2031">
        <f>'Exhibit G State'!AG95+'Exhibit G Federal'!AG67</f>
        <v>2603.5</v>
      </c>
      <c r="AH95" s="3480"/>
      <c r="AI95" s="1976"/>
      <c r="AJ95" s="1999">
        <f t="shared" si="24"/>
        <v>-399.1</v>
      </c>
      <c r="AK95" s="2559"/>
      <c r="AL95" s="1723">
        <f t="shared" si="25"/>
        <v>-0.153</v>
      </c>
      <c r="AR95" s="1990"/>
      <c r="AS95" s="1990"/>
    </row>
    <row r="96" spans="1:45" s="2184" customFormat="1" ht="15" customHeight="1">
      <c r="A96" s="2464"/>
      <c r="B96" s="2564" t="s">
        <v>33</v>
      </c>
      <c r="C96" s="2464"/>
      <c r="D96" s="2031">
        <f>'Exhibit G State'!D96+'Exhibit G Federal'!D68</f>
        <v>0.3</v>
      </c>
      <c r="E96" s="2551"/>
      <c r="F96" s="2031">
        <f>'Exhibit G State'!F96+'Exhibit G Federal'!F68</f>
        <v>0.7</v>
      </c>
      <c r="G96" s="2551"/>
      <c r="H96" s="2031">
        <f>'Exhibit G State'!H96+'Exhibit G Federal'!H68</f>
        <v>6.5</v>
      </c>
      <c r="I96" s="2529"/>
      <c r="J96" s="2031">
        <f>'Exhibit G State'!J96+'Exhibit G Federal'!J68</f>
        <v>1.0000000000000004</v>
      </c>
      <c r="K96" s="2541"/>
      <c r="L96" s="2031">
        <f>'Exhibit G State'!L96+'Exhibit G Federal'!L68</f>
        <v>8.6</v>
      </c>
      <c r="M96" s="2541"/>
      <c r="N96" s="2031">
        <f>'Exhibit G State'!N96+'Exhibit G Federal'!N68</f>
        <v>5.3000000000000007</v>
      </c>
      <c r="O96" s="2541"/>
      <c r="P96" s="2031">
        <f>'Exhibit G State'!P96+'Exhibit G Federal'!P68</f>
        <v>1.7000000000000028</v>
      </c>
      <c r="Q96" s="2541"/>
      <c r="R96" s="2031"/>
      <c r="S96" s="2541"/>
      <c r="T96" s="2031"/>
      <c r="U96" s="2541"/>
      <c r="V96" s="2031"/>
      <c r="W96" s="2541"/>
      <c r="X96" s="2031"/>
      <c r="Y96" s="2541"/>
      <c r="Z96" s="2031"/>
      <c r="AA96" s="2031"/>
      <c r="AB96" s="1994">
        <v>0</v>
      </c>
      <c r="AC96" s="2038"/>
      <c r="AD96" s="1994">
        <f t="shared" si="23"/>
        <v>24.1</v>
      </c>
      <c r="AE96" s="1994"/>
      <c r="AF96" s="2038"/>
      <c r="AG96" s="2031">
        <f>'Exhibit G State'!AG96+'Exhibit G Federal'!AG68</f>
        <v>30.2</v>
      </c>
      <c r="AH96" s="3480"/>
      <c r="AI96" s="1976"/>
      <c r="AJ96" s="1999">
        <f t="shared" si="24"/>
        <v>-6.1</v>
      </c>
      <c r="AK96" s="2559"/>
      <c r="AL96" s="1728">
        <f>ROUND(IF(AG96=0,0,AJ96/ABS(AG96)),3)</f>
        <v>-0.20200000000000001</v>
      </c>
      <c r="AR96" s="2565"/>
      <c r="AS96" s="2565"/>
    </row>
    <row r="97" spans="1:46" s="2184" customFormat="1" ht="15" customHeight="1">
      <c r="A97" s="2464"/>
      <c r="B97" s="2564" t="s">
        <v>34</v>
      </c>
      <c r="C97" s="2464"/>
      <c r="D97" s="2031">
        <f>'Exhibit G State'!D97+'Exhibit G Federal'!D69</f>
        <v>65.5</v>
      </c>
      <c r="E97" s="2551"/>
      <c r="F97" s="2031">
        <f>'Exhibit G State'!F97+'Exhibit G Federal'!F69</f>
        <v>44.699999999999996</v>
      </c>
      <c r="G97" s="2551"/>
      <c r="H97" s="2031">
        <f>'Exhibit G State'!H97+'Exhibit G Federal'!H69</f>
        <v>22.6</v>
      </c>
      <c r="I97" s="2529"/>
      <c r="J97" s="2031">
        <f>'Exhibit G State'!J97+'Exhibit G Federal'!J69</f>
        <v>709.09999999999991</v>
      </c>
      <c r="K97" s="2541"/>
      <c r="L97" s="2031">
        <f>'Exhibit G State'!L97+'Exhibit G Federal'!L69</f>
        <v>350.20000000000005</v>
      </c>
      <c r="M97" s="2541"/>
      <c r="N97" s="2031">
        <f>'Exhibit G State'!N97+'Exhibit G Federal'!N69</f>
        <v>246.80000000000013</v>
      </c>
      <c r="O97" s="2541"/>
      <c r="P97" s="2031">
        <f>'Exhibit G State'!P97+'Exhibit G Federal'!P69</f>
        <v>258.5</v>
      </c>
      <c r="Q97" s="2541"/>
      <c r="R97" s="2031"/>
      <c r="S97" s="2541"/>
      <c r="T97" s="2031"/>
      <c r="U97" s="2541"/>
      <c r="V97" s="2031"/>
      <c r="W97" s="2541"/>
      <c r="X97" s="2031"/>
      <c r="Y97" s="2541"/>
      <c r="Z97" s="2031"/>
      <c r="AA97" s="2031"/>
      <c r="AB97" s="1994">
        <v>0</v>
      </c>
      <c r="AC97" s="2038"/>
      <c r="AD97" s="1976">
        <f t="shared" si="23"/>
        <v>1697.4</v>
      </c>
      <c r="AE97" s="1994"/>
      <c r="AF97" s="2038"/>
      <c r="AG97" s="2031">
        <f>'Exhibit G State'!AG97+'Exhibit G Federal'!AG69</f>
        <v>2012.1000000000001</v>
      </c>
      <c r="AH97" s="3480"/>
      <c r="AI97" s="1976"/>
      <c r="AJ97" s="2040">
        <f t="shared" si="24"/>
        <v>-314.7</v>
      </c>
      <c r="AK97" s="2559"/>
      <c r="AL97" s="1811">
        <f t="shared" si="25"/>
        <v>-0.156</v>
      </c>
      <c r="AM97" s="2568"/>
      <c r="AR97" s="2017"/>
      <c r="AS97" s="2017"/>
      <c r="AT97" s="2183"/>
    </row>
    <row r="98" spans="1:46" ht="15" customHeight="1">
      <c r="A98" s="2043"/>
      <c r="B98" s="2426" t="s">
        <v>1174</v>
      </c>
      <c r="C98" s="2043"/>
      <c r="D98" s="2032">
        <f>ROUND(SUM(D88:D97),1)</f>
        <v>6377.9</v>
      </c>
      <c r="F98" s="2032">
        <f>ROUND(SUM(F88:F97),1)</f>
        <v>4591.7</v>
      </c>
      <c r="H98" s="2473">
        <f>ROUND(SUM(H88:H97),1)</f>
        <v>5623.6</v>
      </c>
      <c r="J98" s="2473">
        <f>ROUND(SUM(J88:J97),1)</f>
        <v>6120.4</v>
      </c>
      <c r="L98" s="2032">
        <f t="shared" ref="L98:V98" si="26">ROUND(SUM(L88:L97),1)</f>
        <v>5341.5</v>
      </c>
      <c r="N98" s="2032">
        <f t="shared" ref="N98:P98" si="27">ROUND(SUM(N88:N97),1)</f>
        <v>13985.8</v>
      </c>
      <c r="P98" s="2032">
        <f t="shared" si="27"/>
        <v>5578.4</v>
      </c>
      <c r="R98" s="2032">
        <f t="shared" ref="R98" si="28">ROUND(SUM(R88:R97),1)</f>
        <v>0</v>
      </c>
      <c r="T98" s="2016">
        <f t="shared" si="26"/>
        <v>0</v>
      </c>
      <c r="V98" s="2032">
        <f t="shared" si="26"/>
        <v>0</v>
      </c>
      <c r="X98" s="2032">
        <f t="shared" ref="X98:Z98" si="29">ROUND(SUM(X88:X97),1)</f>
        <v>0</v>
      </c>
      <c r="Z98" s="2032">
        <f t="shared" si="29"/>
        <v>0</v>
      </c>
      <c r="AA98" s="1442"/>
      <c r="AB98" s="2032">
        <f>ROUND(SUM(AB88:AB97),1)</f>
        <v>0</v>
      </c>
      <c r="AC98" s="2039"/>
      <c r="AD98" s="2016">
        <f>ROUND(SUM(AD88:AD97),1)</f>
        <v>47619.3</v>
      </c>
      <c r="AE98" s="2049"/>
      <c r="AF98" s="2553"/>
      <c r="AG98" s="2016">
        <f>ROUND(SUM(AG88:AG97),1)</f>
        <v>41852.5</v>
      </c>
      <c r="AH98" s="3483"/>
      <c r="AI98" s="1442"/>
      <c r="AJ98" s="2032">
        <f>ROUND(SUM(AJ88:AJ97),1)</f>
        <v>5766.8</v>
      </c>
      <c r="AK98" s="2052"/>
      <c r="AL98" s="1434">
        <f>ROUND(SUM(+AJ98/AG98),3)</f>
        <v>0.13800000000000001</v>
      </c>
      <c r="AR98" s="2020"/>
      <c r="AS98" s="2017"/>
      <c r="AT98" s="2020"/>
    </row>
    <row r="99" spans="1:46" s="2184" customFormat="1" ht="15" customHeight="1">
      <c r="A99" s="2464"/>
      <c r="B99" s="2464" t="s">
        <v>169</v>
      </c>
      <c r="C99" s="2464"/>
      <c r="D99" s="1994"/>
      <c r="E99" s="2529"/>
      <c r="F99" s="1994"/>
      <c r="G99" s="2529"/>
      <c r="H99" s="1441"/>
      <c r="I99" s="2529"/>
      <c r="J99" s="1441"/>
      <c r="K99" s="2541"/>
      <c r="L99" s="1994"/>
      <c r="M99" s="2541"/>
      <c r="N99" s="1994"/>
      <c r="O99" s="2541"/>
      <c r="P99" s="1994"/>
      <c r="Q99" s="2541"/>
      <c r="R99" s="1994"/>
      <c r="S99" s="2541"/>
      <c r="T99" s="1994"/>
      <c r="U99" s="2541"/>
      <c r="V99" s="1994"/>
      <c r="W99" s="2541"/>
      <c r="X99" s="1994"/>
      <c r="Y99" s="2541"/>
      <c r="Z99" s="1994"/>
      <c r="AA99" s="1994"/>
      <c r="AB99" s="1994"/>
      <c r="AC99" s="2038"/>
      <c r="AD99" s="1994"/>
      <c r="AE99" s="1994"/>
      <c r="AF99" s="2038"/>
      <c r="AG99" s="1994"/>
      <c r="AH99" s="3480"/>
      <c r="AI99" s="1976"/>
      <c r="AJ99" s="1999"/>
      <c r="AL99" s="1817"/>
      <c r="AS99" s="1990"/>
    </row>
    <row r="100" spans="1:46" s="2184" customFormat="1" ht="15" customHeight="1">
      <c r="A100" s="2464"/>
      <c r="B100" s="2464" t="s">
        <v>153</v>
      </c>
      <c r="C100" s="2464"/>
      <c r="D100" s="2031">
        <f>'Exhibit G State'!D100+'Exhibit G Federal'!D72</f>
        <v>675.80000000000007</v>
      </c>
      <c r="E100" s="2551"/>
      <c r="F100" s="2031">
        <f>'Exhibit G State'!F100+'Exhibit G Federal'!F72</f>
        <v>444.6</v>
      </c>
      <c r="G100" s="2551"/>
      <c r="H100" s="2031">
        <f>'Exhibit G State'!H100+'Exhibit G Federal'!H72</f>
        <v>551.79999999999995</v>
      </c>
      <c r="I100" s="2529"/>
      <c r="J100" s="2031">
        <f>'Exhibit G State'!J100+'Exhibit G Federal'!J72</f>
        <v>539.99999999999989</v>
      </c>
      <c r="K100" s="2541"/>
      <c r="L100" s="2031">
        <f>'Exhibit G State'!L100+'Exhibit G Federal'!L72</f>
        <v>390.70000000000027</v>
      </c>
      <c r="M100" s="2541"/>
      <c r="N100" s="2031">
        <f>'Exhibit G State'!N100+'Exhibit G Federal'!N72</f>
        <v>691.20000000000027</v>
      </c>
      <c r="O100" s="2541"/>
      <c r="P100" s="2031">
        <f>'Exhibit G State'!P100+'Exhibit G Federal'!P72</f>
        <v>521.19999999999993</v>
      </c>
      <c r="Q100" s="2541"/>
      <c r="R100" s="2031"/>
      <c r="S100" s="2541"/>
      <c r="T100" s="2031"/>
      <c r="U100" s="2541"/>
      <c r="V100" s="2031"/>
      <c r="W100" s="2541"/>
      <c r="X100" s="2031"/>
      <c r="Y100" s="2541"/>
      <c r="Z100" s="2031"/>
      <c r="AA100" s="2031"/>
      <c r="AB100" s="1994">
        <v>0</v>
      </c>
      <c r="AC100" s="2038"/>
      <c r="AD100" s="1994">
        <f>ROUND(SUM(D100:Z100),1)</f>
        <v>3815.3</v>
      </c>
      <c r="AE100" s="1994"/>
      <c r="AF100" s="2038"/>
      <c r="AG100" s="2031">
        <f>'Exhibit G State'!AG100+'Exhibit G Federal'!AG72</f>
        <v>3513.4</v>
      </c>
      <c r="AH100" s="3480"/>
      <c r="AI100" s="1976"/>
      <c r="AJ100" s="1999">
        <f>ROUND(SUM(+AD100-AG100),1)</f>
        <v>301.89999999999998</v>
      </c>
      <c r="AK100" s="2549"/>
      <c r="AL100" s="1723">
        <f>ROUND(IF(AG100=0,0,AJ100/ABS(AG100)),3)</f>
        <v>8.5999999999999993E-2</v>
      </c>
    </row>
    <row r="101" spans="1:46" s="2184" customFormat="1" ht="15" customHeight="1">
      <c r="A101" s="2464"/>
      <c r="B101" s="2464" t="s">
        <v>170</v>
      </c>
      <c r="C101" s="2464"/>
      <c r="D101" s="2031">
        <f>'Exhibit G State'!D101+'Exhibit G Federal'!D73</f>
        <v>270.89999999999998</v>
      </c>
      <c r="E101" s="2551"/>
      <c r="F101" s="2031">
        <f>'Exhibit G State'!F101+'Exhibit G Federal'!F73</f>
        <v>220.89999999999998</v>
      </c>
      <c r="G101" s="2551"/>
      <c r="H101" s="2031">
        <f>'Exhibit G State'!H101+'Exhibit G Federal'!H73</f>
        <v>327.3</v>
      </c>
      <c r="I101" s="2529"/>
      <c r="J101" s="2031">
        <f>'Exhibit G State'!J101+'Exhibit G Federal'!J73</f>
        <v>1078</v>
      </c>
      <c r="K101" s="2541"/>
      <c r="L101" s="2031">
        <f>'Exhibit G State'!L101+'Exhibit G Federal'!L73</f>
        <v>380.60000000000025</v>
      </c>
      <c r="M101" s="2541"/>
      <c r="N101" s="2031">
        <f>'Exhibit G State'!N101+'Exhibit G Federal'!N73</f>
        <v>488.09999999999991</v>
      </c>
      <c r="O101" s="2541"/>
      <c r="P101" s="2031">
        <f>'Exhibit G State'!P101+'Exhibit G Federal'!P73</f>
        <v>437.00000000000011</v>
      </c>
      <c r="Q101" s="2541"/>
      <c r="R101" s="2031"/>
      <c r="S101" s="2541"/>
      <c r="T101" s="2031"/>
      <c r="U101" s="2541"/>
      <c r="V101" s="2031"/>
      <c r="W101" s="2541"/>
      <c r="X101" s="2031"/>
      <c r="Y101" s="2541"/>
      <c r="Z101" s="2031"/>
      <c r="AA101" s="2031"/>
      <c r="AB101" s="1994">
        <v>0</v>
      </c>
      <c r="AC101" s="2038"/>
      <c r="AD101" s="1994">
        <f>ROUND(SUM(D101:Z101),1)</f>
        <v>3202.8</v>
      </c>
      <c r="AE101" s="1994"/>
      <c r="AF101" s="2038"/>
      <c r="AG101" s="2031">
        <f>'Exhibit G State'!AG101+'Exhibit G Federal'!AG73</f>
        <v>2396.6</v>
      </c>
      <c r="AH101" s="3480"/>
      <c r="AI101" s="1976"/>
      <c r="AJ101" s="1999">
        <f>ROUND(SUM(+AD101-AG101),1)</f>
        <v>806.2</v>
      </c>
      <c r="AK101" s="2549"/>
      <c r="AL101" s="1723">
        <f>ROUND(IF(AG101=0,0,AJ101/ABS(AG101)),3)</f>
        <v>0.33600000000000002</v>
      </c>
    </row>
    <row r="102" spans="1:46" s="2184" customFormat="1" ht="15" customHeight="1">
      <c r="A102" s="2464"/>
      <c r="B102" s="2464" t="s">
        <v>171</v>
      </c>
      <c r="C102" s="2464"/>
      <c r="D102" s="2031">
        <f>'Exhibit G State'!D102+'Exhibit G Federal'!D74</f>
        <v>75</v>
      </c>
      <c r="E102" s="2551"/>
      <c r="F102" s="2031">
        <f>'Exhibit G State'!F102+'Exhibit G Federal'!F74</f>
        <v>64.5</v>
      </c>
      <c r="G102" s="2551"/>
      <c r="H102" s="2031">
        <f>'Exhibit G State'!H102+'Exhibit G Federal'!H74</f>
        <v>109.60000000000001</v>
      </c>
      <c r="I102" s="2529"/>
      <c r="J102" s="2031">
        <f>'Exhibit G State'!J102+'Exhibit G Federal'!J74</f>
        <v>136</v>
      </c>
      <c r="K102" s="2541"/>
      <c r="L102" s="2031">
        <f>'Exhibit G State'!L102+'Exhibit G Federal'!L74</f>
        <v>142.89999999999998</v>
      </c>
      <c r="M102" s="2541"/>
      <c r="N102" s="2031">
        <f>'Exhibit G State'!N102+'Exhibit G Federal'!N74</f>
        <v>139.80000000000001</v>
      </c>
      <c r="O102" s="2541"/>
      <c r="P102" s="2031">
        <f>'Exhibit G State'!P102+'Exhibit G Federal'!P74</f>
        <v>124.29999999999994</v>
      </c>
      <c r="Q102" s="2541"/>
      <c r="R102" s="2031"/>
      <c r="S102" s="2541"/>
      <c r="T102" s="2031"/>
      <c r="U102" s="2541"/>
      <c r="V102" s="2031"/>
      <c r="W102" s="2541"/>
      <c r="X102" s="2031"/>
      <c r="Y102" s="2541"/>
      <c r="Z102" s="2031"/>
      <c r="AA102" s="2031"/>
      <c r="AB102" s="1994">
        <v>0</v>
      </c>
      <c r="AC102" s="2038"/>
      <c r="AD102" s="1994">
        <f>ROUND(SUM(D102:Z102),1)</f>
        <v>792.1</v>
      </c>
      <c r="AE102" s="1994"/>
      <c r="AF102" s="2038"/>
      <c r="AG102" s="2031">
        <f>'Exhibit G State'!AG102+'Exhibit G Federal'!AG74</f>
        <v>709.2</v>
      </c>
      <c r="AH102" s="3480"/>
      <c r="AI102" s="1976"/>
      <c r="AJ102" s="1999">
        <f>ROUND(SUM(+AD102-AG102),1)</f>
        <v>82.9</v>
      </c>
      <c r="AK102" s="2549"/>
      <c r="AL102" s="1723">
        <f>ROUND(IF(AG102=0,0,AJ102/ABS(AG102)),3)</f>
        <v>0.11700000000000001</v>
      </c>
    </row>
    <row r="103" spans="1:46" s="2184" customFormat="1" ht="15" customHeight="1">
      <c r="A103" s="2464"/>
      <c r="B103" s="2464" t="s">
        <v>172</v>
      </c>
      <c r="C103" s="2464"/>
      <c r="D103" s="2031">
        <f>'Exhibit G State'!D103+'Exhibit G Federal'!D75</f>
        <v>0</v>
      </c>
      <c r="E103" s="2551"/>
      <c r="F103" s="2031">
        <f>'Exhibit G State'!F103+'Exhibit G Federal'!F75</f>
        <v>0</v>
      </c>
      <c r="G103" s="2551"/>
      <c r="H103" s="2031">
        <f>'Exhibit G State'!H103+'Exhibit G Federal'!H75</f>
        <v>0</v>
      </c>
      <c r="I103" s="2529"/>
      <c r="J103" s="2031">
        <f>'Exhibit G State'!J103+'Exhibit G Federal'!J75</f>
        <v>0</v>
      </c>
      <c r="K103" s="2541"/>
      <c r="L103" s="2031">
        <f>'Exhibit G State'!L103+'Exhibit G Federal'!L75</f>
        <v>2.2999999999999998</v>
      </c>
      <c r="M103" s="2541"/>
      <c r="N103" s="2031">
        <f>'Exhibit G State'!N103+'Exhibit G Federal'!N75</f>
        <v>0</v>
      </c>
      <c r="O103" s="2541"/>
      <c r="P103" s="2031">
        <f>'Exhibit G State'!P103+'Exhibit G Federal'!P75</f>
        <v>0</v>
      </c>
      <c r="Q103" s="2541"/>
      <c r="R103" s="2031"/>
      <c r="S103" s="2541"/>
      <c r="T103" s="2031"/>
      <c r="U103" s="2541"/>
      <c r="V103" s="2031"/>
      <c r="W103" s="2541"/>
      <c r="X103" s="2031"/>
      <c r="Y103" s="2541"/>
      <c r="Z103" s="2031"/>
      <c r="AA103" s="2031"/>
      <c r="AB103" s="2558">
        <v>0</v>
      </c>
      <c r="AC103" s="2038"/>
      <c r="AD103" s="1994">
        <f>ROUND(SUM(D103:Z103),1)</f>
        <v>2.2999999999999998</v>
      </c>
      <c r="AE103" s="1994"/>
      <c r="AF103" s="2038"/>
      <c r="AG103" s="2031">
        <f>'Exhibit G State'!AG103+'Exhibit G Federal'!AG75</f>
        <v>0</v>
      </c>
      <c r="AH103" s="3480"/>
      <c r="AI103" s="1976"/>
      <c r="AJ103" s="2040">
        <f>ROUND(SUM(+AD103-AG103),1)</f>
        <v>2.2999999999999998</v>
      </c>
      <c r="AK103" s="2559"/>
      <c r="AL103" s="1723">
        <f>ROUND(IF(AG103=0,1,AJ103/ABS(AG103)),3)</f>
        <v>1</v>
      </c>
    </row>
    <row r="104" spans="1:46" s="2184" customFormat="1" ht="15" customHeight="1">
      <c r="A104" s="2464"/>
      <c r="B104" s="2464"/>
      <c r="C104" s="2464"/>
      <c r="D104" s="2050"/>
      <c r="E104" s="2529"/>
      <c r="F104" s="2050"/>
      <c r="G104" s="2529"/>
      <c r="H104" s="2492"/>
      <c r="I104" s="2529"/>
      <c r="J104" s="2492"/>
      <c r="K104" s="2541"/>
      <c r="L104" s="2050"/>
      <c r="M104" s="2541"/>
      <c r="N104" s="2050"/>
      <c r="O104" s="2541"/>
      <c r="P104" s="2050"/>
      <c r="Q104" s="2541"/>
      <c r="R104" s="2050"/>
      <c r="S104" s="2541"/>
      <c r="T104" s="2050"/>
      <c r="U104" s="2541"/>
      <c r="V104" s="2050"/>
      <c r="W104" s="2541"/>
      <c r="X104" s="2050"/>
      <c r="Y104" s="2541"/>
      <c r="Z104" s="2050"/>
      <c r="AA104" s="1976"/>
      <c r="AB104" s="1994"/>
      <c r="AC104" s="2038"/>
      <c r="AD104" s="2050"/>
      <c r="AE104" s="1994"/>
      <c r="AF104" s="2038"/>
      <c r="AG104" s="2050"/>
      <c r="AH104" s="3480"/>
      <c r="AI104" s="1976"/>
      <c r="AJ104" s="2569"/>
      <c r="AL104" s="2570"/>
    </row>
    <row r="105" spans="1:46" s="2184" customFormat="1" ht="15" customHeight="1">
      <c r="A105" s="2464"/>
      <c r="B105" s="2552" t="s">
        <v>156</v>
      </c>
      <c r="C105" s="2464"/>
      <c r="D105" s="2049">
        <f>ROUND(SUM(D98:D103),1)</f>
        <v>7399.6</v>
      </c>
      <c r="E105" s="2529"/>
      <c r="F105" s="2049">
        <f>ROUND(SUM(F98:F103),1)</f>
        <v>5321.7</v>
      </c>
      <c r="G105" s="2529"/>
      <c r="H105" s="1459">
        <f>ROUND(SUM(H98:H103),1)</f>
        <v>6612.3</v>
      </c>
      <c r="I105" s="2529"/>
      <c r="J105" s="1459">
        <f>ROUND(SUM(J98:J103),1)</f>
        <v>7874.4</v>
      </c>
      <c r="K105" s="2541"/>
      <c r="L105" s="2049">
        <f t="shared" ref="L105:V105" si="30">ROUND(SUM(L98:L103),1)</f>
        <v>6258</v>
      </c>
      <c r="M105" s="2541"/>
      <c r="N105" s="2049">
        <f t="shared" ref="N105:P105" si="31">ROUND(SUM(N98:N103),1)</f>
        <v>15304.9</v>
      </c>
      <c r="O105" s="2541"/>
      <c r="P105" s="2049">
        <f t="shared" si="31"/>
        <v>6660.9</v>
      </c>
      <c r="Q105" s="2541"/>
      <c r="R105" s="2049">
        <f t="shared" ref="R105" si="32">ROUND(SUM(R98:R103),1)</f>
        <v>0</v>
      </c>
      <c r="S105" s="2541"/>
      <c r="T105" s="2049">
        <f t="shared" si="30"/>
        <v>0</v>
      </c>
      <c r="U105" s="2541"/>
      <c r="V105" s="2049">
        <f t="shared" si="30"/>
        <v>0</v>
      </c>
      <c r="W105" s="2541"/>
      <c r="X105" s="2049">
        <f t="shared" ref="X105:Z105" si="33">ROUND(SUM(X98:X103),1)</f>
        <v>0</v>
      </c>
      <c r="Y105" s="2541"/>
      <c r="Z105" s="2049">
        <f t="shared" si="33"/>
        <v>0</v>
      </c>
      <c r="AA105" s="2049"/>
      <c r="AB105" s="2571">
        <v>0</v>
      </c>
      <c r="AC105" s="2553"/>
      <c r="AD105" s="2049">
        <f>ROUND(SUM(AD98:AD103),1)</f>
        <v>55431.8</v>
      </c>
      <c r="AE105" s="2049"/>
      <c r="AF105" s="2553"/>
      <c r="AG105" s="2049">
        <f>ROUND(SUM(AG98:AG103),1)</f>
        <v>48471.7</v>
      </c>
      <c r="AH105" s="3483"/>
      <c r="AI105" s="1460"/>
      <c r="AJ105" s="2053">
        <f>ROUND(SUM(AJ98:AJ103),1)</f>
        <v>6960.1</v>
      </c>
      <c r="AK105" s="2436"/>
      <c r="AL105" s="2572">
        <f>ROUND(SUM(+AJ105/AG105),3)</f>
        <v>0.14399999999999999</v>
      </c>
    </row>
    <row r="106" spans="1:46" ht="15" customHeight="1">
      <c r="A106" s="2043"/>
      <c r="B106" s="2043"/>
      <c r="C106" s="2043"/>
      <c r="D106" s="2004"/>
      <c r="F106" s="2004"/>
      <c r="H106" s="2492"/>
      <c r="J106" s="2492"/>
      <c r="L106" s="2004"/>
      <c r="N106" s="2004"/>
      <c r="P106" s="2004"/>
      <c r="R106" s="2004"/>
      <c r="T106" s="2050"/>
      <c r="V106" s="2004"/>
      <c r="X106" s="2004"/>
      <c r="Z106" s="2004"/>
      <c r="AA106" s="2006"/>
      <c r="AB106" s="2005"/>
      <c r="AC106" s="2036"/>
      <c r="AD106" s="2050"/>
      <c r="AE106" s="1994"/>
      <c r="AF106" s="2038"/>
      <c r="AG106" s="2050"/>
      <c r="AH106" s="3480"/>
      <c r="AI106" s="2006"/>
      <c r="AJ106" s="1441"/>
      <c r="AL106" s="1430"/>
    </row>
    <row r="107" spans="1:46" ht="15" customHeight="1">
      <c r="A107" s="2043"/>
      <c r="B107" s="2426" t="s">
        <v>157</v>
      </c>
      <c r="C107" s="2043"/>
      <c r="D107" s="2005"/>
      <c r="F107" s="2005"/>
      <c r="H107" s="1441"/>
      <c r="J107" s="1441"/>
      <c r="L107" s="2005"/>
      <c r="N107" s="2005"/>
      <c r="P107" s="2005"/>
      <c r="R107" s="2005"/>
      <c r="T107" s="1994"/>
      <c r="V107" s="2005"/>
      <c r="X107" s="2005"/>
      <c r="Z107" s="2005"/>
      <c r="AA107" s="2005"/>
      <c r="AB107" s="2005"/>
      <c r="AC107" s="2036"/>
      <c r="AD107" s="1994" t="s">
        <v>158</v>
      </c>
      <c r="AE107" s="3456"/>
      <c r="AF107" s="3457"/>
      <c r="AG107" s="1994"/>
      <c r="AH107" s="3485"/>
      <c r="AI107" s="2573"/>
      <c r="AJ107" s="1441"/>
      <c r="AL107" s="1430"/>
    </row>
    <row r="108" spans="1:46" ht="15" customHeight="1">
      <c r="A108" s="2043"/>
      <c r="B108" s="2426" t="s">
        <v>45</v>
      </c>
      <c r="C108" s="2043"/>
      <c r="D108" s="1459">
        <f>ROUND(SUM(D84-D105),1)</f>
        <v>4993.7</v>
      </c>
      <c r="F108" s="1459">
        <f>ROUND(SUM(F84-F105),1)</f>
        <v>4.5</v>
      </c>
      <c r="G108" s="1459">
        <f>ROUND(SUM(G84-G105),1)</f>
        <v>0</v>
      </c>
      <c r="H108" s="1459">
        <f>ROUND(SUM(H84-H105),1)</f>
        <v>2455.4</v>
      </c>
      <c r="J108" s="1459">
        <f>ROUND(SUM(J84-J105),1)</f>
        <v>-1109</v>
      </c>
      <c r="L108" s="1459">
        <f>ROUND(SUM(L84-L105),1)</f>
        <v>-448.2</v>
      </c>
      <c r="N108" s="1459">
        <f>ROUND(SUM(N84-N105),1)</f>
        <v>-3127.2</v>
      </c>
      <c r="P108" s="1459">
        <f>ROUND(SUM(P84-P105),1)</f>
        <v>2653.2</v>
      </c>
      <c r="R108" s="1459">
        <f>ROUND(SUM(R84-R105),1)</f>
        <v>0</v>
      </c>
      <c r="T108" s="2049">
        <f>ROUND(SUM(T84-T105),1)</f>
        <v>0</v>
      </c>
      <c r="V108" s="1459">
        <f>ROUND(SUM(V84-V105),1)</f>
        <v>0</v>
      </c>
      <c r="X108" s="1459">
        <f>ROUND(SUM(X84-X105),1)</f>
        <v>0</v>
      </c>
      <c r="Z108" s="2049">
        <f>ROUND(SUM(Z84-Z105),1)</f>
        <v>0</v>
      </c>
      <c r="AA108" s="2049"/>
      <c r="AB108" s="2571">
        <v>0</v>
      </c>
      <c r="AC108" s="2553"/>
      <c r="AD108" s="2049">
        <f>ROUND(SUM(AD84-AD105),1)</f>
        <v>5422.4</v>
      </c>
      <c r="AE108" s="2049"/>
      <c r="AF108" s="2553"/>
      <c r="AG108" s="2049">
        <f>ROUND(SUM(AG84-AG105),1)</f>
        <v>1315.1</v>
      </c>
      <c r="AH108" s="3483"/>
      <c r="AI108" s="1460"/>
      <c r="AJ108" s="1558">
        <f>ROUND(SUM(AJ84-AJ105),1)</f>
        <v>4107.3</v>
      </c>
      <c r="AK108" s="2427"/>
      <c r="AL108" s="1857">
        <f>ROUND(SUM(+AJ108/ABS(AG108)),3)</f>
        <v>3.1230000000000002</v>
      </c>
    </row>
    <row r="109" spans="1:46" ht="15" customHeight="1">
      <c r="A109" s="2043"/>
      <c r="B109" s="2043"/>
      <c r="C109" s="2043"/>
      <c r="D109" s="2004"/>
      <c r="F109" s="2004"/>
      <c r="H109" s="2492"/>
      <c r="J109" s="2492"/>
      <c r="L109" s="2004"/>
      <c r="N109" s="2004"/>
      <c r="P109" s="2004"/>
      <c r="R109" s="2004"/>
      <c r="T109" s="2050"/>
      <c r="V109" s="2004"/>
      <c r="X109" s="2004"/>
      <c r="Z109" s="2050"/>
      <c r="AA109" s="1976"/>
      <c r="AB109" s="1994"/>
      <c r="AC109" s="2038"/>
      <c r="AD109" s="2050"/>
      <c r="AE109" s="1994"/>
      <c r="AF109" s="2038"/>
      <c r="AG109" s="2050"/>
      <c r="AH109" s="3480"/>
      <c r="AI109" s="1976"/>
      <c r="AJ109" s="1999"/>
      <c r="AL109" s="1430"/>
    </row>
    <row r="110" spans="1:46" ht="15" customHeight="1">
      <c r="A110" s="2043"/>
      <c r="B110" s="2426" t="s">
        <v>46</v>
      </c>
      <c r="C110" s="2043"/>
      <c r="D110" s="2005"/>
      <c r="F110" s="2005"/>
      <c r="H110" s="1441"/>
      <c r="J110" s="1441"/>
      <c r="L110" s="2005"/>
      <c r="N110" s="2005"/>
      <c r="P110" s="2005"/>
      <c r="R110" s="2005"/>
      <c r="T110" s="1994"/>
      <c r="V110" s="2005"/>
      <c r="X110" s="2005"/>
      <c r="Z110" s="1999" t="s">
        <v>15</v>
      </c>
      <c r="AA110" s="1994"/>
      <c r="AB110" s="1994"/>
      <c r="AC110" s="2038"/>
      <c r="AD110" s="1994"/>
      <c r="AE110" s="1994"/>
      <c r="AF110" s="2038"/>
      <c r="AG110" s="1994"/>
      <c r="AH110" s="3480"/>
      <c r="AI110" s="1976"/>
      <c r="AJ110" s="1999"/>
      <c r="AL110" s="1430"/>
    </row>
    <row r="111" spans="1:46" s="2184" customFormat="1" ht="15" customHeight="1">
      <c r="A111" s="2464"/>
      <c r="B111" s="2464" t="s">
        <v>173</v>
      </c>
      <c r="C111" s="2464"/>
      <c r="D111" s="2574">
        <f>+'Exhibit G State'!D111+'Exhibit G Federal'!D83</f>
        <v>222.7</v>
      </c>
      <c r="E111" s="2031"/>
      <c r="F111" s="2574">
        <f>+'Exhibit G State'!F111+'Exhibit G Federal'!F83</f>
        <v>41.5</v>
      </c>
      <c r="G111" s="2031"/>
      <c r="H111" s="2574">
        <f>+'Exhibit G State'!H111+'Exhibit G Federal'!H83</f>
        <v>897.40000000000009</v>
      </c>
      <c r="I111" s="2574"/>
      <c r="J111" s="2574">
        <f>+'Exhibit G State'!J111+'Exhibit G Federal'!J83</f>
        <v>135.59999999999991</v>
      </c>
      <c r="K111" s="2541"/>
      <c r="L111" s="2574">
        <f>+'Exhibit G State'!L111+'Exhibit G Federal'!L83</f>
        <v>116</v>
      </c>
      <c r="M111" s="2541"/>
      <c r="N111" s="2574">
        <f>+'Exhibit G State'!N111+'Exhibit G Federal'!N83</f>
        <v>206.09999999999991</v>
      </c>
      <c r="O111" s="2541"/>
      <c r="P111" s="2574">
        <f>+'Exhibit G State'!P111+'Exhibit G Federal'!P83</f>
        <v>505.89999999999986</v>
      </c>
      <c r="Q111" s="2541"/>
      <c r="R111" s="2574"/>
      <c r="S111" s="2541"/>
      <c r="T111" s="2574"/>
      <c r="U111" s="2541"/>
      <c r="V111" s="2574"/>
      <c r="W111" s="2541"/>
      <c r="X111" s="2574"/>
      <c r="Y111" s="2541"/>
      <c r="Z111" s="2574"/>
      <c r="AA111" s="2119"/>
      <c r="AB111" s="1788">
        <v>-494.4</v>
      </c>
      <c r="AC111" s="2038"/>
      <c r="AD111" s="1994">
        <f>ROUND(SUM(D111:AB111),1)</f>
        <v>1630.8</v>
      </c>
      <c r="AE111" s="1994"/>
      <c r="AF111" s="2038"/>
      <c r="AG111" s="2031">
        <f>'Exhibit G State'!AG111+'Exhibit G Federal'!AG83-399.4</f>
        <v>1724.4</v>
      </c>
      <c r="AH111" s="3480"/>
      <c r="AI111" s="1976"/>
      <c r="AJ111" s="2040">
        <f>ROUND(SUM(+AD111-AG111),1)</f>
        <v>-93.6</v>
      </c>
      <c r="AK111" s="2559"/>
      <c r="AL111" s="1723">
        <f>ROUND(IF(AG111=0,0,AJ111/ABS(AG111)),3)</f>
        <v>-5.3999999999999999E-2</v>
      </c>
    </row>
    <row r="112" spans="1:46" s="2184" customFormat="1" ht="15" customHeight="1">
      <c r="A112" s="2464"/>
      <c r="B112" s="2464" t="s">
        <v>174</v>
      </c>
      <c r="C112" s="2464"/>
      <c r="D112" s="2574">
        <f>+'Exhibit G State'!D112+'Exhibit G Federal'!D84</f>
        <v>-304.5</v>
      </c>
      <c r="E112" s="2031"/>
      <c r="F112" s="2574">
        <f>+'Exhibit G State'!F112+'Exhibit G Federal'!F84</f>
        <v>-129.80000000000001</v>
      </c>
      <c r="G112" s="2031"/>
      <c r="H112" s="2574">
        <f>+'Exhibit G State'!H112+'Exhibit G Federal'!H84</f>
        <v>-20.299999999999983</v>
      </c>
      <c r="I112" s="2541"/>
      <c r="J112" s="2574">
        <f>+'Exhibit G State'!J112+'Exhibit G Federal'!J84</f>
        <v>-266.59999999999997</v>
      </c>
      <c r="K112" s="2541"/>
      <c r="L112" s="2574">
        <f>+'Exhibit G State'!L112+'Exhibit G Federal'!L84</f>
        <v>-30.300000000000004</v>
      </c>
      <c r="M112" s="2541"/>
      <c r="N112" s="2574">
        <f>+'Exhibit G State'!N112+'Exhibit G Federal'!N84</f>
        <v>-438.80000000000013</v>
      </c>
      <c r="O112" s="2541"/>
      <c r="P112" s="2574">
        <f>+'Exhibit G State'!P112+'Exhibit G Federal'!P84</f>
        <v>-485.59999999999985</v>
      </c>
      <c r="Q112" s="2541"/>
      <c r="R112" s="2574"/>
      <c r="S112" s="2541"/>
      <c r="T112" s="2574"/>
      <c r="U112" s="2541"/>
      <c r="V112" s="2574"/>
      <c r="W112" s="2541"/>
      <c r="X112" s="2574"/>
      <c r="Y112" s="2541"/>
      <c r="Z112" s="2574"/>
      <c r="AA112" s="2119"/>
      <c r="AB112" s="3435">
        <v>494.4</v>
      </c>
      <c r="AC112" s="2038"/>
      <c r="AD112" s="1994">
        <f>ROUND(SUM(D112:AB112),1)</f>
        <v>-1181.5</v>
      </c>
      <c r="AE112" s="1994"/>
      <c r="AF112" s="2038"/>
      <c r="AG112" s="2031">
        <f>'Exhibit G State'!AG112+'Exhibit G Federal'!AG84+399.4</f>
        <v>-1015.3000000000003</v>
      </c>
      <c r="AH112" s="3480"/>
      <c r="AI112" s="1976"/>
      <c r="AJ112" s="2040">
        <f>ROUND(SUM(+AD112-AG112)*-1,1)</f>
        <v>166.2</v>
      </c>
      <c r="AK112" s="2559"/>
      <c r="AL112" s="1723">
        <f>ROUND(IF(AG112=0,0,AJ112/ABS(AG112)),3)</f>
        <v>0.16400000000000001</v>
      </c>
    </row>
    <row r="113" spans="1:49" ht="15" customHeight="1">
      <c r="A113" s="2043"/>
      <c r="B113" s="2043"/>
      <c r="C113" s="2043"/>
      <c r="D113" s="2004"/>
      <c r="F113" s="2004"/>
      <c r="H113" s="2004"/>
      <c r="J113" s="2004"/>
      <c r="L113" s="2004"/>
      <c r="N113" s="2004"/>
      <c r="P113" s="2004"/>
      <c r="R113" s="2004"/>
      <c r="T113" s="2050"/>
      <c r="V113" s="2004"/>
      <c r="X113" s="2004"/>
      <c r="Z113" s="2050"/>
      <c r="AA113" s="1976"/>
      <c r="AB113" s="1994"/>
      <c r="AC113" s="2038"/>
      <c r="AD113" s="2050"/>
      <c r="AE113" s="1994"/>
      <c r="AF113" s="2038"/>
      <c r="AG113" s="2050"/>
      <c r="AH113" s="3480"/>
      <c r="AI113" s="1976"/>
      <c r="AJ113" s="2569"/>
      <c r="AL113" s="1444"/>
    </row>
    <row r="114" spans="1:49" ht="15" customHeight="1">
      <c r="A114" s="2043"/>
      <c r="B114" s="2426" t="s">
        <v>1175</v>
      </c>
      <c r="C114" s="2043"/>
      <c r="D114" s="1459">
        <f>ROUND(SUM(D111:D112),1)</f>
        <v>-81.8</v>
      </c>
      <c r="F114" s="1459">
        <f>ROUND(SUM(F111:F112),1)</f>
        <v>-88.3</v>
      </c>
      <c r="H114" s="1459">
        <f>ROUND(SUM(H111:H112),1)</f>
        <v>877.1</v>
      </c>
      <c r="J114" s="1459">
        <f>ROUND(SUM(J111:J112),1)</f>
        <v>-131</v>
      </c>
      <c r="L114" s="1459">
        <f>ROUND(SUM(L111:L112),1)</f>
        <v>85.7</v>
      </c>
      <c r="N114" s="1459">
        <f>ROUND(SUM(N111:N112),1)</f>
        <v>-232.7</v>
      </c>
      <c r="P114" s="1459">
        <f>ROUND(SUM(P111:P112),1)</f>
        <v>20.3</v>
      </c>
      <c r="R114" s="1459">
        <f>ROUND(SUM(R111:R112),1)</f>
        <v>0</v>
      </c>
      <c r="T114" s="2049">
        <f>ROUND(SUM(T111:T112),1)</f>
        <v>0</v>
      </c>
      <c r="V114" s="1459">
        <f>ROUND(SUM(V111:V112),1)</f>
        <v>0</v>
      </c>
      <c r="X114" s="1459">
        <f>ROUND(SUM(X111:X112),1)</f>
        <v>0</v>
      </c>
      <c r="Z114" s="1459">
        <f>ROUND(SUM(Z111:Z112),1)</f>
        <v>0</v>
      </c>
      <c r="AA114" s="1459"/>
      <c r="AB114" s="2562">
        <f>ROUND(SUM(AB111:AB112),1)</f>
        <v>0</v>
      </c>
      <c r="AC114" s="2039"/>
      <c r="AD114" s="2049">
        <f>ROUND(SUM(AD111:AD112),1)</f>
        <v>449.3</v>
      </c>
      <c r="AE114" s="2049"/>
      <c r="AF114" s="2553"/>
      <c r="AG114" s="2049">
        <f>ROUND(SUM(AG111:AG112),1)</f>
        <v>709.1</v>
      </c>
      <c r="AH114" s="3483"/>
      <c r="AI114" s="1442"/>
      <c r="AJ114" s="2051">
        <f>ROUND(SUM(AD114-AG114),1)</f>
        <v>-259.8</v>
      </c>
      <c r="AK114" s="2052"/>
      <c r="AL114" s="1434">
        <f>ROUND(SUM(+AJ114/AG114),3)</f>
        <v>-0.36599999999999999</v>
      </c>
    </row>
    <row r="115" spans="1:49" ht="15" customHeight="1">
      <c r="A115" s="2043"/>
      <c r="B115" s="2043"/>
      <c r="C115" s="2043"/>
      <c r="D115" s="2004"/>
      <c r="F115" s="2004"/>
      <c r="H115" s="2004"/>
      <c r="J115" s="2004"/>
      <c r="L115" s="2004"/>
      <c r="N115" s="2004"/>
      <c r="P115" s="2004"/>
      <c r="R115" s="2004"/>
      <c r="T115" s="2050"/>
      <c r="V115" s="2004"/>
      <c r="X115" s="2004"/>
      <c r="Z115" s="2004"/>
      <c r="AA115" s="2006"/>
      <c r="AB115" s="2005"/>
      <c r="AC115" s="2036"/>
      <c r="AD115" s="2050"/>
      <c r="AE115" s="1994"/>
      <c r="AF115" s="2038"/>
      <c r="AG115" s="2050"/>
      <c r="AH115" s="3480"/>
      <c r="AI115" s="2006"/>
      <c r="AJ115" s="1441"/>
      <c r="AL115" s="1430"/>
    </row>
    <row r="116" spans="1:49" ht="15" customHeight="1">
      <c r="A116" s="2043"/>
      <c r="B116" s="2426" t="s">
        <v>165</v>
      </c>
      <c r="C116" s="2043"/>
      <c r="D116" s="2005"/>
      <c r="F116" s="2005"/>
      <c r="H116" s="2005"/>
      <c r="J116" s="2005"/>
      <c r="L116" s="2005"/>
      <c r="N116" s="2005"/>
      <c r="P116" s="2005"/>
      <c r="R116" s="2005"/>
      <c r="T116" s="1994"/>
      <c r="V116" s="2005"/>
      <c r="X116" s="2005"/>
      <c r="Z116" s="2005"/>
      <c r="AA116" s="2005"/>
      <c r="AB116" s="2005"/>
      <c r="AC116" s="2036"/>
      <c r="AD116" s="1994"/>
      <c r="AE116" s="1994"/>
      <c r="AF116" s="2038"/>
      <c r="AG116" s="1994"/>
      <c r="AH116" s="3480"/>
      <c r="AI116" s="2006"/>
      <c r="AJ116" s="1441"/>
      <c r="AL116" s="1430"/>
    </row>
    <row r="117" spans="1:49" ht="15" customHeight="1">
      <c r="A117" s="2043"/>
      <c r="B117" s="2426" t="s">
        <v>166</v>
      </c>
      <c r="C117" s="2043"/>
      <c r="D117" s="2005"/>
      <c r="F117" s="2005"/>
      <c r="H117" s="2005"/>
      <c r="J117" s="2005"/>
      <c r="L117" s="2005"/>
      <c r="N117" s="2005"/>
      <c r="P117" s="2005"/>
      <c r="R117" s="2005"/>
      <c r="T117" s="1994"/>
      <c r="V117" s="2005"/>
      <c r="X117" s="2005"/>
      <c r="Z117" s="2005"/>
      <c r="AA117" s="2005"/>
      <c r="AB117" s="2005"/>
      <c r="AC117" s="2036"/>
      <c r="AD117" s="1994"/>
      <c r="AE117" s="1994"/>
      <c r="AF117" s="2038"/>
      <c r="AG117" s="1994"/>
      <c r="AH117" s="3480"/>
      <c r="AI117" s="2006"/>
      <c r="AJ117" s="1441"/>
      <c r="AL117" s="1430"/>
    </row>
    <row r="118" spans="1:49" ht="15" customHeight="1">
      <c r="A118" s="2043"/>
      <c r="B118" s="2426" t="s">
        <v>1176</v>
      </c>
      <c r="C118" s="2043"/>
      <c r="D118" s="1459">
        <f>ROUND(SUM(D108+D114),1)</f>
        <v>4911.8999999999996</v>
      </c>
      <c r="F118" s="1459">
        <f>ROUND(SUM(F108+F114),1)</f>
        <v>-83.8</v>
      </c>
      <c r="H118" s="1459">
        <f>ROUND(SUM(H108+H114),1)</f>
        <v>3332.5</v>
      </c>
      <c r="J118" s="1459">
        <f>ROUND(SUM(J108+J114),1)</f>
        <v>-1240</v>
      </c>
      <c r="L118" s="1459">
        <f>ROUND(SUM(L108+L114),1)</f>
        <v>-362.5</v>
      </c>
      <c r="N118" s="1459">
        <f>ROUND(SUM(N108+N114),1)</f>
        <v>-3359.9</v>
      </c>
      <c r="P118" s="1459">
        <f>ROUND(SUM(P108+P114),1)</f>
        <v>2673.5</v>
      </c>
      <c r="R118" s="1459">
        <f>ROUND(SUM(R108+R114),1)</f>
        <v>0</v>
      </c>
      <c r="T118" s="2049">
        <f>ROUND(SUM(T108+T114),1)</f>
        <v>0</v>
      </c>
      <c r="V118" s="1459">
        <f>ROUND(SUM(V108+V114),1)</f>
        <v>0</v>
      </c>
      <c r="X118" s="1459">
        <f>ROUND(SUM(X108+X114),1)</f>
        <v>0</v>
      </c>
      <c r="Z118" s="1459">
        <f>ROUND(SUM(Z108+Z114),1)</f>
        <v>0</v>
      </c>
      <c r="AA118" s="1459"/>
      <c r="AB118" s="2562">
        <f>ROUND(SUM(AB108+AB114),1)</f>
        <v>0</v>
      </c>
      <c r="AC118" s="2039"/>
      <c r="AD118" s="2049">
        <f>ROUND(SUM(AD108+AD114),1)</f>
        <v>5871.7</v>
      </c>
      <c r="AE118" s="2049"/>
      <c r="AF118" s="2553"/>
      <c r="AG118" s="2049">
        <f>ROUND(SUM(AG108+AG114),1)</f>
        <v>2024.2</v>
      </c>
      <c r="AH118" s="3483"/>
      <c r="AI118" s="1442"/>
      <c r="AJ118" s="2051">
        <f>ROUND(SUM(AD118-AG118),1)</f>
        <v>3847.5</v>
      </c>
      <c r="AK118" s="2427"/>
      <c r="AL118" s="1857">
        <f>ROUND(SUM(AJ118/ABS(AG118)),3)</f>
        <v>1.901</v>
      </c>
    </row>
    <row r="119" spans="1:49" ht="15" customHeight="1">
      <c r="A119" s="2043"/>
      <c r="B119" s="2043"/>
      <c r="C119" s="2043"/>
      <c r="D119" s="2447"/>
      <c r="F119" s="2447"/>
      <c r="H119" s="2447"/>
      <c r="J119" s="2447"/>
      <c r="L119" s="2447"/>
      <c r="N119" s="2447"/>
      <c r="P119" s="2447"/>
      <c r="R119" s="2447"/>
      <c r="T119" s="3054"/>
      <c r="V119" s="2447"/>
      <c r="X119" s="2447"/>
      <c r="Z119" s="2447"/>
      <c r="AA119" s="2020"/>
      <c r="AC119" s="2539"/>
      <c r="AD119" s="3054"/>
      <c r="AF119" s="3454"/>
      <c r="AG119" s="3054"/>
      <c r="AH119" s="3479"/>
      <c r="AI119" s="2020"/>
      <c r="AJ119" s="1431"/>
      <c r="AL119" s="1430"/>
    </row>
    <row r="120" spans="1:49" ht="15" customHeight="1" thickBot="1">
      <c r="A120" s="2043"/>
      <c r="B120" s="2426" t="s">
        <v>1177</v>
      </c>
      <c r="C120" s="2043"/>
      <c r="D120" s="2454">
        <f>ROUND(SUM(D13+D118),1)</f>
        <v>11224</v>
      </c>
      <c r="F120" s="2454">
        <f>ROUND(SUM(F13+F118),1)</f>
        <v>11140.2</v>
      </c>
      <c r="H120" s="2454">
        <f>ROUND(SUM(H13+H118),1)</f>
        <v>14472.7</v>
      </c>
      <c r="J120" s="2454">
        <f>ROUND(SUM(J13+J118),1)</f>
        <v>13232.7</v>
      </c>
      <c r="L120" s="2454">
        <f>ROUND(SUM(L13+L118),1)</f>
        <v>12870.2</v>
      </c>
      <c r="N120" s="2454">
        <f>ROUND(SUM(N13+N118),1)</f>
        <v>9510.2999999999993</v>
      </c>
      <c r="P120" s="2454">
        <f>ROUND(SUM(P13+P118),1)</f>
        <v>12183.8</v>
      </c>
      <c r="R120" s="2454">
        <f>ROUND(SUM(R13+R118),1)</f>
        <v>0</v>
      </c>
      <c r="T120" s="2028">
        <f>ROUND(SUM(T13+T118),1)</f>
        <v>0</v>
      </c>
      <c r="V120" s="2454">
        <f>ROUND(SUM(V13+V118),1)</f>
        <v>0</v>
      </c>
      <c r="X120" s="2454">
        <f>ROUND(SUM(X13+X118),1)</f>
        <v>0</v>
      </c>
      <c r="Z120" s="2454">
        <f>ROUND(SUM(Z13+Z118),1)</f>
        <v>0</v>
      </c>
      <c r="AA120" s="2454"/>
      <c r="AB120" s="2575">
        <f>ROUND(SUM(AB13+AB118),1)</f>
        <v>0</v>
      </c>
      <c r="AC120" s="2536"/>
      <c r="AD120" s="2028">
        <f>ROUND(SUM(AD13+AD118),1)</f>
        <v>12183.8</v>
      </c>
      <c r="AE120" s="2028"/>
      <c r="AF120" s="3453"/>
      <c r="AG120" s="2512">
        <f>ROUND(SUM(AG13+AG118),1)</f>
        <v>5866.6</v>
      </c>
      <c r="AH120" s="3478"/>
      <c r="AI120" s="2018"/>
      <c r="AJ120" s="2516">
        <f>ROUND(SUM(AD120-AG120),1)</f>
        <v>6317.2</v>
      </c>
      <c r="AK120" s="2515"/>
      <c r="AL120" s="2517">
        <f>ROUND(SUM(+AJ120/AG120),3)</f>
        <v>1.077</v>
      </c>
      <c r="AM120" s="2023"/>
      <c r="AN120" s="2023"/>
      <c r="AO120" s="2023"/>
      <c r="AP120" s="2023"/>
      <c r="AQ120" s="2023"/>
      <c r="AR120" s="2023"/>
      <c r="AS120" s="2023"/>
      <c r="AT120" s="2023"/>
      <c r="AU120" s="2023"/>
      <c r="AV120" s="2023"/>
      <c r="AW120" s="2023"/>
    </row>
    <row r="121" spans="1:49" ht="15" customHeight="1" thickTop="1">
      <c r="A121" s="2043"/>
      <c r="B121" s="2043"/>
      <c r="C121" s="2043"/>
      <c r="D121" s="2576"/>
      <c r="F121" s="2576"/>
      <c r="H121" s="2576"/>
      <c r="J121" s="2576"/>
      <c r="L121" s="2576"/>
      <c r="N121" s="2576"/>
      <c r="P121" s="2576"/>
      <c r="R121" s="2576"/>
      <c r="T121" s="3055"/>
      <c r="V121" s="2576"/>
      <c r="X121" s="2576"/>
      <c r="Z121" s="2576"/>
      <c r="AA121" s="2577"/>
      <c r="AB121" s="2023"/>
      <c r="AC121" s="2023"/>
      <c r="AD121" s="3055"/>
      <c r="AE121" s="2190"/>
      <c r="AF121" s="2190"/>
      <c r="AG121" s="3056"/>
      <c r="AH121" s="3056"/>
      <c r="AI121" s="2023"/>
      <c r="AJ121" s="2578"/>
      <c r="AK121" s="2023"/>
      <c r="AL121" s="1430"/>
      <c r="AM121" s="2023"/>
      <c r="AN121" s="2023"/>
      <c r="AO121" s="2023"/>
      <c r="AP121" s="2023"/>
      <c r="AQ121" s="2023"/>
      <c r="AR121" s="2023"/>
      <c r="AS121" s="2023"/>
      <c r="AT121" s="2023"/>
      <c r="AU121" s="2023"/>
      <c r="AV121" s="2023"/>
      <c r="AW121" s="2023"/>
    </row>
    <row r="122" spans="1:49" ht="15" customHeight="1">
      <c r="A122" s="2043"/>
      <c r="B122" s="2043"/>
      <c r="C122" s="2043"/>
      <c r="D122" s="2577"/>
      <c r="F122" s="2577"/>
      <c r="H122" s="2577"/>
      <c r="J122" s="2577"/>
      <c r="L122" s="2577"/>
      <c r="N122" s="2577"/>
      <c r="P122" s="2577"/>
      <c r="R122" s="2577"/>
      <c r="T122" s="3056"/>
      <c r="V122" s="2577"/>
      <c r="X122" s="2577"/>
      <c r="Z122" s="2577"/>
      <c r="AA122" s="2577"/>
      <c r="AB122" s="3789" t="s">
        <v>15</v>
      </c>
      <c r="AC122" s="2577"/>
      <c r="AD122" s="3056"/>
      <c r="AE122" s="3056"/>
      <c r="AF122" s="3056"/>
      <c r="AG122" s="3056"/>
      <c r="AH122" s="3056"/>
      <c r="AI122" s="2023"/>
      <c r="AJ122" s="2578"/>
      <c r="AK122" s="2023"/>
      <c r="AL122" s="1430"/>
      <c r="AM122" s="2023"/>
      <c r="AN122" s="2023"/>
      <c r="AO122" s="2023"/>
      <c r="AP122" s="2023"/>
      <c r="AQ122" s="2023"/>
      <c r="AR122" s="2023"/>
      <c r="AS122" s="2023"/>
      <c r="AT122" s="2023"/>
      <c r="AU122" s="2023"/>
      <c r="AV122" s="2023"/>
      <c r="AW122" s="2023"/>
    </row>
    <row r="123" spans="1:49" ht="15" customHeight="1">
      <c r="A123" s="2526"/>
      <c r="B123" s="1431" t="s">
        <v>1263</v>
      </c>
      <c r="D123" s="2023"/>
      <c r="F123" s="2023"/>
      <c r="H123" s="2023"/>
      <c r="J123" s="2023"/>
      <c r="L123" s="2023"/>
      <c r="N123" s="2023"/>
      <c r="P123" s="2023"/>
      <c r="R123" s="2023"/>
      <c r="T123" s="2190"/>
      <c r="V123" s="2023"/>
      <c r="X123" s="2023"/>
      <c r="Z123" s="2023"/>
      <c r="AA123" s="2023"/>
      <c r="AB123" s="2578" t="s">
        <v>15</v>
      </c>
      <c r="AC123" s="2023"/>
      <c r="AD123" s="2190"/>
      <c r="AE123" s="2190"/>
      <c r="AF123" s="2190"/>
      <c r="AG123" s="2190"/>
      <c r="AH123" s="2190"/>
      <c r="AI123" s="2023"/>
      <c r="AJ123" s="2578"/>
      <c r="AK123" s="2023"/>
      <c r="AL123" s="1430"/>
      <c r="AM123" s="2023"/>
      <c r="AN123" s="2023"/>
      <c r="AO123" s="2023"/>
      <c r="AP123" s="2023"/>
      <c r="AQ123" s="2023"/>
      <c r="AR123" s="2023"/>
      <c r="AS123" s="2023"/>
      <c r="AT123" s="2023"/>
      <c r="AU123" s="2023"/>
      <c r="AV123" s="2023"/>
      <c r="AW123" s="2023"/>
    </row>
    <row r="124" spans="1:49" ht="15" customHeight="1">
      <c r="D124" s="2023"/>
      <c r="F124" s="2023"/>
      <c r="H124" s="2023"/>
      <c r="J124" s="2023"/>
      <c r="L124" s="2023"/>
      <c r="N124" s="2023"/>
      <c r="P124" s="2023"/>
      <c r="R124" s="2023"/>
      <c r="T124" s="2190"/>
      <c r="V124" s="2023"/>
      <c r="X124" s="2023"/>
      <c r="Z124" s="2023"/>
      <c r="AA124" s="2023"/>
      <c r="AB124" s="2023"/>
      <c r="AC124" s="2023"/>
      <c r="AD124" s="2190"/>
      <c r="AE124" s="2190"/>
      <c r="AF124" s="2190"/>
      <c r="AG124" s="2190"/>
      <c r="AH124" s="2190"/>
      <c r="AI124" s="2023"/>
      <c r="AJ124" s="2578"/>
      <c r="AK124" s="2023"/>
      <c r="AL124" s="1430"/>
      <c r="AM124" s="2023"/>
      <c r="AN124" s="2023"/>
      <c r="AO124" s="2023"/>
      <c r="AP124" s="2023"/>
      <c r="AQ124" s="2023"/>
      <c r="AR124" s="2023"/>
      <c r="AS124" s="2023"/>
      <c r="AT124" s="2023"/>
      <c r="AU124" s="2023"/>
      <c r="AV124" s="2023"/>
      <c r="AW124" s="2023"/>
    </row>
    <row r="125" spans="1:49" ht="15" customHeight="1">
      <c r="AJ125" s="1431"/>
      <c r="AL125" s="1430"/>
    </row>
    <row r="126" spans="1:49" ht="15" customHeight="1">
      <c r="AJ126" s="1431"/>
      <c r="AL126" s="1430"/>
    </row>
    <row r="127" spans="1:49" ht="15" customHeight="1">
      <c r="AJ127" s="1431"/>
      <c r="AL127" s="1430"/>
    </row>
    <row r="128" spans="1:49" ht="15" customHeight="1">
      <c r="AJ128" s="1431"/>
      <c r="AL128" s="1430"/>
    </row>
    <row r="129" spans="36:38" ht="15" customHeight="1">
      <c r="AJ129" s="1431"/>
      <c r="AL129" s="1430"/>
    </row>
    <row r="130" spans="36:38" ht="15" customHeight="1">
      <c r="AJ130" s="1431"/>
      <c r="AL130" s="1430"/>
    </row>
    <row r="131" spans="36:38" ht="15" customHeight="1">
      <c r="AJ131" s="1431"/>
      <c r="AL131" s="1430"/>
    </row>
    <row r="132" spans="36:38" ht="15" customHeight="1">
      <c r="AJ132" s="1431"/>
      <c r="AL132" s="1430"/>
    </row>
    <row r="133" spans="36:38" ht="15" customHeight="1">
      <c r="AJ133" s="1431"/>
      <c r="AL133" s="1430"/>
    </row>
    <row r="134" spans="36:38" ht="15" customHeight="1">
      <c r="AJ134" s="1431"/>
      <c r="AL134" s="1430"/>
    </row>
    <row r="135" spans="36:38" ht="15" customHeight="1">
      <c r="AJ135" s="1431"/>
      <c r="AL135" s="1430"/>
    </row>
    <row r="136" spans="36:38" ht="15" customHeight="1">
      <c r="AJ136" s="1431"/>
      <c r="AL136" s="1430"/>
    </row>
    <row r="137" spans="36:38" ht="15" customHeight="1">
      <c r="AJ137" s="1431"/>
      <c r="AL137" s="1430"/>
    </row>
    <row r="138" spans="36:38" ht="15" customHeight="1">
      <c r="AJ138" s="1431"/>
      <c r="AL138" s="1430"/>
    </row>
    <row r="139" spans="36:38" ht="15" customHeight="1">
      <c r="AJ139" s="1431"/>
      <c r="AL139" s="1430"/>
    </row>
    <row r="140" spans="36:38" ht="15" customHeight="1">
      <c r="AJ140" s="1431"/>
      <c r="AL140" s="1430"/>
    </row>
    <row r="141" spans="36:38" ht="15" customHeight="1">
      <c r="AJ141" s="1431"/>
      <c r="AL141" s="1430"/>
    </row>
    <row r="142" spans="36:38" ht="15" customHeight="1">
      <c r="AJ142" s="1431"/>
      <c r="AL142" s="1430"/>
    </row>
    <row r="143" spans="36:38" ht="15" customHeight="1">
      <c r="AJ143" s="1431"/>
      <c r="AL143" s="1430"/>
    </row>
    <row r="144" spans="36:38" ht="15" customHeight="1">
      <c r="AJ144" s="1431"/>
      <c r="AL144" s="1430"/>
    </row>
    <row r="145" spans="36:38" ht="15" customHeight="1">
      <c r="AJ145" s="1431"/>
      <c r="AL145" s="1430"/>
    </row>
    <row r="146" spans="36:38" ht="15" customHeight="1">
      <c r="AJ146" s="1431"/>
      <c r="AL146" s="1430"/>
    </row>
    <row r="147" spans="36:38" ht="15" customHeight="1">
      <c r="AJ147" s="1431"/>
      <c r="AL147" s="1430"/>
    </row>
    <row r="148" spans="36:38" ht="15" customHeight="1">
      <c r="AJ148" s="1431"/>
      <c r="AL148" s="1430"/>
    </row>
    <row r="149" spans="36:38" ht="15" customHeight="1">
      <c r="AJ149" s="1431"/>
      <c r="AL149" s="1430"/>
    </row>
    <row r="150" spans="36:38" ht="15" customHeight="1">
      <c r="AJ150" s="1431"/>
      <c r="AL150" s="1430"/>
    </row>
    <row r="151" spans="36:38" ht="15" customHeight="1">
      <c r="AJ151" s="1431"/>
      <c r="AL151" s="1430"/>
    </row>
    <row r="152" spans="36:38" ht="15" customHeight="1">
      <c r="AJ152" s="1431"/>
      <c r="AL152" s="1430"/>
    </row>
    <row r="153" spans="36:38" ht="15" customHeight="1">
      <c r="AJ153" s="1431"/>
      <c r="AL153" s="1430"/>
    </row>
    <row r="154" spans="36:38" ht="15" customHeight="1">
      <c r="AJ154" s="1431"/>
      <c r="AL154" s="1430"/>
    </row>
    <row r="155" spans="36:38" ht="15" customHeight="1">
      <c r="AJ155" s="1431"/>
      <c r="AL155" s="1430"/>
    </row>
    <row r="156" spans="36:38" ht="15" customHeight="1">
      <c r="AJ156" s="1431"/>
      <c r="AL156" s="1430"/>
    </row>
    <row r="157" spans="36:38" ht="15" customHeight="1">
      <c r="AJ157" s="1431"/>
      <c r="AL157" s="1430"/>
    </row>
    <row r="158" spans="36:38" ht="15" customHeight="1">
      <c r="AJ158" s="1431"/>
      <c r="AL158" s="1430"/>
    </row>
    <row r="159" spans="36:38" ht="15" customHeight="1">
      <c r="AJ159" s="1431"/>
      <c r="AL159" s="1430"/>
    </row>
    <row r="160" spans="36:38" ht="15" customHeight="1">
      <c r="AJ160" s="1431"/>
      <c r="AL160" s="1430"/>
    </row>
    <row r="161" spans="36:38" ht="15" customHeight="1">
      <c r="AJ161" s="1431"/>
      <c r="AL161" s="1430"/>
    </row>
    <row r="162" spans="36:38" ht="15" customHeight="1">
      <c r="AJ162" s="1431"/>
      <c r="AL162" s="1430"/>
    </row>
    <row r="163" spans="36:38" ht="15" customHeight="1">
      <c r="AJ163" s="1431"/>
      <c r="AL163" s="1430"/>
    </row>
    <row r="164" spans="36:38" ht="15" customHeight="1">
      <c r="AJ164" s="1431"/>
      <c r="AL164" s="1430"/>
    </row>
    <row r="165" spans="36:38" ht="15" customHeight="1">
      <c r="AJ165" s="1431"/>
      <c r="AL165" s="1430"/>
    </row>
    <row r="166" spans="36:38" ht="15" customHeight="1">
      <c r="AJ166" s="1431"/>
      <c r="AL166" s="1430"/>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0 AL104 AL63:AL67 AL28:AL32 AL113 AL52:AL60 AL90:AL95 AL34:AL35 AL36:AL47" unlockedFormula="1"/>
    <ignoredError sqref="AL73:AL75 AL71 AL22" formula="1" unlockedFormula="1"/>
    <ignoredError sqref="AJ23:AL23 AL51 AL69 AL89 AJ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60" workbookViewId="0"/>
  </sheetViews>
  <sheetFormatPr defaultColWidth="8.69140625" defaultRowHeight="10"/>
  <cols>
    <col min="1" max="1" width="35.07421875" style="2234" customWidth="1"/>
    <col min="2" max="2" width="9.07421875" style="2234" customWidth="1"/>
    <col min="3" max="3" width="5.53515625" style="2234" customWidth="1"/>
    <col min="4" max="4" width="12.69140625" style="2235" bestFit="1" customWidth="1"/>
    <col min="5" max="5" width="1.69140625" style="2234" customWidth="1"/>
    <col min="6" max="6" width="13.4609375" style="2234" customWidth="1"/>
    <col min="7" max="7" width="2.07421875" style="2234" customWidth="1"/>
    <col min="8" max="8" width="12.69140625" style="2235" bestFit="1" customWidth="1"/>
    <col min="9" max="9" width="1.69140625" style="2234" customWidth="1"/>
    <col min="10" max="10" width="13.69140625" style="2234" customWidth="1"/>
    <col min="11" max="11" width="1.69140625" style="2234" customWidth="1"/>
    <col min="12" max="12" width="11.69140625" style="2235" customWidth="1"/>
    <col min="13" max="13" width="2" style="2234" customWidth="1"/>
    <col min="14" max="14" width="13.69140625" style="2234" customWidth="1"/>
    <col min="15" max="15" width="1.69140625" style="2234" customWidth="1"/>
    <col min="16" max="16" width="13" style="2234" customWidth="1"/>
    <col min="17" max="17" width="1.69140625" style="2234" customWidth="1"/>
    <col min="18" max="18" width="13.07421875" style="2234" customWidth="1"/>
    <col min="19" max="21" width="1.07421875" style="2234" customWidth="1"/>
    <col min="22" max="22" width="12.69140625" style="2235" bestFit="1" customWidth="1"/>
    <col min="23" max="23" width="1.69140625" style="2234" customWidth="1"/>
    <col min="24" max="24" width="13.69140625" style="2234" customWidth="1"/>
    <col min="25" max="27" width="1.07421875" style="2234" customWidth="1"/>
    <col min="28" max="28" width="12.07421875" style="3426" customWidth="1"/>
    <col min="29" max="29" width="1.69140625" style="2236" customWidth="1"/>
    <col min="30" max="30" width="13.69140625" style="2236" customWidth="1"/>
    <col min="31" max="31" width="1" style="2236" customWidth="1"/>
    <col min="32" max="32" width="1" style="2234" customWidth="1"/>
    <col min="33" max="33" width="13.07421875" style="2234" bestFit="1" customWidth="1"/>
    <col min="34" max="34" width="1.69140625" style="2234" customWidth="1"/>
    <col min="35" max="35" width="12.69140625" style="2237" customWidth="1"/>
    <col min="36" max="36" width="19.07421875" style="2234" customWidth="1"/>
    <col min="37" max="16384" width="8.69140625" style="2234"/>
  </cols>
  <sheetData>
    <row r="1" spans="1:38" ht="15.5">
      <c r="A1" s="2233" t="s">
        <v>963</v>
      </c>
    </row>
    <row r="2" spans="1:38" ht="15.5">
      <c r="A2" s="2233"/>
    </row>
    <row r="3" spans="1:38" ht="20">
      <c r="A3" s="2238" t="s">
        <v>0</v>
      </c>
      <c r="B3" s="2239"/>
      <c r="C3" s="2239"/>
      <c r="D3" s="2239"/>
      <c r="E3" s="2239"/>
      <c r="F3" s="2239"/>
      <c r="G3" s="2239"/>
      <c r="H3" s="2239"/>
      <c r="I3" s="2239"/>
      <c r="J3" s="2239"/>
      <c r="K3" s="2239"/>
      <c r="L3" s="2239"/>
      <c r="M3" s="2239"/>
      <c r="N3" s="2239"/>
      <c r="O3" s="2239"/>
      <c r="P3" s="2239"/>
      <c r="Q3" s="2239"/>
      <c r="R3" s="2239"/>
      <c r="S3" s="2239"/>
      <c r="T3" s="2239"/>
      <c r="U3" s="2239"/>
      <c r="V3" s="2239"/>
      <c r="W3" s="2239"/>
      <c r="X3" s="2239"/>
      <c r="Y3" s="2239"/>
      <c r="Z3" s="2239"/>
      <c r="AA3" s="2239"/>
      <c r="AB3" s="3385"/>
      <c r="AC3" s="3385"/>
      <c r="AD3" s="3385"/>
      <c r="AE3" s="2239"/>
      <c r="AF3" s="2239"/>
      <c r="AG3" s="2239"/>
      <c r="AH3" s="2239"/>
      <c r="AI3" s="2240" t="s">
        <v>2</v>
      </c>
      <c r="AJ3" s="2241"/>
    </row>
    <row r="4" spans="1:38" ht="20.25" customHeight="1">
      <c r="A4" s="3905" t="s">
        <v>1</v>
      </c>
      <c r="B4" s="3906"/>
      <c r="C4" s="3906"/>
      <c r="D4" s="3906"/>
      <c r="E4" s="3906"/>
      <c r="F4" s="3906"/>
      <c r="G4" s="3906"/>
      <c r="H4" s="3906"/>
      <c r="I4" s="3906"/>
      <c r="J4" s="3906"/>
      <c r="K4" s="3906"/>
      <c r="L4" s="3906"/>
      <c r="M4" s="3906"/>
      <c r="N4" s="3906"/>
      <c r="O4" s="3906"/>
      <c r="P4" s="3906"/>
      <c r="Q4" s="3906"/>
      <c r="R4" s="3906"/>
      <c r="S4" s="3906"/>
      <c r="T4" s="3906"/>
      <c r="U4" s="3906"/>
      <c r="V4" s="3906"/>
      <c r="W4" s="3906"/>
      <c r="X4" s="3906"/>
      <c r="Y4" s="3906"/>
      <c r="Z4" s="3906"/>
      <c r="AA4" s="3906"/>
      <c r="AB4" s="3906"/>
      <c r="AC4" s="3906"/>
      <c r="AD4" s="3906"/>
      <c r="AE4" s="3906"/>
      <c r="AF4" s="3906"/>
      <c r="AG4" s="3906"/>
      <c r="AH4" s="3906"/>
      <c r="AI4" s="3906"/>
      <c r="AJ4" s="2241"/>
    </row>
    <row r="5" spans="1:38" ht="20">
      <c r="A5" s="3905" t="s">
        <v>873</v>
      </c>
      <c r="B5" s="3907"/>
      <c r="C5" s="3907"/>
      <c r="D5" s="3907"/>
      <c r="E5" s="3907"/>
      <c r="F5" s="3907"/>
      <c r="G5" s="3907"/>
      <c r="H5" s="3907"/>
      <c r="I5" s="3907"/>
      <c r="J5" s="3907"/>
      <c r="K5" s="3907"/>
      <c r="L5" s="3907"/>
      <c r="M5" s="3907"/>
      <c r="N5" s="3907"/>
      <c r="O5" s="3907"/>
      <c r="P5" s="3907"/>
      <c r="Q5" s="3907"/>
      <c r="R5" s="3907"/>
      <c r="S5" s="3907"/>
      <c r="T5" s="3907"/>
      <c r="U5" s="3907"/>
      <c r="V5" s="3907"/>
      <c r="W5" s="3907"/>
      <c r="X5" s="3907"/>
      <c r="Y5" s="3907"/>
      <c r="Z5" s="3907"/>
      <c r="AA5" s="3907"/>
      <c r="AB5" s="3907"/>
      <c r="AC5" s="3907"/>
      <c r="AD5" s="3907"/>
      <c r="AE5" s="3906"/>
      <c r="AF5" s="3906"/>
      <c r="AG5" s="3906"/>
      <c r="AH5" s="3906"/>
      <c r="AI5" s="3906"/>
      <c r="AJ5" s="2241"/>
    </row>
    <row r="6" spans="1:38" ht="21" customHeight="1">
      <c r="A6" s="3905" t="s">
        <v>1365</v>
      </c>
      <c r="B6" s="3906"/>
      <c r="C6" s="3906"/>
      <c r="D6" s="3906"/>
      <c r="E6" s="3906"/>
      <c r="F6" s="3906"/>
      <c r="G6" s="3906"/>
      <c r="H6" s="3906"/>
      <c r="I6" s="3906"/>
      <c r="J6" s="3906"/>
      <c r="K6" s="3906"/>
      <c r="L6" s="3906"/>
      <c r="M6" s="3906"/>
      <c r="N6" s="3906"/>
      <c r="O6" s="3906"/>
      <c r="P6" s="3906"/>
      <c r="Q6" s="3906"/>
      <c r="R6" s="3906"/>
      <c r="S6" s="3906"/>
      <c r="T6" s="3906"/>
      <c r="U6" s="3906"/>
      <c r="V6" s="3906"/>
      <c r="W6" s="3906"/>
      <c r="X6" s="3906"/>
      <c r="Y6" s="3906"/>
      <c r="Z6" s="3906"/>
      <c r="AA6" s="3906"/>
      <c r="AB6" s="3906"/>
      <c r="AC6" s="3906"/>
      <c r="AD6" s="3906"/>
      <c r="AE6" s="3906"/>
      <c r="AF6" s="3906"/>
      <c r="AG6" s="3906"/>
      <c r="AH6" s="3906"/>
      <c r="AI6" s="3906"/>
      <c r="AJ6" s="2241"/>
    </row>
    <row r="7" spans="1:38" ht="15.5">
      <c r="A7" s="1"/>
      <c r="B7" s="1"/>
      <c r="C7" s="1"/>
      <c r="D7" s="2242"/>
      <c r="E7" s="1"/>
      <c r="F7" s="1"/>
      <c r="G7" s="1"/>
      <c r="H7" s="2243"/>
      <c r="I7" s="2"/>
      <c r="J7" s="2"/>
      <c r="K7" s="2"/>
      <c r="L7" s="2243"/>
      <c r="M7" s="1"/>
      <c r="N7" s="2"/>
      <c r="O7" s="2"/>
      <c r="P7" s="2"/>
      <c r="Q7" s="2"/>
      <c r="R7" s="2"/>
      <c r="S7" s="1"/>
      <c r="T7" s="1"/>
      <c r="U7" s="1"/>
      <c r="V7" s="2242"/>
      <c r="W7" s="1"/>
      <c r="X7" s="1"/>
      <c r="Y7" s="1"/>
      <c r="Z7" s="1"/>
      <c r="AA7" s="1"/>
      <c r="AB7" s="3427"/>
      <c r="AC7" s="2249"/>
      <c r="AD7" s="2244"/>
      <c r="AE7" s="2244"/>
      <c r="AF7" s="2245"/>
      <c r="AG7" s="2245"/>
      <c r="AJ7" s="2241"/>
      <c r="AK7" s="2241"/>
      <c r="AL7" s="2241"/>
    </row>
    <row r="8" spans="1:38" ht="16.399999999999999" customHeight="1">
      <c r="A8" s="2"/>
      <c r="B8" s="1"/>
      <c r="C8" s="1"/>
      <c r="D8" s="2243"/>
      <c r="E8" s="1"/>
      <c r="F8" s="1"/>
      <c r="G8" s="1"/>
      <c r="H8" s="2243"/>
      <c r="I8" s="2"/>
      <c r="J8" s="2"/>
      <c r="K8" s="2"/>
      <c r="L8" s="2243"/>
      <c r="M8" s="1"/>
      <c r="N8" s="2"/>
      <c r="O8" s="2"/>
      <c r="P8" s="2"/>
      <c r="Q8" s="2"/>
      <c r="R8" s="2"/>
      <c r="S8" s="1"/>
      <c r="T8" s="1"/>
      <c r="U8" s="1"/>
      <c r="V8" s="2242"/>
      <c r="W8" s="1"/>
      <c r="X8" s="1"/>
      <c r="Y8" s="1"/>
      <c r="Z8" s="1"/>
      <c r="AA8" s="1"/>
      <c r="AB8" s="3427"/>
      <c r="AC8" s="2249"/>
      <c r="AD8" s="2246"/>
      <c r="AE8" s="2246"/>
      <c r="AF8" s="2247"/>
      <c r="AG8" s="2247"/>
      <c r="AI8" s="2241"/>
      <c r="AJ8" s="2241"/>
      <c r="AK8" s="2241"/>
      <c r="AL8" s="2241"/>
    </row>
    <row r="9" spans="1:38" ht="16.399999999999999" customHeight="1">
      <c r="A9" s="1"/>
      <c r="B9" s="1"/>
      <c r="C9" s="1"/>
      <c r="D9" s="1"/>
      <c r="E9" s="1"/>
      <c r="F9" s="1"/>
      <c r="G9" s="1"/>
      <c r="H9" s="2"/>
      <c r="I9" s="2"/>
      <c r="J9" s="2"/>
      <c r="K9" s="2"/>
      <c r="L9" s="2"/>
      <c r="M9" s="1"/>
      <c r="N9" s="2"/>
      <c r="O9" s="2"/>
      <c r="P9" s="2"/>
      <c r="Q9" s="2"/>
      <c r="R9" s="2"/>
      <c r="S9" s="1"/>
      <c r="T9" s="1"/>
      <c r="U9" s="2248"/>
      <c r="V9" s="1"/>
      <c r="W9" s="1"/>
      <c r="X9" s="1"/>
      <c r="Y9" s="1"/>
      <c r="Z9" s="1"/>
      <c r="AA9" s="1"/>
      <c r="AB9" s="2249"/>
      <c r="AC9" s="2249"/>
      <c r="AD9" s="2250"/>
      <c r="AE9" s="2250"/>
      <c r="AF9" s="2251"/>
      <c r="AG9" s="2251"/>
      <c r="AI9" s="2233"/>
      <c r="AJ9" s="2241"/>
      <c r="AK9" s="2241"/>
      <c r="AL9" s="2241"/>
    </row>
    <row r="10" spans="1:38" ht="16.399999999999999" customHeight="1">
      <c r="A10" s="2252"/>
      <c r="B10" s="2252"/>
      <c r="C10" s="2252"/>
      <c r="D10" s="3" t="s">
        <v>3</v>
      </c>
      <c r="E10" s="3"/>
      <c r="F10" s="3"/>
      <c r="G10" s="2251"/>
      <c r="H10" s="3" t="s">
        <v>4</v>
      </c>
      <c r="I10" s="3"/>
      <c r="J10" s="3"/>
      <c r="K10" s="2251"/>
      <c r="L10" s="3" t="s">
        <v>5</v>
      </c>
      <c r="M10" s="3"/>
      <c r="N10" s="3"/>
      <c r="O10" s="2251"/>
      <c r="P10" s="3" t="s">
        <v>6</v>
      </c>
      <c r="Q10" s="3"/>
      <c r="R10" s="3"/>
      <c r="S10" s="2251"/>
      <c r="T10" s="2253"/>
      <c r="U10" s="2253"/>
      <c r="V10" s="3908" t="s">
        <v>1521</v>
      </c>
      <c r="W10" s="3909"/>
      <c r="X10" s="3909"/>
      <c r="Y10" s="3909"/>
      <c r="Z10" s="3909"/>
      <c r="AA10" s="3909"/>
      <c r="AB10" s="3909"/>
      <c r="AC10" s="3909"/>
      <c r="AD10" s="3909"/>
      <c r="AE10" s="3909"/>
      <c r="AF10" s="3909"/>
      <c r="AG10" s="3909"/>
      <c r="AH10" s="3909"/>
      <c r="AI10" s="3909"/>
      <c r="AJ10" s="1427"/>
      <c r="AK10" s="2241"/>
      <c r="AL10" s="2241"/>
    </row>
    <row r="11" spans="1:38" ht="16.399999999999999" customHeight="1">
      <c r="A11" s="2252"/>
      <c r="B11" s="2252"/>
      <c r="C11" s="2252"/>
      <c r="D11" s="5" t="s">
        <v>7</v>
      </c>
      <c r="E11" s="5"/>
      <c r="F11" s="4" t="s">
        <v>1542</v>
      </c>
      <c r="G11" s="2247"/>
      <c r="H11" s="5" t="s">
        <v>7</v>
      </c>
      <c r="I11" s="5"/>
      <c r="J11" s="5" t="str">
        <f>F11</f>
        <v>7 MOS. ENDED</v>
      </c>
      <c r="K11" s="2247"/>
      <c r="L11" s="5" t="s">
        <v>7</v>
      </c>
      <c r="M11" s="5"/>
      <c r="N11" s="5" t="str">
        <f>F11</f>
        <v>7 MOS. ENDED</v>
      </c>
      <c r="O11" s="2247"/>
      <c r="P11" s="5" t="s">
        <v>7</v>
      </c>
      <c r="Q11" s="5"/>
      <c r="R11" s="5" t="str">
        <f>J11</f>
        <v>7 MOS. ENDED</v>
      </c>
      <c r="S11" s="2247"/>
      <c r="T11" s="2247"/>
      <c r="U11" s="2254"/>
      <c r="V11" s="5" t="s">
        <v>7</v>
      </c>
      <c r="W11" s="5"/>
      <c r="X11" s="5" t="str">
        <f>F11</f>
        <v>7 MOS. ENDED</v>
      </c>
      <c r="Y11" s="5"/>
      <c r="Z11" s="5"/>
      <c r="AA11" s="5"/>
      <c r="AB11" s="3436" t="s">
        <v>7</v>
      </c>
      <c r="AC11" s="3436"/>
      <c r="AD11" s="3874" t="str">
        <f>F11</f>
        <v>7 MOS. ENDED</v>
      </c>
      <c r="AE11" s="2255"/>
      <c r="AF11" s="5"/>
      <c r="AG11" s="5" t="s">
        <v>8</v>
      </c>
      <c r="AH11" s="2256"/>
      <c r="AI11" s="5" t="s">
        <v>9</v>
      </c>
      <c r="AJ11" s="2241"/>
      <c r="AK11" s="2241"/>
      <c r="AL11" s="2241"/>
    </row>
    <row r="12" spans="1:38" ht="16.399999999999999" customHeight="1">
      <c r="A12" s="2252"/>
      <c r="B12" s="2252"/>
      <c r="C12" s="2252"/>
      <c r="D12" s="902" t="s">
        <v>1539</v>
      </c>
      <c r="E12" s="2247"/>
      <c r="F12" s="902" t="s">
        <v>1544</v>
      </c>
      <c r="G12" s="2247"/>
      <c r="H12" s="6" t="str">
        <f>D12</f>
        <v>OCT. 2020</v>
      </c>
      <c r="I12" s="2247"/>
      <c r="J12" s="6" t="str">
        <f>F12</f>
        <v>OCT. 31, 2020</v>
      </c>
      <c r="K12" s="2247"/>
      <c r="L12" s="6" t="str">
        <f>D12</f>
        <v>OCT. 2020</v>
      </c>
      <c r="M12" s="2247"/>
      <c r="N12" s="6" t="str">
        <f>F12</f>
        <v>OCT. 31, 2020</v>
      </c>
      <c r="O12" s="2247"/>
      <c r="P12" s="6" t="str">
        <f>D12</f>
        <v>OCT. 2020</v>
      </c>
      <c r="Q12" s="2247"/>
      <c r="R12" s="6" t="str">
        <f>J12</f>
        <v>OCT. 31, 2020</v>
      </c>
      <c r="S12" s="2247"/>
      <c r="T12" s="2247"/>
      <c r="U12" s="2257"/>
      <c r="V12" s="6" t="str">
        <f>D12</f>
        <v>OCT. 2020</v>
      </c>
      <c r="W12" s="2247"/>
      <c r="X12" s="6" t="str">
        <f>F12</f>
        <v>OCT. 31, 2020</v>
      </c>
      <c r="Y12" s="2247"/>
      <c r="Z12" s="2247"/>
      <c r="AA12" s="2247"/>
      <c r="AB12" s="3424" t="s">
        <v>1540</v>
      </c>
      <c r="AC12" s="2359"/>
      <c r="AD12" s="3424" t="s">
        <v>1545</v>
      </c>
      <c r="AE12" s="4"/>
      <c r="AF12" s="4"/>
      <c r="AG12" s="6" t="s">
        <v>12</v>
      </c>
      <c r="AH12" s="2233"/>
      <c r="AI12" s="902" t="s">
        <v>13</v>
      </c>
      <c r="AJ12" s="1427"/>
      <c r="AK12" s="2241"/>
      <c r="AL12" s="2241"/>
    </row>
    <row r="13" spans="1:38" ht="16.399999999999999" customHeight="1">
      <c r="A13" s="2251" t="s">
        <v>14</v>
      </c>
      <c r="B13" s="2252"/>
      <c r="C13" s="2252"/>
      <c r="D13" s="2258" t="s">
        <v>15</v>
      </c>
      <c r="E13" s="2252"/>
      <c r="F13" s="7"/>
      <c r="G13" s="2252"/>
      <c r="H13" s="2258" t="s">
        <v>15</v>
      </c>
      <c r="I13" s="2252"/>
      <c r="J13" s="7"/>
      <c r="K13" s="2252"/>
      <c r="L13" s="2258" t="s">
        <v>15</v>
      </c>
      <c r="M13" s="2252"/>
      <c r="N13" s="7"/>
      <c r="O13" s="2252"/>
      <c r="P13" s="612" t="s">
        <v>15</v>
      </c>
      <c r="Q13" s="2259"/>
      <c r="R13" s="612"/>
      <c r="S13" s="2260"/>
      <c r="T13" s="2260"/>
      <c r="U13" s="7"/>
      <c r="V13" s="2258"/>
      <c r="W13" s="2252"/>
      <c r="X13" s="7"/>
      <c r="Y13" s="2260"/>
      <c r="Z13" s="2261"/>
      <c r="AA13" s="7"/>
      <c r="AB13" s="3428"/>
      <c r="AC13" s="2301"/>
      <c r="AD13" s="2262"/>
      <c r="AE13" s="2262"/>
      <c r="AF13" s="2263"/>
      <c r="AG13" s="7"/>
      <c r="AI13" s="1427"/>
      <c r="AJ13" s="1427"/>
      <c r="AK13" s="2241"/>
      <c r="AL13" s="2241"/>
    </row>
    <row r="14" spans="1:38" ht="18" customHeight="1">
      <c r="A14" s="2252" t="s">
        <v>16</v>
      </c>
      <c r="B14" s="2264">
        <v>-3</v>
      </c>
      <c r="C14" s="2252"/>
      <c r="D14" s="1360">
        <f>+'Exhibit F'!P26</f>
        <v>1265.7</v>
      </c>
      <c r="E14" s="2265" t="s">
        <v>15</v>
      </c>
      <c r="F14" s="654">
        <f>+'Exhibit F'!AC26</f>
        <v>14695.1</v>
      </c>
      <c r="G14" s="2265"/>
      <c r="H14" s="1360">
        <f>'Exhibit G'!P17</f>
        <v>0.1</v>
      </c>
      <c r="I14" s="2266"/>
      <c r="J14" s="654">
        <f>'Exhibit G'!AD17</f>
        <v>0.2</v>
      </c>
      <c r="K14" s="2265"/>
      <c r="L14" s="1420">
        <f>+'Exhibit H'!N16</f>
        <v>1265.7999999999993</v>
      </c>
      <c r="M14" s="654"/>
      <c r="N14" s="654">
        <f>+'Exhibit H'!AA16</f>
        <v>14695.3</v>
      </c>
      <c r="O14" s="654"/>
      <c r="P14" s="671">
        <v>0</v>
      </c>
      <c r="Q14" s="1360"/>
      <c r="R14" s="671">
        <v>0</v>
      </c>
      <c r="S14" s="2267"/>
      <c r="T14" s="2267"/>
      <c r="U14" s="2268"/>
      <c r="V14" s="1360">
        <f t="shared" ref="V14:V19" si="0">ROUND(SUM(D14)+SUM(H14)+SUM(L14)+SUM(P14),1)</f>
        <v>2531.6</v>
      </c>
      <c r="W14" s="654" t="s">
        <v>15</v>
      </c>
      <c r="X14" s="654">
        <f>ROUND(SUM(F14)+SUM(J14)+SUM(N14)+SUM(R14),1)</f>
        <v>29390.6</v>
      </c>
      <c r="Y14" s="2269"/>
      <c r="Z14" s="2270"/>
      <c r="AA14" s="2271"/>
      <c r="AB14" s="3429">
        <v>2578.3999999999996</v>
      </c>
      <c r="AC14" s="3386"/>
      <c r="AD14" s="1806">
        <f>'Exhibit F'!AF26+'Exhibit G'!AG17+'Exhibit H'!AD16</f>
        <v>30559.800000000003</v>
      </c>
      <c r="AE14" s="1806"/>
      <c r="AF14" s="2272"/>
      <c r="AG14" s="2265">
        <f t="shared" ref="AG14:AG19" si="1">ROUND(SUM(X14-AD14),1)</f>
        <v>-1169.2</v>
      </c>
      <c r="AH14" s="2273"/>
      <c r="AI14" s="1424">
        <f t="shared" ref="AI14:AI19" si="2">ROUND(SUM((+X14-AD14)/ABS(AD14)),3)</f>
        <v>-3.7999999999999999E-2</v>
      </c>
      <c r="AJ14" s="2274"/>
      <c r="AK14" s="2241"/>
      <c r="AL14" s="2241"/>
    </row>
    <row r="15" spans="1:38" ht="18" customHeight="1">
      <c r="A15" s="2252" t="s">
        <v>17</v>
      </c>
      <c r="B15" s="2264" t="s">
        <v>15</v>
      </c>
      <c r="C15" s="2252"/>
      <c r="D15" s="614">
        <f>+'Exhibit F'!P36</f>
        <v>566.6</v>
      </c>
      <c r="E15" s="9"/>
      <c r="F15" s="9">
        <f>+'Exhibit F'!AC36</f>
        <v>4044.6</v>
      </c>
      <c r="G15" s="9"/>
      <c r="H15" s="614">
        <f>'Exhibit G'!P28</f>
        <v>144</v>
      </c>
      <c r="I15" s="9"/>
      <c r="J15" s="9">
        <f>+'Exhibit G'!AD28</f>
        <v>1023.2</v>
      </c>
      <c r="K15" s="9"/>
      <c r="L15" s="1419">
        <f>'Exhibit H'!N20</f>
        <v>549.9</v>
      </c>
      <c r="M15" s="9"/>
      <c r="N15" s="9">
        <f>+'Exhibit H'!AA20</f>
        <v>3660.7</v>
      </c>
      <c r="O15" s="9"/>
      <c r="P15" s="1419">
        <f>'Exhibit I'!Q23</f>
        <v>42</v>
      </c>
      <c r="Q15" s="614"/>
      <c r="R15" s="1419">
        <f>+'Exhibit I'!AF23</f>
        <v>299.2</v>
      </c>
      <c r="S15" s="2276"/>
      <c r="T15" s="2276"/>
      <c r="U15" s="14"/>
      <c r="V15" s="614">
        <f>ROUND(SUM(D15)+SUM(H15)+SUM(L15)+SUM(P15),1)</f>
        <v>1302.5</v>
      </c>
      <c r="W15" s="9" t="s">
        <v>15</v>
      </c>
      <c r="X15" s="9">
        <f t="shared" ref="X15:X19" si="3">ROUND(SUM(F15)+SUM(J15)+SUM(N15)+SUM(R15),1)</f>
        <v>9027.7000000000007</v>
      </c>
      <c r="Y15" s="2276"/>
      <c r="Z15" s="2277"/>
      <c r="AA15" s="14"/>
      <c r="AB15" s="2040">
        <v>1405.9</v>
      </c>
      <c r="AC15" s="22"/>
      <c r="AD15" s="2262">
        <f>'Exhibit F'!AF36+'Exhibit G'!AG28+'Exhibit H'!AD20+'Exhibit I'!AI23</f>
        <v>10571.199999999999</v>
      </c>
      <c r="AE15" s="1423"/>
      <c r="AF15" s="2278"/>
      <c r="AG15" s="9">
        <f t="shared" si="1"/>
        <v>-1543.5</v>
      </c>
      <c r="AI15" s="1424">
        <f t="shared" si="2"/>
        <v>-0.14599999999999999</v>
      </c>
      <c r="AJ15" s="7"/>
      <c r="AK15" s="2241"/>
      <c r="AL15" s="2241"/>
    </row>
    <row r="16" spans="1:38" ht="18" customHeight="1">
      <c r="A16" s="2252" t="s">
        <v>18</v>
      </c>
      <c r="B16" s="2279"/>
      <c r="C16" s="2252"/>
      <c r="D16" s="614">
        <f>+'Exhibit F'!P43</f>
        <v>101.5</v>
      </c>
      <c r="E16" s="9"/>
      <c r="F16" s="9">
        <f>+'Exhibit F'!AC43</f>
        <v>3032.2</v>
      </c>
      <c r="G16" s="9"/>
      <c r="H16" s="614">
        <f>'Exhibit G'!P35</f>
        <v>86.1</v>
      </c>
      <c r="I16" s="9"/>
      <c r="J16" s="9">
        <f>'Exhibit G'!AD35</f>
        <v>914.8</v>
      </c>
      <c r="K16" s="9"/>
      <c r="L16" s="617">
        <v>0</v>
      </c>
      <c r="M16" s="9"/>
      <c r="N16" s="10">
        <v>0</v>
      </c>
      <c r="O16" s="9"/>
      <c r="P16" s="1419">
        <f>'Exhibit I'!Q28</f>
        <v>50.6</v>
      </c>
      <c r="Q16" s="614"/>
      <c r="R16" s="1419">
        <f>'Exhibit I'!AF28</f>
        <v>316.5</v>
      </c>
      <c r="S16" s="2276"/>
      <c r="T16" s="2276"/>
      <c r="U16" s="14"/>
      <c r="V16" s="614">
        <f t="shared" si="0"/>
        <v>238.2</v>
      </c>
      <c r="W16" s="9" t="s">
        <v>15</v>
      </c>
      <c r="X16" s="9">
        <f t="shared" si="3"/>
        <v>4263.5</v>
      </c>
      <c r="Y16" s="2276"/>
      <c r="Z16" s="2277"/>
      <c r="AA16" s="14"/>
      <c r="AB16" s="2040">
        <v>207.4</v>
      </c>
      <c r="AC16" s="22"/>
      <c r="AD16" s="2262">
        <f>'Exhibit F'!AF43+'Exhibit G'!AG35+'Exhibit I'!AI28</f>
        <v>4446</v>
      </c>
      <c r="AE16" s="1423"/>
      <c r="AF16" s="2278"/>
      <c r="AG16" s="9">
        <f t="shared" si="1"/>
        <v>-182.5</v>
      </c>
      <c r="AI16" s="1424">
        <f t="shared" si="2"/>
        <v>-4.1000000000000002E-2</v>
      </c>
      <c r="AJ16" s="7"/>
      <c r="AK16" s="2241"/>
      <c r="AL16" s="2241"/>
    </row>
    <row r="17" spans="1:38" ht="18" customHeight="1">
      <c r="A17" s="2252" t="s">
        <v>19</v>
      </c>
      <c r="B17" s="2264" t="s">
        <v>15</v>
      </c>
      <c r="C17" s="2252"/>
      <c r="D17" s="614">
        <f>+'Exhibit F'!P51</f>
        <v>136.80000000000001</v>
      </c>
      <c r="E17" s="9"/>
      <c r="F17" s="9">
        <f>+'Exhibit F'!AC51</f>
        <v>708.9</v>
      </c>
      <c r="G17" s="9"/>
      <c r="H17" s="614">
        <v>0</v>
      </c>
      <c r="I17" s="9"/>
      <c r="J17" s="9">
        <v>0</v>
      </c>
      <c r="K17" s="9"/>
      <c r="L17" s="1419">
        <f>'Exhibit H'!N24</f>
        <v>66</v>
      </c>
      <c r="M17" s="9"/>
      <c r="N17" s="9">
        <f>+'Exhibit H'!AA24</f>
        <v>389.6</v>
      </c>
      <c r="O17" s="9"/>
      <c r="P17" s="1419">
        <f>'Exhibit I'!Q31</f>
        <v>12</v>
      </c>
      <c r="Q17" s="614"/>
      <c r="R17" s="1419">
        <f>'Exhibit I'!AF31</f>
        <v>59.6</v>
      </c>
      <c r="S17" s="2276"/>
      <c r="T17" s="2276"/>
      <c r="U17" s="14"/>
      <c r="V17" s="614">
        <f t="shared" si="0"/>
        <v>214.8</v>
      </c>
      <c r="W17" s="9" t="s">
        <v>15</v>
      </c>
      <c r="X17" s="9">
        <f t="shared" si="3"/>
        <v>1158.0999999999999</v>
      </c>
      <c r="Y17" s="2276"/>
      <c r="Z17" s="2277"/>
      <c r="AA17" s="14"/>
      <c r="AB17" s="2040">
        <v>250</v>
      </c>
      <c r="AC17" s="22"/>
      <c r="AD17" s="1423">
        <f>'Exhibit F'!AF51+'Exhibit H'!AD24+'Exhibit I'!AI31</f>
        <v>1266.3999999999999</v>
      </c>
      <c r="AE17" s="1423"/>
      <c r="AF17" s="2278"/>
      <c r="AG17" s="9">
        <f t="shared" si="1"/>
        <v>-108.3</v>
      </c>
      <c r="AI17" s="1424">
        <f t="shared" si="2"/>
        <v>-8.5999999999999993E-2</v>
      </c>
      <c r="AJ17" s="2262"/>
      <c r="AK17" s="2241"/>
      <c r="AL17" s="2241"/>
    </row>
    <row r="18" spans="1:38" ht="18" customHeight="1">
      <c r="A18" s="2252" t="s">
        <v>20</v>
      </c>
      <c r="B18" s="2264" t="s">
        <v>15</v>
      </c>
      <c r="C18" s="2252"/>
      <c r="D18" s="614">
        <f>+'Exhibit F'!P92</f>
        <v>190.2</v>
      </c>
      <c r="E18" s="9"/>
      <c r="F18" s="9">
        <f>+'Exhibit F'!AC92</f>
        <v>5870.4</v>
      </c>
      <c r="G18" s="9"/>
      <c r="H18" s="614">
        <f>'Exhibit G'!P80</f>
        <v>1642.4</v>
      </c>
      <c r="I18" s="9"/>
      <c r="J18" s="9">
        <f>+'Exhibit G'!AD80</f>
        <v>9687.5</v>
      </c>
      <c r="K18" s="9"/>
      <c r="L18" s="1419">
        <f>+'Exhibit H'!N45</f>
        <v>20.9</v>
      </c>
      <c r="M18" s="9"/>
      <c r="N18" s="9">
        <f>+'Exhibit H'!AA45</f>
        <v>253</v>
      </c>
      <c r="O18" s="9"/>
      <c r="P18" s="1419">
        <f>+'Exhibit I'!Q61</f>
        <v>978.4</v>
      </c>
      <c r="Q18" s="614"/>
      <c r="R18" s="614">
        <f>+'Exhibit I'!AF61</f>
        <v>3629.5</v>
      </c>
      <c r="S18" s="2276"/>
      <c r="T18" s="2276"/>
      <c r="U18" s="14"/>
      <c r="V18" s="614">
        <f>ROUND(SUM(D18)+SUM(H18)+SUM(L18)+SUM(P18),1)</f>
        <v>2831.9</v>
      </c>
      <c r="W18" s="9" t="s">
        <v>15</v>
      </c>
      <c r="X18" s="9">
        <f t="shared" si="3"/>
        <v>19440.400000000001</v>
      </c>
      <c r="Y18" s="2276"/>
      <c r="Z18" s="2277"/>
      <c r="AA18" s="14"/>
      <c r="AB18" s="2040">
        <v>3594.3</v>
      </c>
      <c r="AC18" s="22"/>
      <c r="AD18" s="1423">
        <f>'Exhibit F'!AF92+'Exhibit G'!AG80+'Exhibit H'!AD45+'Exhibit I'!AI61</f>
        <v>16661.7</v>
      </c>
      <c r="AE18" s="1423"/>
      <c r="AF18" s="2278"/>
      <c r="AG18" s="9">
        <f t="shared" si="1"/>
        <v>2778.7</v>
      </c>
      <c r="AI18" s="1424">
        <f t="shared" si="2"/>
        <v>0.16700000000000001</v>
      </c>
      <c r="AJ18" s="7"/>
      <c r="AK18" s="2241"/>
      <c r="AL18" s="2241"/>
    </row>
    <row r="19" spans="1:38" ht="18" customHeight="1">
      <c r="A19" s="2252" t="s">
        <v>21</v>
      </c>
      <c r="B19" s="2280"/>
      <c r="C19" s="2252"/>
      <c r="D19" s="614">
        <f>+'Exhibit F'!P94</f>
        <v>0</v>
      </c>
      <c r="E19" s="14"/>
      <c r="F19" s="9">
        <f>+'Exhibit F'!AC94</f>
        <v>0.1</v>
      </c>
      <c r="G19" s="9"/>
      <c r="H19" s="614">
        <f>'Exhibit G'!P82</f>
        <v>7441.4999999999945</v>
      </c>
      <c r="I19" s="9"/>
      <c r="J19" s="9">
        <f>+'Exhibit G'!AD82</f>
        <v>49228.5</v>
      </c>
      <c r="K19" s="9"/>
      <c r="L19" s="1419">
        <f>+'Exhibit H'!N47</f>
        <v>0</v>
      </c>
      <c r="M19" s="14"/>
      <c r="N19" s="9">
        <f>+'Exhibit H'!AA47</f>
        <v>24.4</v>
      </c>
      <c r="O19" s="9"/>
      <c r="P19" s="1419">
        <f>+'Exhibit I'!Q63</f>
        <v>167.70000000000007</v>
      </c>
      <c r="Q19" s="614"/>
      <c r="R19" s="614">
        <f>+'Exhibit I'!AF63</f>
        <v>1097</v>
      </c>
      <c r="S19" s="2276"/>
      <c r="T19" s="2276"/>
      <c r="U19" s="14"/>
      <c r="V19" s="615">
        <f t="shared" si="0"/>
        <v>7609.2</v>
      </c>
      <c r="W19" s="9" t="s">
        <v>15</v>
      </c>
      <c r="X19" s="14">
        <f t="shared" si="3"/>
        <v>50350</v>
      </c>
      <c r="Y19" s="2276"/>
      <c r="Z19" s="2277"/>
      <c r="AA19" s="14"/>
      <c r="AB19" s="2040">
        <v>5708.7999999999993</v>
      </c>
      <c r="AC19" s="22"/>
      <c r="AD19" s="1423">
        <f>'Exhibit F'!AF94+'Exhibit G'!AG82+'Exhibit H'!AD47+'Exhibit I'!AI63</f>
        <v>37735.300000000003</v>
      </c>
      <c r="AE19" s="1423"/>
      <c r="AF19" s="2278"/>
      <c r="AG19" s="9">
        <f t="shared" si="1"/>
        <v>12614.7</v>
      </c>
      <c r="AI19" s="1424">
        <f t="shared" si="2"/>
        <v>0.33400000000000002</v>
      </c>
      <c r="AJ19" s="7"/>
      <c r="AK19" s="2241"/>
      <c r="AL19" s="2241"/>
    </row>
    <row r="20" spans="1:38" ht="18" customHeight="1">
      <c r="A20" s="2251" t="s">
        <v>22</v>
      </c>
      <c r="B20" s="2252"/>
      <c r="C20" s="2252"/>
      <c r="D20" s="11">
        <f>ROUND(SUM(D14:D19),1)</f>
        <v>2260.8000000000002</v>
      </c>
      <c r="E20" s="2281"/>
      <c r="F20" s="11">
        <f>ROUND(SUM(F14:F19),1)</f>
        <v>28351.3</v>
      </c>
      <c r="G20" s="1362"/>
      <c r="H20" s="12">
        <f>ROUND(SUM(H14:H19),1)</f>
        <v>9314.1</v>
      </c>
      <c r="I20" s="1362"/>
      <c r="J20" s="12">
        <f>ROUND(SUM(J14:J19),1)</f>
        <v>60854.2</v>
      </c>
      <c r="K20" s="1362"/>
      <c r="L20" s="11">
        <f>ROUND(SUM(L14:L19),1)</f>
        <v>1902.6</v>
      </c>
      <c r="M20" s="1362"/>
      <c r="N20" s="12">
        <f>ROUND(SUM(N14:N19),1)</f>
        <v>19023</v>
      </c>
      <c r="O20" s="1362"/>
      <c r="P20" s="12">
        <f>ROUND(SUM(P14:P19),1)</f>
        <v>1250.7</v>
      </c>
      <c r="Q20" s="1362"/>
      <c r="R20" s="12">
        <f>ROUND(SUM(R14:R19),1)</f>
        <v>5401.8</v>
      </c>
      <c r="S20" s="2282"/>
      <c r="T20" s="2282"/>
      <c r="U20" s="2283"/>
      <c r="V20" s="12">
        <f>ROUND(SUM(V14:V19),1)</f>
        <v>14728.2</v>
      </c>
      <c r="W20" s="1362"/>
      <c r="X20" s="12">
        <f>ROUND(SUM(X14:X19),1)</f>
        <v>113630.3</v>
      </c>
      <c r="Y20" s="2282"/>
      <c r="Z20" s="2284"/>
      <c r="AA20" s="2283"/>
      <c r="AB20" s="1557">
        <f>ROUND(SUM(AB14:AB19),1)</f>
        <v>13744.8</v>
      </c>
      <c r="AC20" s="23"/>
      <c r="AD20" s="1557">
        <f>ROUND(SUM(AD14:AD19),1)</f>
        <v>101240.4</v>
      </c>
      <c r="AE20" s="1476"/>
      <c r="AF20" s="2285"/>
      <c r="AG20" s="12">
        <f>ROUND(SUM(AG14:AG19),1)</f>
        <v>12389.9</v>
      </c>
      <c r="AH20" s="2286"/>
      <c r="AI20" s="1440">
        <f>(+X20-AD20)/ABS(AD20)</f>
        <v>0.1223809862465973</v>
      </c>
      <c r="AJ20" s="2287"/>
      <c r="AK20" s="2241"/>
      <c r="AL20" s="2241"/>
    </row>
    <row r="21" spans="1:38" ht="16.399999999999999" customHeight="1">
      <c r="A21" s="2251"/>
      <c r="B21" s="2252"/>
      <c r="C21" s="2252"/>
      <c r="D21" s="615"/>
      <c r="E21" s="14"/>
      <c r="F21" s="14"/>
      <c r="G21" s="9"/>
      <c r="H21" s="615"/>
      <c r="I21" s="9"/>
      <c r="J21" s="14"/>
      <c r="K21" s="9"/>
      <c r="L21" s="615"/>
      <c r="M21" s="9"/>
      <c r="N21" s="14"/>
      <c r="O21" s="9"/>
      <c r="P21" s="615"/>
      <c r="Q21" s="614"/>
      <c r="R21" s="615"/>
      <c r="S21" s="2276"/>
      <c r="T21" s="2276"/>
      <c r="U21" s="14"/>
      <c r="V21" s="615"/>
      <c r="W21" s="9"/>
      <c r="X21" s="14"/>
      <c r="Y21" s="2276"/>
      <c r="Z21" s="2277"/>
      <c r="AA21" s="14"/>
      <c r="AB21" s="1418"/>
      <c r="AC21" s="22"/>
      <c r="AD21" s="1423"/>
      <c r="AE21" s="1423"/>
      <c r="AF21" s="2278"/>
      <c r="AG21" s="14"/>
      <c r="AI21" s="1427"/>
      <c r="AJ21" s="7"/>
      <c r="AK21" s="2241"/>
      <c r="AL21" s="2241"/>
    </row>
    <row r="22" spans="1:38" ht="16.399999999999999" customHeight="1">
      <c r="A22" s="2251" t="s">
        <v>23</v>
      </c>
      <c r="B22" s="2252"/>
      <c r="C22" s="2252"/>
      <c r="D22" s="614"/>
      <c r="E22" s="9"/>
      <c r="F22" s="9"/>
      <c r="G22" s="9"/>
      <c r="H22" s="614"/>
      <c r="I22" s="9"/>
      <c r="J22" s="9"/>
      <c r="K22" s="9"/>
      <c r="L22" s="614"/>
      <c r="M22" s="9"/>
      <c r="N22" s="9"/>
      <c r="O22" s="9"/>
      <c r="P22" s="614"/>
      <c r="Q22" s="614"/>
      <c r="R22" s="614"/>
      <c r="S22" s="2276"/>
      <c r="T22" s="2276"/>
      <c r="U22" s="14"/>
      <c r="V22" s="614"/>
      <c r="W22" s="9"/>
      <c r="X22" s="9"/>
      <c r="Y22" s="2276"/>
      <c r="Z22" s="2277"/>
      <c r="AA22" s="14"/>
      <c r="AB22" s="619"/>
      <c r="AC22" s="22"/>
      <c r="AD22" s="1423"/>
      <c r="AE22" s="1423"/>
      <c r="AF22" s="2278"/>
      <c r="AG22" s="9"/>
      <c r="AI22" s="1427"/>
      <c r="AJ22" s="7"/>
      <c r="AK22" s="2241"/>
      <c r="AL22" s="2241"/>
    </row>
    <row r="23" spans="1:38" ht="16.399999999999999" customHeight="1">
      <c r="A23" s="2252" t="s">
        <v>24</v>
      </c>
      <c r="B23" s="2288" t="s">
        <v>15</v>
      </c>
      <c r="C23" s="2252"/>
      <c r="D23" s="617" t="s">
        <v>15</v>
      </c>
      <c r="E23" s="9"/>
      <c r="F23" s="10" t="s">
        <v>15</v>
      </c>
      <c r="G23" s="9"/>
      <c r="H23" s="616"/>
      <c r="I23" s="9"/>
      <c r="J23" s="15"/>
      <c r="K23" s="9"/>
      <c r="L23" s="616"/>
      <c r="M23" s="9"/>
      <c r="N23" s="15"/>
      <c r="O23" s="9"/>
      <c r="P23" s="616"/>
      <c r="Q23" s="614"/>
      <c r="R23" s="616"/>
      <c r="S23" s="2276"/>
      <c r="T23" s="2276"/>
      <c r="U23" s="14"/>
      <c r="V23" s="616"/>
      <c r="W23" s="9"/>
      <c r="X23" s="15"/>
      <c r="Y23" s="2276"/>
      <c r="Z23" s="2277"/>
      <c r="AA23" s="14"/>
      <c r="AB23" s="1789"/>
      <c r="AC23" s="22"/>
      <c r="AD23" s="2388"/>
      <c r="AE23" s="1423"/>
      <c r="AF23" s="2278"/>
      <c r="AG23" s="15"/>
      <c r="AI23" s="2289"/>
      <c r="AJ23" s="7"/>
      <c r="AK23" s="2241"/>
      <c r="AL23" s="2241"/>
    </row>
    <row r="24" spans="1:38" ht="18" customHeight="1">
      <c r="A24" s="2290" t="s">
        <v>25</v>
      </c>
      <c r="B24" s="2252"/>
      <c r="C24" s="2252"/>
      <c r="D24" s="1365">
        <f>+'Exhibit F'!P100</f>
        <v>1051.2000000000005</v>
      </c>
      <c r="E24" s="9"/>
      <c r="F24" s="9">
        <f>+'Exhibit F'!AC100</f>
        <v>11938.7</v>
      </c>
      <c r="G24" s="9"/>
      <c r="H24" s="1419">
        <f>'Exhibit G'!P88</f>
        <v>279.30000000000018</v>
      </c>
      <c r="I24" s="9"/>
      <c r="J24" s="9">
        <f>+'Exhibit G'!AD88</f>
        <v>4645.3</v>
      </c>
      <c r="K24" s="9"/>
      <c r="L24" s="1361">
        <v>0</v>
      </c>
      <c r="M24" s="14"/>
      <c r="N24" s="16">
        <v>0</v>
      </c>
      <c r="O24" s="9"/>
      <c r="P24" s="1419">
        <f>'Exhibit I'!Q69</f>
        <v>20.3</v>
      </c>
      <c r="Q24" s="1419"/>
      <c r="R24" s="614">
        <f>+'Exhibit I'!AF69</f>
        <v>40.6</v>
      </c>
      <c r="S24" s="2276"/>
      <c r="T24" s="2276"/>
      <c r="U24" s="14"/>
      <c r="V24" s="614">
        <f>ROUND(SUM(D24)+SUM(H24)+SUM(L24)+SUM(P24),1)</f>
        <v>1350.8</v>
      </c>
      <c r="W24" s="9" t="s">
        <v>15</v>
      </c>
      <c r="X24" s="9">
        <f>ROUND(SUM(F24)+SUM(J24)+SUM(N24)+SUM(R24),1)</f>
        <v>16624.599999999999</v>
      </c>
      <c r="Y24" s="2276"/>
      <c r="Z24" s="2277"/>
      <c r="AA24" s="14"/>
      <c r="AB24" s="2040">
        <v>1451.3</v>
      </c>
      <c r="AC24" s="22"/>
      <c r="AD24" s="1423">
        <f>'Exhibit F'!AF100+'Exhibit G'!AG88+'Exhibit I'!AI69</f>
        <v>18020.100000000002</v>
      </c>
      <c r="AE24" s="2291"/>
      <c r="AF24" s="2292"/>
      <c r="AG24" s="9">
        <f>ROUND(SUM(X24-AD24),1)</f>
        <v>-1395.5</v>
      </c>
      <c r="AI24" s="1424">
        <f>ROUND(SUM((+X24-AD24)/ABS(AD24)),3)</f>
        <v>-7.6999999999999999E-2</v>
      </c>
      <c r="AJ24" s="7"/>
      <c r="AK24" s="2241"/>
      <c r="AL24" s="2241"/>
    </row>
    <row r="25" spans="1:38" ht="18" customHeight="1">
      <c r="A25" s="2290" t="s">
        <v>26</v>
      </c>
      <c r="B25" s="2293"/>
      <c r="C25" s="2252"/>
      <c r="D25" s="1365">
        <f>+'Exhibit F'!P101</f>
        <v>0</v>
      </c>
      <c r="E25" s="9"/>
      <c r="F25" s="9">
        <f>+'Exhibit F'!AC101</f>
        <v>0</v>
      </c>
      <c r="G25" s="9"/>
      <c r="H25" s="1419">
        <f>'Exhibit G'!P89</f>
        <v>0.8</v>
      </c>
      <c r="I25" s="9"/>
      <c r="J25" s="9">
        <f>+'Exhibit G'!AD89</f>
        <v>2</v>
      </c>
      <c r="K25" s="9"/>
      <c r="L25" s="1361">
        <v>0</v>
      </c>
      <c r="M25" s="14"/>
      <c r="N25" s="16">
        <v>0</v>
      </c>
      <c r="O25" s="9"/>
      <c r="P25" s="1419">
        <f>'Exhibit I'!Q70</f>
        <v>6.9000000000000057</v>
      </c>
      <c r="Q25" s="1419"/>
      <c r="R25" s="614">
        <f>+'Exhibit I'!AF70</f>
        <v>77</v>
      </c>
      <c r="S25" s="2276"/>
      <c r="T25" s="2276"/>
      <c r="U25" s="14"/>
      <c r="V25" s="614">
        <f t="shared" ref="V25:V32" si="4">ROUND(SUM(D25)+SUM(H25)+SUM(L25)+SUM(P25),1)</f>
        <v>7.7</v>
      </c>
      <c r="W25" s="9" t="s">
        <v>15</v>
      </c>
      <c r="X25" s="9">
        <f t="shared" ref="X25:X32" si="5">ROUND(SUM(F25)+SUM(J25)+SUM(N25)+SUM(R25),1)</f>
        <v>79</v>
      </c>
      <c r="Y25" s="2276"/>
      <c r="Z25" s="2277"/>
      <c r="AA25" s="14"/>
      <c r="AB25" s="2040">
        <v>15.6</v>
      </c>
      <c r="AC25" s="3387"/>
      <c r="AD25" s="1423">
        <f>'Exhibit F'!AF101+'Exhibit G'!AG89+'Exhibit I'!AI70</f>
        <v>125.6</v>
      </c>
      <c r="AE25" s="14"/>
      <c r="AF25" s="2278"/>
      <c r="AG25" s="9">
        <f t="shared" ref="AG25:AG33" si="6">ROUND(SUM(X25-AD25),1)</f>
        <v>-46.6</v>
      </c>
      <c r="AI25" s="1424">
        <f t="shared" ref="AI25:AI32" si="7">ROUND(SUM((+X25-AD25)/ABS(AD25)),3)</f>
        <v>-0.371</v>
      </c>
      <c r="AJ25" s="7"/>
      <c r="AK25" s="2241"/>
      <c r="AL25" s="2241"/>
    </row>
    <row r="26" spans="1:38" ht="18" customHeight="1">
      <c r="A26" s="2290" t="s">
        <v>27</v>
      </c>
      <c r="B26" s="2294"/>
      <c r="C26" s="2252"/>
      <c r="D26" s="1365">
        <f>+'Exhibit F'!P102</f>
        <v>62.399999999999984</v>
      </c>
      <c r="E26" s="9"/>
      <c r="F26" s="9">
        <f>+'Exhibit F'!AC102</f>
        <v>628.29999999999995</v>
      </c>
      <c r="G26" s="9"/>
      <c r="H26" s="1419">
        <f>'Exhibit G'!P90</f>
        <v>169.59999999999974</v>
      </c>
      <c r="I26" s="9"/>
      <c r="J26" s="9">
        <f>+'Exhibit G'!AD90</f>
        <v>4120.7</v>
      </c>
      <c r="K26" s="9"/>
      <c r="L26" s="1361">
        <v>0</v>
      </c>
      <c r="M26" s="14"/>
      <c r="N26" s="16">
        <v>0</v>
      </c>
      <c r="O26" s="9"/>
      <c r="P26" s="1419">
        <f>'Exhibit I'!Q71</f>
        <v>90.4</v>
      </c>
      <c r="Q26" s="1419"/>
      <c r="R26" s="614">
        <f>+'Exhibit I'!AF71</f>
        <v>296.89999999999998</v>
      </c>
      <c r="S26" s="2276"/>
      <c r="T26" s="2276"/>
      <c r="U26" s="14"/>
      <c r="V26" s="614">
        <f t="shared" si="4"/>
        <v>322.39999999999998</v>
      </c>
      <c r="W26" s="9" t="s">
        <v>15</v>
      </c>
      <c r="X26" s="22">
        <f t="shared" si="5"/>
        <v>5045.8999999999996</v>
      </c>
      <c r="Y26" s="2276"/>
      <c r="Z26" s="2277"/>
      <c r="AA26" s="14"/>
      <c r="AB26" s="2040">
        <v>163.70000000000002</v>
      </c>
      <c r="AC26" s="22"/>
      <c r="AD26" s="1423">
        <f>'Exhibit F'!AF102+'Exhibit G'!AG90+'Exhibit I'!AI71</f>
        <v>1401</v>
      </c>
      <c r="AE26" s="14"/>
      <c r="AF26" s="2278"/>
      <c r="AG26" s="9">
        <f t="shared" si="6"/>
        <v>3644.9</v>
      </c>
      <c r="AI26" s="1424">
        <f t="shared" si="7"/>
        <v>2.6019999999999999</v>
      </c>
      <c r="AJ26" s="7"/>
      <c r="AK26" s="2241"/>
      <c r="AL26" s="2241"/>
    </row>
    <row r="27" spans="1:38" ht="18" customHeight="1">
      <c r="A27" s="2290" t="s">
        <v>28</v>
      </c>
      <c r="B27" s="2295"/>
      <c r="C27" s="2252"/>
      <c r="D27" s="614"/>
      <c r="E27" s="9"/>
      <c r="F27" s="9"/>
      <c r="G27" s="9"/>
      <c r="H27" s="1419"/>
      <c r="I27" s="9"/>
      <c r="J27" s="9" t="s">
        <v>15</v>
      </c>
      <c r="K27" s="9"/>
      <c r="L27" s="1416" t="s">
        <v>15</v>
      </c>
      <c r="M27" s="14"/>
      <c r="N27" s="17" t="s">
        <v>15</v>
      </c>
      <c r="O27" s="9"/>
      <c r="P27" s="1419"/>
      <c r="Q27" s="1419"/>
      <c r="R27" s="614"/>
      <c r="S27" s="2276"/>
      <c r="T27" s="2276"/>
      <c r="U27" s="14"/>
      <c r="V27" s="614" t="s">
        <v>15</v>
      </c>
      <c r="W27" s="9"/>
      <c r="X27" s="614" t="s">
        <v>15</v>
      </c>
      <c r="Y27" s="2276"/>
      <c r="Z27" s="2277"/>
      <c r="AA27" s="14"/>
      <c r="AB27" s="619"/>
      <c r="AC27" s="22"/>
      <c r="AD27" s="22"/>
      <c r="AE27" s="14"/>
      <c r="AF27" s="2278"/>
      <c r="AG27" s="9"/>
      <c r="AI27" s="1436" t="s">
        <v>15</v>
      </c>
      <c r="AJ27" s="7"/>
      <c r="AK27" s="2241"/>
      <c r="AL27" s="2241"/>
    </row>
    <row r="28" spans="1:38" ht="18" customHeight="1">
      <c r="A28" s="2296" t="s">
        <v>29</v>
      </c>
      <c r="B28" s="2275"/>
      <c r="C28" s="2252"/>
      <c r="D28" s="1365">
        <f>+'Exhibit F'!P104</f>
        <v>999.5</v>
      </c>
      <c r="E28" s="9"/>
      <c r="F28" s="9">
        <f>+'Exhibit F'!AC104</f>
        <v>9246.5</v>
      </c>
      <c r="G28" s="9"/>
      <c r="H28" s="1419">
        <f>'Exhibit G'!P92</f>
        <v>3286.5999999999985</v>
      </c>
      <c r="I28" s="9"/>
      <c r="J28" s="9">
        <f>+'Exhibit G'!AD92</f>
        <v>29287</v>
      </c>
      <c r="K28" s="9"/>
      <c r="L28" s="1361">
        <v>0</v>
      </c>
      <c r="M28" s="14"/>
      <c r="N28" s="16">
        <v>0</v>
      </c>
      <c r="O28" s="9"/>
      <c r="P28" s="1419">
        <f>'Exhibit I'!Q73</f>
        <v>0</v>
      </c>
      <c r="Q28" s="1419"/>
      <c r="R28" s="616">
        <f>+'Exhibit I'!AF73</f>
        <v>0</v>
      </c>
      <c r="S28" s="2276"/>
      <c r="T28" s="2276"/>
      <c r="U28" s="14"/>
      <c r="V28" s="614">
        <f t="shared" si="4"/>
        <v>4286.1000000000004</v>
      </c>
      <c r="W28" s="9" t="s">
        <v>15</v>
      </c>
      <c r="X28" s="9">
        <f t="shared" si="5"/>
        <v>38533.5</v>
      </c>
      <c r="Y28" s="2276"/>
      <c r="Z28" s="2277"/>
      <c r="AA28" s="14"/>
      <c r="AB28" s="2040">
        <v>5679.8</v>
      </c>
      <c r="AC28" s="22"/>
      <c r="AD28" s="1423">
        <f>'Exhibit F'!AF104+'Exhibit G'!AG92+'Exhibit I'!AI73</f>
        <v>38574.1</v>
      </c>
      <c r="AE28" s="14"/>
      <c r="AF28" s="2278"/>
      <c r="AG28" s="9">
        <f t="shared" si="6"/>
        <v>-40.6</v>
      </c>
      <c r="AI28" s="1424">
        <f t="shared" si="7"/>
        <v>-1E-3</v>
      </c>
      <c r="AJ28" s="7"/>
      <c r="AK28" s="2297"/>
      <c r="AL28" s="2241"/>
    </row>
    <row r="29" spans="1:38" ht="18" customHeight="1">
      <c r="A29" s="2290" t="s">
        <v>30</v>
      </c>
      <c r="B29" s="2275"/>
      <c r="C29" s="2252"/>
      <c r="D29" s="1365">
        <f>+'Exhibit F'!P105</f>
        <v>193.60000000000031</v>
      </c>
      <c r="E29" s="9"/>
      <c r="F29" s="9">
        <f>+'Exhibit F'!AC105</f>
        <v>1298.5000000000002</v>
      </c>
      <c r="G29" s="9"/>
      <c r="H29" s="1419">
        <f>'Exhibit G'!P93</f>
        <v>570.69999999999993</v>
      </c>
      <c r="I29" s="9"/>
      <c r="J29" s="9">
        <f>+'Exhibit G'!AD93</f>
        <v>4237.5</v>
      </c>
      <c r="K29" s="9"/>
      <c r="L29" s="1361">
        <v>0</v>
      </c>
      <c r="M29" s="14"/>
      <c r="N29" s="16">
        <v>0</v>
      </c>
      <c r="O29" s="9"/>
      <c r="P29" s="1419">
        <f>'Exhibit I'!Q74</f>
        <v>50.900000000000034</v>
      </c>
      <c r="Q29" s="1419"/>
      <c r="R29" s="614">
        <f>+'Exhibit I'!AF74</f>
        <v>309.5</v>
      </c>
      <c r="S29" s="2276"/>
      <c r="T29" s="2276"/>
      <c r="U29" s="14"/>
      <c r="V29" s="614">
        <f t="shared" si="4"/>
        <v>815.2</v>
      </c>
      <c r="W29" s="9" t="s">
        <v>15</v>
      </c>
      <c r="X29" s="9">
        <f t="shared" si="5"/>
        <v>5845.5</v>
      </c>
      <c r="Y29" s="2276"/>
      <c r="Z29" s="2277"/>
      <c r="AA29" s="14"/>
      <c r="AB29" s="2040">
        <v>803</v>
      </c>
      <c r="AC29" s="22"/>
      <c r="AD29" s="1423">
        <f>'Exhibit F'!AF105+'Exhibit G'!AG93+'Exhibit I'!AI74</f>
        <v>5910.7999999999993</v>
      </c>
      <c r="AE29" s="14"/>
      <c r="AF29" s="2278"/>
      <c r="AG29" s="9">
        <f t="shared" si="6"/>
        <v>-65.3</v>
      </c>
      <c r="AI29" s="1424">
        <f t="shared" si="7"/>
        <v>-1.0999999999999999E-2</v>
      </c>
      <c r="AJ29" s="7"/>
      <c r="AK29" s="2241"/>
      <c r="AL29" s="2241"/>
    </row>
    <row r="30" spans="1:38" ht="18" customHeight="1">
      <c r="A30" s="2290" t="s">
        <v>31</v>
      </c>
      <c r="B30" s="2295"/>
      <c r="C30" s="2252"/>
      <c r="D30" s="1365">
        <f>+'Exhibit F'!P106</f>
        <v>7.300000000000006</v>
      </c>
      <c r="E30" s="9"/>
      <c r="F30" s="9">
        <f>+'Exhibit F'!AC106</f>
        <v>36.6</v>
      </c>
      <c r="G30" s="9"/>
      <c r="H30" s="1419">
        <f>'Exhibit G'!P94</f>
        <v>627.0999999999998</v>
      </c>
      <c r="I30" s="9"/>
      <c r="J30" s="9">
        <f>+'Exhibit G'!AD94</f>
        <v>1400.9</v>
      </c>
      <c r="K30" s="9"/>
      <c r="L30" s="1361">
        <v>0</v>
      </c>
      <c r="M30" s="14"/>
      <c r="N30" s="16">
        <v>0</v>
      </c>
      <c r="O30" s="9"/>
      <c r="P30" s="1419">
        <f>'Exhibit I'!Q75</f>
        <v>0.29999999999999982</v>
      </c>
      <c r="Q30" s="1419"/>
      <c r="R30" s="616">
        <f>+'Exhibit I'!AF75</f>
        <v>6.8</v>
      </c>
      <c r="S30" s="2276"/>
      <c r="T30" s="2276"/>
      <c r="U30" s="14"/>
      <c r="V30" s="614">
        <f t="shared" si="4"/>
        <v>634.70000000000005</v>
      </c>
      <c r="W30" s="9" t="s">
        <v>15</v>
      </c>
      <c r="X30" s="9">
        <f t="shared" si="5"/>
        <v>1444.3</v>
      </c>
      <c r="Y30" s="2276"/>
      <c r="Z30" s="2277"/>
      <c r="AA30" s="14"/>
      <c r="AB30" s="2040">
        <v>169.4</v>
      </c>
      <c r="AC30" s="22"/>
      <c r="AD30" s="1423">
        <f>'Exhibit F'!AF106+'Exhibit G'!AG94+'Exhibit I'!AI75</f>
        <v>866.3</v>
      </c>
      <c r="AE30" s="14"/>
      <c r="AF30" s="2278"/>
      <c r="AG30" s="9">
        <f t="shared" si="6"/>
        <v>578</v>
      </c>
      <c r="AI30" s="1424">
        <f t="shared" si="7"/>
        <v>0.66700000000000004</v>
      </c>
      <c r="AJ30" s="7"/>
      <c r="AK30" s="2241"/>
      <c r="AL30" s="2241"/>
    </row>
    <row r="31" spans="1:38" ht="18" customHeight="1">
      <c r="A31" s="2290" t="s">
        <v>32</v>
      </c>
      <c r="B31" s="2252"/>
      <c r="C31" s="2252"/>
      <c r="D31" s="1365">
        <f>+'Exhibit F'!P107</f>
        <v>70.300000000000182</v>
      </c>
      <c r="E31" s="9"/>
      <c r="F31" s="9">
        <f>+'Exhibit F'!AC107</f>
        <v>1427.9</v>
      </c>
      <c r="G31" s="9"/>
      <c r="H31" s="1419">
        <f>'Exhibit G'!P95</f>
        <v>384.0999999999998</v>
      </c>
      <c r="I31" s="9"/>
      <c r="J31" s="9">
        <f>+'Exhibit G'!AD95</f>
        <v>2204.4</v>
      </c>
      <c r="K31" s="9"/>
      <c r="L31" s="1361">
        <v>0</v>
      </c>
      <c r="M31" s="14"/>
      <c r="N31" s="16">
        <v>0</v>
      </c>
      <c r="O31" s="9"/>
      <c r="P31" s="1419">
        <f>'Exhibit I'!Q76</f>
        <v>24.600000000000023</v>
      </c>
      <c r="Q31" s="1419"/>
      <c r="R31" s="614">
        <f>+'Exhibit I'!AF76</f>
        <v>367.3</v>
      </c>
      <c r="S31" s="2276"/>
      <c r="T31" s="2276"/>
      <c r="U31" s="14"/>
      <c r="V31" s="614">
        <f t="shared" si="4"/>
        <v>479</v>
      </c>
      <c r="W31" s="9" t="s">
        <v>15</v>
      </c>
      <c r="X31" s="9">
        <f t="shared" si="5"/>
        <v>3999.6</v>
      </c>
      <c r="Y31" s="2276"/>
      <c r="Z31" s="2277"/>
      <c r="AA31" s="14"/>
      <c r="AB31" s="2040">
        <v>1491</v>
      </c>
      <c r="AC31" s="22"/>
      <c r="AD31" s="1423">
        <f>'Exhibit F'!AF107+'Exhibit G'!AG95+'Exhibit I'!AI76</f>
        <v>4018.1</v>
      </c>
      <c r="AE31" s="14"/>
      <c r="AF31" s="2278"/>
      <c r="AG31" s="9">
        <f t="shared" si="6"/>
        <v>-18.5</v>
      </c>
      <c r="AI31" s="1424">
        <f t="shared" si="7"/>
        <v>-5.0000000000000001E-3</v>
      </c>
      <c r="AJ31" s="7"/>
      <c r="AK31" s="2241"/>
      <c r="AL31" s="2241"/>
    </row>
    <row r="32" spans="1:38" ht="18" customHeight="1">
      <c r="A32" s="2290" t="s">
        <v>33</v>
      </c>
      <c r="B32" s="2295"/>
      <c r="C32" s="2252"/>
      <c r="D32" s="1365">
        <f>+'Exhibit F'!P108</f>
        <v>9</v>
      </c>
      <c r="E32" s="9"/>
      <c r="F32" s="9">
        <f>+'Exhibit F'!AC108</f>
        <v>39.6</v>
      </c>
      <c r="G32" s="9"/>
      <c r="H32" s="1419">
        <f>'Exhibit G'!P96</f>
        <v>1.7000000000000028</v>
      </c>
      <c r="I32" s="9"/>
      <c r="J32" s="9">
        <f>+'Exhibit G'!AD96</f>
        <v>24.1</v>
      </c>
      <c r="K32" s="9"/>
      <c r="L32" s="1361">
        <v>0</v>
      </c>
      <c r="M32" s="14" t="s">
        <v>15</v>
      </c>
      <c r="N32" s="16">
        <v>0</v>
      </c>
      <c r="O32" s="9"/>
      <c r="P32" s="1419">
        <f>'Exhibit I'!Q77</f>
        <v>53.500000000000014</v>
      </c>
      <c r="Q32" s="1419"/>
      <c r="R32" s="614">
        <f>+'Exhibit I'!AF77</f>
        <v>233.1</v>
      </c>
      <c r="S32" s="2276"/>
      <c r="T32" s="2276"/>
      <c r="U32" s="14"/>
      <c r="V32" s="614">
        <f t="shared" si="4"/>
        <v>64.2</v>
      </c>
      <c r="W32" s="9" t="s">
        <v>15</v>
      </c>
      <c r="X32" s="9">
        <f t="shared" si="5"/>
        <v>296.8</v>
      </c>
      <c r="Y32" s="2276"/>
      <c r="Z32" s="2277"/>
      <c r="AA32" s="14"/>
      <c r="AB32" s="2040">
        <v>60.8</v>
      </c>
      <c r="AC32" s="22"/>
      <c r="AD32" s="1423">
        <f>'Exhibit F'!AF108+'Exhibit G'!AG96+'Exhibit I'!AI77</f>
        <v>674.19999999999993</v>
      </c>
      <c r="AE32" s="14"/>
      <c r="AF32" s="2278"/>
      <c r="AG32" s="9">
        <f t="shared" si="6"/>
        <v>-377.4</v>
      </c>
      <c r="AI32" s="1424">
        <f t="shared" si="7"/>
        <v>-0.56000000000000005</v>
      </c>
      <c r="AJ32" s="7"/>
      <c r="AK32" s="2241"/>
      <c r="AL32" s="2241"/>
    </row>
    <row r="33" spans="1:38" ht="18" customHeight="1">
      <c r="A33" s="2290" t="s">
        <v>34</v>
      </c>
      <c r="B33" s="2252"/>
      <c r="C33" s="2252"/>
      <c r="D33" s="1365">
        <f>+'Exhibit F'!P109</f>
        <v>2.9000000000000057</v>
      </c>
      <c r="E33" s="9"/>
      <c r="F33" s="9">
        <f>+'Exhibit F'!AC109</f>
        <v>42.2</v>
      </c>
      <c r="G33" s="9"/>
      <c r="H33" s="1419">
        <f>'Exhibit G'!P97</f>
        <v>258.5</v>
      </c>
      <c r="I33" s="9"/>
      <c r="J33" s="9">
        <f>+'Exhibit G'!AD97</f>
        <v>1697.4</v>
      </c>
      <c r="K33" s="9"/>
      <c r="L33" s="1361">
        <v>0</v>
      </c>
      <c r="M33" s="14"/>
      <c r="N33" s="16">
        <v>0</v>
      </c>
      <c r="O33" s="9"/>
      <c r="P33" s="1419">
        <f>'Exhibit I'!Q78</f>
        <v>483.59999999999991</v>
      </c>
      <c r="Q33" s="1419"/>
      <c r="R33" s="614">
        <f>+'Exhibit I'!AF78</f>
        <v>1212.0999999999999</v>
      </c>
      <c r="S33" s="2276"/>
      <c r="T33" s="2276"/>
      <c r="U33" s="14"/>
      <c r="V33" s="614">
        <f>ROUND(SUM(D33)+SUM(H33)+SUM(L33)+SUM(P33),1)</f>
        <v>745</v>
      </c>
      <c r="W33" s="9" t="s">
        <v>15</v>
      </c>
      <c r="X33" s="9">
        <f>ROUND(SUM(F33)+SUM(J33)+SUM(N33)+SUM(R33),1)</f>
        <v>2951.7</v>
      </c>
      <c r="Y33" s="2276"/>
      <c r="Z33" s="2277"/>
      <c r="AA33" s="14"/>
      <c r="AB33" s="2040">
        <v>364.1</v>
      </c>
      <c r="AC33" s="22"/>
      <c r="AD33" s="1423">
        <f>'Exhibit F'!AF109+'Exhibit G'!AG97+'Exhibit I'!AI78</f>
        <v>3113.3</v>
      </c>
      <c r="AE33" s="14"/>
      <c r="AF33" s="2278"/>
      <c r="AG33" s="9">
        <f t="shared" si="6"/>
        <v>-161.6</v>
      </c>
      <c r="AI33" s="1424">
        <f>ROUND(SUM((+X33-AD33)/ABS(AD33)),3)</f>
        <v>-5.1999999999999998E-2</v>
      </c>
      <c r="AJ33" s="7"/>
      <c r="AK33" s="2241"/>
      <c r="AL33" s="2241"/>
    </row>
    <row r="34" spans="1:38" ht="18" customHeight="1">
      <c r="A34" s="2251" t="s">
        <v>35</v>
      </c>
      <c r="B34" s="2252"/>
      <c r="C34" s="2252"/>
      <c r="D34" s="12">
        <f>ROUND(SUM(D24:D33),1)</f>
        <v>2396.1999999999998</v>
      </c>
      <c r="E34" s="2283"/>
      <c r="F34" s="12">
        <f>ROUND(SUM(F24:F33),1)</f>
        <v>24658.3</v>
      </c>
      <c r="G34" s="1362"/>
      <c r="H34" s="12">
        <f>ROUND(SUM(H24:H33),1)</f>
        <v>5578.4</v>
      </c>
      <c r="I34" s="1362"/>
      <c r="J34" s="12">
        <f>ROUND(SUM(J24:J33),1)</f>
        <v>47619.3</v>
      </c>
      <c r="K34" s="1362"/>
      <c r="L34" s="12">
        <f>ROUND(SUM(L24:L33),1)</f>
        <v>0</v>
      </c>
      <c r="M34" s="1362"/>
      <c r="N34" s="1421">
        <f>ROUND(SUM(N24:N33),1)</f>
        <v>0</v>
      </c>
      <c r="O34" s="1362"/>
      <c r="P34" s="11">
        <f>ROUND(SUM(P24:P33),1)</f>
        <v>730.5</v>
      </c>
      <c r="Q34" s="1362"/>
      <c r="R34" s="11">
        <f>ROUND(SUM(R24:R33),1)</f>
        <v>2543.3000000000002</v>
      </c>
      <c r="S34" s="2282"/>
      <c r="T34" s="2282"/>
      <c r="U34" s="2283"/>
      <c r="V34" s="12">
        <f>ROUND(SUM(V24:V33),1)</f>
        <v>8705.1</v>
      </c>
      <c r="W34" s="1362"/>
      <c r="X34" s="12">
        <f>ROUND(SUM(X24:X33),1)</f>
        <v>74820.899999999994</v>
      </c>
      <c r="Y34" s="2282"/>
      <c r="Z34" s="2284"/>
      <c r="AA34" s="2283"/>
      <c r="AB34" s="1557">
        <f>ROUND(SUM(AB23:AB33),1)</f>
        <v>10198.700000000001</v>
      </c>
      <c r="AC34" s="23"/>
      <c r="AD34" s="1557">
        <f>ROUND(SUM(AD23:AD33),1)</f>
        <v>72703.5</v>
      </c>
      <c r="AE34" s="1476"/>
      <c r="AF34" s="2285"/>
      <c r="AG34" s="12">
        <f>ROUND(SUM(AG24:AG33),1)</f>
        <v>2117.4</v>
      </c>
      <c r="AH34" s="2286"/>
      <c r="AI34" s="1440">
        <f>ROUND(SUM((+X34-AD34)/ABS(AD34)),3)</f>
        <v>2.9000000000000001E-2</v>
      </c>
      <c r="AJ34" s="2253"/>
      <c r="AK34" s="2241"/>
      <c r="AL34" s="2241"/>
    </row>
    <row r="35" spans="1:38" ht="18" customHeight="1">
      <c r="A35" s="2252" t="s">
        <v>36</v>
      </c>
      <c r="B35" s="2294"/>
      <c r="C35" s="2252"/>
      <c r="D35" s="614"/>
      <c r="E35" s="9"/>
      <c r="F35" s="9"/>
      <c r="G35" s="9"/>
      <c r="H35" s="614"/>
      <c r="I35" s="9"/>
      <c r="J35" s="9"/>
      <c r="K35" s="9"/>
      <c r="L35" s="614"/>
      <c r="M35" s="9"/>
      <c r="N35" s="9"/>
      <c r="O35" s="9"/>
      <c r="P35" s="614"/>
      <c r="Q35" s="614"/>
      <c r="R35" s="614"/>
      <c r="S35" s="2276"/>
      <c r="T35" s="2276"/>
      <c r="U35" s="14"/>
      <c r="V35" s="614"/>
      <c r="W35" s="9"/>
      <c r="X35" s="9"/>
      <c r="Y35" s="2276"/>
      <c r="Z35" s="2277"/>
      <c r="AA35" s="14"/>
      <c r="AB35" s="619"/>
      <c r="AC35" s="22"/>
      <c r="AD35" s="1423"/>
      <c r="AE35" s="1423"/>
      <c r="AF35" s="2278"/>
      <c r="AG35" s="9"/>
      <c r="AI35" s="1427"/>
      <c r="AJ35" s="7"/>
      <c r="AK35" s="2241"/>
      <c r="AL35" s="2241"/>
    </row>
    <row r="36" spans="1:38" ht="18" customHeight="1">
      <c r="A36" s="2252" t="s">
        <v>37</v>
      </c>
      <c r="B36" s="2293"/>
      <c r="C36" s="2252"/>
      <c r="D36" s="614">
        <f>+'Exhibit F'!P112</f>
        <v>598</v>
      </c>
      <c r="E36" s="9"/>
      <c r="F36" s="9">
        <f>+'Exhibit F'!AC112</f>
        <v>4985.3999999999996</v>
      </c>
      <c r="G36" s="9"/>
      <c r="H36" s="1419">
        <f>'Exhibit G'!P100</f>
        <v>521.19999999999993</v>
      </c>
      <c r="I36" s="9"/>
      <c r="J36" s="9">
        <f>+'Exhibit G'!AD100</f>
        <v>3815.3</v>
      </c>
      <c r="K36" s="9"/>
      <c r="L36" s="617">
        <v>0</v>
      </c>
      <c r="M36" s="9"/>
      <c r="N36" s="10">
        <v>0</v>
      </c>
      <c r="O36" s="9"/>
      <c r="P36" s="617">
        <f>'Exhibit I'!Q81</f>
        <v>0</v>
      </c>
      <c r="Q36" s="614"/>
      <c r="R36" s="617">
        <f>+'Exhibit I'!AF81</f>
        <v>0</v>
      </c>
      <c r="S36" s="2276"/>
      <c r="T36" s="2276"/>
      <c r="U36" s="14"/>
      <c r="V36" s="614">
        <f>ROUND(SUM(D36)+SUM(H36)+SUM(L36)+SUM(P36),1)</f>
        <v>1119.2</v>
      </c>
      <c r="W36" s="9" t="s">
        <v>15</v>
      </c>
      <c r="X36" s="9">
        <f>ROUND(SUM(F36)+SUM(J36)+SUM(N36)+SUM(R36),1)</f>
        <v>8800.7000000000007</v>
      </c>
      <c r="Y36" s="2276"/>
      <c r="Z36" s="2277"/>
      <c r="AA36" s="14"/>
      <c r="AB36" s="2040">
        <v>1440.2</v>
      </c>
      <c r="AC36" s="3388"/>
      <c r="AD36" s="22">
        <f>'Exhibit F'!AF112+'Exhibit G'!AG100+'Exhibit I'!AI81</f>
        <v>8984.7000000000007</v>
      </c>
      <c r="AE36" s="14"/>
      <c r="AF36" s="2278"/>
      <c r="AG36" s="9">
        <f>ROUND(SUM(X36-AD36),1)</f>
        <v>-184</v>
      </c>
      <c r="AI36" s="1424">
        <f>ROUND(SUM((+X36-AD36)/ABS(AD36)),3)</f>
        <v>-0.02</v>
      </c>
      <c r="AJ36" s="7"/>
      <c r="AK36" s="2241"/>
      <c r="AL36" s="2241"/>
    </row>
    <row r="37" spans="1:38" ht="18" customHeight="1">
      <c r="A37" s="2252" t="s">
        <v>38</v>
      </c>
      <c r="B37" s="2294"/>
      <c r="C37" s="2252"/>
      <c r="D37" s="614">
        <f>+'Exhibit F'!P113</f>
        <v>183.60000000000008</v>
      </c>
      <c r="E37" s="9"/>
      <c r="F37" s="9">
        <f>+'Exhibit F'!AC113</f>
        <v>833.4</v>
      </c>
      <c r="G37" s="9"/>
      <c r="H37" s="1419">
        <f>'Exhibit G'!P101</f>
        <v>437.00000000000011</v>
      </c>
      <c r="I37" s="9"/>
      <c r="J37" s="9">
        <f>+'Exhibit G'!AD101</f>
        <v>3202.8</v>
      </c>
      <c r="K37" s="9"/>
      <c r="L37" s="1419">
        <f>+'Exhibit H'!N53</f>
        <v>0</v>
      </c>
      <c r="M37" s="9"/>
      <c r="N37" s="9">
        <f>+'Exhibit H'!AA53</f>
        <v>29.6</v>
      </c>
      <c r="O37" s="9" t="s">
        <v>15</v>
      </c>
      <c r="P37" s="617">
        <f>'Exhibit I'!Q82</f>
        <v>0</v>
      </c>
      <c r="Q37" s="614"/>
      <c r="R37" s="617">
        <f>+'Exhibit I'!AF82</f>
        <v>0</v>
      </c>
      <c r="S37" s="2276"/>
      <c r="T37" s="2276"/>
      <c r="U37" s="14"/>
      <c r="V37" s="614">
        <f>ROUND(SUM(D37)+SUM(H37)+SUM(L37)+SUM(P37),1)</f>
        <v>620.6</v>
      </c>
      <c r="W37" s="9" t="s">
        <v>15</v>
      </c>
      <c r="X37" s="9">
        <f>ROUND(SUM(F37)+SUM(J37)+SUM(N37)+SUM(R37),1)</f>
        <v>4065.8</v>
      </c>
      <c r="Y37" s="2276"/>
      <c r="Z37" s="2277"/>
      <c r="AA37" s="14"/>
      <c r="AB37" s="2040">
        <v>647.4</v>
      </c>
      <c r="AC37" s="3388"/>
      <c r="AD37" s="22">
        <f>'Exhibit F'!AF113+'Exhibit G'!AG101+'Exhibit I'!AI82+'Exhibit H'!AD53</f>
        <v>3904.4</v>
      </c>
      <c r="AE37" s="14"/>
      <c r="AF37" s="2278"/>
      <c r="AG37" s="9">
        <f>ROUND(SUM(X37-AD37),1)</f>
        <v>161.4</v>
      </c>
      <c r="AI37" s="1424">
        <f>ROUND(SUM((+X37-AD37)/ABS(AD37)),3)</f>
        <v>4.1000000000000002E-2</v>
      </c>
      <c r="AJ37" s="7"/>
      <c r="AK37" s="2241"/>
      <c r="AL37" s="2241"/>
    </row>
    <row r="38" spans="1:38" ht="18" customHeight="1">
      <c r="A38" s="2252" t="s">
        <v>39</v>
      </c>
      <c r="B38" s="2295"/>
      <c r="C38" s="2252"/>
      <c r="D38" s="614">
        <f>+'Exhibit F'!P114</f>
        <v>387.40000000000055</v>
      </c>
      <c r="E38" s="9"/>
      <c r="F38" s="9">
        <f>+'Exhibit F'!AC114</f>
        <v>4773.3</v>
      </c>
      <c r="G38" s="2298"/>
      <c r="H38" s="1419">
        <f>'Exhibit G'!P102</f>
        <v>124.29999999999994</v>
      </c>
      <c r="I38" s="9"/>
      <c r="J38" s="9">
        <f>+'Exhibit G'!AD102</f>
        <v>792.1</v>
      </c>
      <c r="K38" s="9"/>
      <c r="L38" s="617">
        <v>0</v>
      </c>
      <c r="M38" s="9"/>
      <c r="N38" s="10">
        <v>0</v>
      </c>
      <c r="O38" s="9"/>
      <c r="P38" s="617">
        <f>'Exhibit I'!Q83</f>
        <v>0</v>
      </c>
      <c r="Q38" s="614"/>
      <c r="R38" s="617">
        <f>+'Exhibit I'!AF83</f>
        <v>0</v>
      </c>
      <c r="S38" s="2276"/>
      <c r="T38" s="2276"/>
      <c r="U38" s="14"/>
      <c r="V38" s="614">
        <f>ROUND(SUM(D38)+SUM(H38)+SUM(L38)+SUM(P38),1)</f>
        <v>511.7</v>
      </c>
      <c r="W38" s="9" t="s">
        <v>15</v>
      </c>
      <c r="X38" s="9">
        <f>ROUND(SUM(F38)+SUM(J38)+SUM(N38)+SUM(R38),1)</f>
        <v>5565.4</v>
      </c>
      <c r="Y38" s="2276"/>
      <c r="Z38" s="2277"/>
      <c r="AA38" s="14"/>
      <c r="AB38" s="2040">
        <v>665.9</v>
      </c>
      <c r="AC38" s="22"/>
      <c r="AD38" s="22">
        <f>'Exhibit F'!AF114+'Exhibit G'!AG102+'Exhibit I'!AI83</f>
        <v>6009.4</v>
      </c>
      <c r="AE38" s="14"/>
      <c r="AF38" s="2278"/>
      <c r="AG38" s="9">
        <f>ROUND(SUM(X38-AD38),1)</f>
        <v>-444</v>
      </c>
      <c r="AI38" s="1424">
        <f>ROUND(SUM((+X38-AD38)/ABS(AD38)),3)</f>
        <v>-7.3999999999999996E-2</v>
      </c>
      <c r="AJ38" s="7"/>
      <c r="AK38" s="2241"/>
      <c r="AL38" s="2241"/>
    </row>
    <row r="39" spans="1:38" ht="18" customHeight="1">
      <c r="A39" s="2252" t="s">
        <v>40</v>
      </c>
      <c r="B39" s="2252"/>
      <c r="C39" s="2252"/>
      <c r="D39" s="614"/>
      <c r="E39" s="9"/>
      <c r="F39" s="9"/>
      <c r="G39" s="9"/>
      <c r="H39" s="614"/>
      <c r="I39" s="9"/>
      <c r="J39" s="18"/>
      <c r="K39" s="9"/>
      <c r="L39" s="614"/>
      <c r="M39" s="9"/>
      <c r="N39" s="9"/>
      <c r="O39" s="9"/>
      <c r="P39" s="617"/>
      <c r="Q39" s="614"/>
      <c r="R39" s="614"/>
      <c r="S39" s="2276"/>
      <c r="T39" s="2276"/>
      <c r="U39" s="14"/>
      <c r="V39" s="614"/>
      <c r="W39" s="9"/>
      <c r="X39" s="9"/>
      <c r="Y39" s="2276"/>
      <c r="Z39" s="2277"/>
      <c r="AA39" s="14"/>
      <c r="AB39" s="619"/>
      <c r="AC39" s="22"/>
      <c r="AD39" s="1423"/>
      <c r="AE39" s="14"/>
      <c r="AF39" s="2278"/>
      <c r="AG39" s="9"/>
      <c r="AI39" s="1424"/>
      <c r="AJ39" s="7"/>
      <c r="AK39" s="2241"/>
      <c r="AL39" s="2241"/>
    </row>
    <row r="40" spans="1:38" ht="18" customHeight="1">
      <c r="A40" s="2252" t="s">
        <v>41</v>
      </c>
      <c r="B40" s="2295"/>
      <c r="C40" s="2252"/>
      <c r="D40" s="617">
        <v>0</v>
      </c>
      <c r="E40" s="9"/>
      <c r="F40" s="10">
        <v>0</v>
      </c>
      <c r="G40" s="9"/>
      <c r="H40" s="1419">
        <v>0</v>
      </c>
      <c r="I40" s="9"/>
      <c r="J40" s="10">
        <v>0</v>
      </c>
      <c r="K40" s="9"/>
      <c r="L40" s="614">
        <f>+'Exhibit H'!N55</f>
        <v>39.799999999999955</v>
      </c>
      <c r="M40" s="9"/>
      <c r="N40" s="9">
        <f>+'Exhibit H'!AA55</f>
        <v>1318.8</v>
      </c>
      <c r="O40" s="9" t="s">
        <v>15</v>
      </c>
      <c r="P40" s="617">
        <v>0</v>
      </c>
      <c r="Q40" s="614"/>
      <c r="R40" s="617">
        <v>0</v>
      </c>
      <c r="S40" s="2276"/>
      <c r="T40" s="2276"/>
      <c r="U40" s="14"/>
      <c r="V40" s="614">
        <f>ROUND(SUM(D40)+SUM(H40)+SUM(L40)+SUM(P40),1)</f>
        <v>39.799999999999997</v>
      </c>
      <c r="W40" s="9" t="s">
        <v>15</v>
      </c>
      <c r="X40" s="9">
        <f>ROUND(SUM(F40)+SUM(J40)+SUM(N40)+SUM(R40),1)</f>
        <v>1318.8</v>
      </c>
      <c r="Y40" s="2276"/>
      <c r="Z40" s="2277"/>
      <c r="AA40" s="14"/>
      <c r="AB40" s="2040">
        <v>48.5</v>
      </c>
      <c r="AC40" s="22"/>
      <c r="AD40" s="1423">
        <f>'Exhibit H'!AD55</f>
        <v>1025.0999999999999</v>
      </c>
      <c r="AE40" s="14"/>
      <c r="AF40" s="2278"/>
      <c r="AG40" s="9">
        <f>ROUND(SUM(X40-AD40),1)</f>
        <v>293.7</v>
      </c>
      <c r="AI40" s="1424">
        <f>ROUND(SUM((+X40-AD40)/ABS(AD40)),3)</f>
        <v>0.28699999999999998</v>
      </c>
      <c r="AJ40" s="2299"/>
      <c r="AK40" s="2241"/>
      <c r="AL40" s="2241"/>
    </row>
    <row r="41" spans="1:38" ht="18" customHeight="1">
      <c r="A41" s="2252" t="s">
        <v>42</v>
      </c>
      <c r="B41" s="2295" t="s">
        <v>948</v>
      </c>
      <c r="C41" s="2252"/>
      <c r="D41" s="1416">
        <v>0</v>
      </c>
      <c r="E41" s="9"/>
      <c r="F41" s="17">
        <v>0</v>
      </c>
      <c r="G41" s="9"/>
      <c r="H41" s="1419">
        <f>'Exhibit G'!P103</f>
        <v>0</v>
      </c>
      <c r="I41" s="9"/>
      <c r="J41" s="9">
        <f>+'Exhibit G'!AD103</f>
        <v>2.2999999999999998</v>
      </c>
      <c r="K41" s="9"/>
      <c r="L41" s="1416">
        <v>0</v>
      </c>
      <c r="M41" s="9"/>
      <c r="N41" s="17">
        <v>0</v>
      </c>
      <c r="O41" s="9"/>
      <c r="P41" s="1419">
        <f>'Exhibit I'!Q84</f>
        <v>533.60000000000025</v>
      </c>
      <c r="Q41" s="614"/>
      <c r="R41" s="618">
        <f>+'Exhibit I'!AF84</f>
        <v>4144.7</v>
      </c>
      <c r="S41" s="2276"/>
      <c r="T41" s="2276"/>
      <c r="U41" s="14"/>
      <c r="V41" s="614">
        <f>ROUND(SUM(D41)+SUM(H41)+SUM(L41)+SUM(P41),1)</f>
        <v>533.6</v>
      </c>
      <c r="W41" s="9" t="s">
        <v>15</v>
      </c>
      <c r="X41" s="9">
        <f>ROUND(SUM(F41)+SUM(J41)+SUM(N41)+SUM(R41),1)</f>
        <v>4147</v>
      </c>
      <c r="Y41" s="2276"/>
      <c r="Z41" s="2277"/>
      <c r="AA41" s="14"/>
      <c r="AB41" s="2040">
        <v>710.7</v>
      </c>
      <c r="AC41" s="22"/>
      <c r="AD41" s="1423">
        <f>'Exhibit G'!AG103+'Exhibit I'!AI84</f>
        <v>4143</v>
      </c>
      <c r="AE41" s="14"/>
      <c r="AF41" s="2278"/>
      <c r="AG41" s="9">
        <f>ROUND(SUM(X41-AD41),1)</f>
        <v>4</v>
      </c>
      <c r="AI41" s="1424">
        <f>ROUND(SUM((+X41-AD41)/ABS(AD41)),3)</f>
        <v>1E-3</v>
      </c>
      <c r="AJ41" s="2299"/>
      <c r="AK41" s="2241"/>
      <c r="AL41" s="2241"/>
    </row>
    <row r="42" spans="1:38" ht="18" customHeight="1">
      <c r="A42" s="2251" t="s">
        <v>43</v>
      </c>
      <c r="B42" s="2252"/>
      <c r="C42" s="2252"/>
      <c r="D42" s="12">
        <f>ROUND(SUM(D34:D41),1)</f>
        <v>3565.2</v>
      </c>
      <c r="E42" s="1362"/>
      <c r="F42" s="12">
        <f>ROUND(SUM(F34:F41),1)</f>
        <v>35250.400000000001</v>
      </c>
      <c r="G42" s="1362"/>
      <c r="H42" s="12">
        <f>ROUND(SUM(H34:H41),1)</f>
        <v>6660.9</v>
      </c>
      <c r="I42" s="1362"/>
      <c r="J42" s="12">
        <f>ROUND(SUM(J34:J41),1)</f>
        <v>55431.8</v>
      </c>
      <c r="K42" s="1362"/>
      <c r="L42" s="12">
        <f>ROUND(SUM(L34:L41),1)</f>
        <v>39.799999999999997</v>
      </c>
      <c r="M42" s="1362"/>
      <c r="N42" s="12">
        <f>ROUND(SUM(N34:N41),1)</f>
        <v>1348.4</v>
      </c>
      <c r="O42" s="1362"/>
      <c r="P42" s="12">
        <f>ROUND(SUM(P34:P41),1)</f>
        <v>1264.0999999999999</v>
      </c>
      <c r="Q42" s="1362"/>
      <c r="R42" s="12">
        <f>ROUND(SUM(R34:R41),1)</f>
        <v>6688</v>
      </c>
      <c r="S42" s="2282"/>
      <c r="T42" s="2282"/>
      <c r="U42" s="2283"/>
      <c r="V42" s="12">
        <f>ROUND(SUM(V34:V41),1)</f>
        <v>11530</v>
      </c>
      <c r="W42" s="1362"/>
      <c r="X42" s="12">
        <f>ROUND(SUM(X34:X41),1)</f>
        <v>98718.6</v>
      </c>
      <c r="Y42" s="2282"/>
      <c r="Z42" s="2284"/>
      <c r="AA42" s="2283"/>
      <c r="AB42" s="1557">
        <f>ROUND(SUM(AB34:AB41),1)</f>
        <v>13711.4</v>
      </c>
      <c r="AC42" s="23"/>
      <c r="AD42" s="1557">
        <f>ROUND(SUM(AD34:AD41),1)</f>
        <v>96770.1</v>
      </c>
      <c r="AE42" s="1476"/>
      <c r="AF42" s="2285"/>
      <c r="AG42" s="12">
        <f>ROUND(SUM(AG34:AG41),1)</f>
        <v>1948.5</v>
      </c>
      <c r="AH42" s="2286"/>
      <c r="AI42" s="1440">
        <f>ROUND(SUM((+X42-AD42)/ABS(AD42)),3)</f>
        <v>0.02</v>
      </c>
      <c r="AJ42" s="2253"/>
      <c r="AK42" s="2241"/>
      <c r="AL42" s="2241"/>
    </row>
    <row r="43" spans="1:38" ht="16.399999999999999" customHeight="1">
      <c r="A43" s="2251"/>
      <c r="B43" s="2252"/>
      <c r="C43" s="2252"/>
      <c r="D43" s="615"/>
      <c r="E43" s="9"/>
      <c r="F43" s="14"/>
      <c r="G43" s="9"/>
      <c r="H43" s="615"/>
      <c r="I43" s="9"/>
      <c r="J43" s="14"/>
      <c r="K43" s="9"/>
      <c r="L43" s="615"/>
      <c r="M43" s="9"/>
      <c r="N43" s="14"/>
      <c r="O43" s="9"/>
      <c r="P43" s="1422"/>
      <c r="Q43" s="614"/>
      <c r="R43" s="615"/>
      <c r="S43" s="2276"/>
      <c r="T43" s="2276"/>
      <c r="U43" s="14"/>
      <c r="V43" s="615"/>
      <c r="W43" s="9"/>
      <c r="X43" s="14"/>
      <c r="Y43" s="2276"/>
      <c r="Z43" s="2277"/>
      <c r="AA43" s="14"/>
      <c r="AB43" s="1418" t="s">
        <v>15</v>
      </c>
      <c r="AC43" s="22"/>
      <c r="AD43" s="1423"/>
      <c r="AE43" s="1423"/>
      <c r="AF43" s="2278"/>
      <c r="AG43" s="14"/>
      <c r="AI43" s="1427"/>
      <c r="AJ43" s="7"/>
      <c r="AK43" s="2241"/>
      <c r="AL43" s="2241"/>
    </row>
    <row r="44" spans="1:38" ht="16.399999999999999" customHeight="1">
      <c r="A44" s="2251" t="s">
        <v>44</v>
      </c>
      <c r="B44" s="2251"/>
      <c r="C44" s="2252"/>
      <c r="D44" s="614"/>
      <c r="E44" s="9"/>
      <c r="F44" s="9"/>
      <c r="G44" s="9"/>
      <c r="H44" s="614"/>
      <c r="I44" s="9"/>
      <c r="J44" s="9"/>
      <c r="K44" s="9"/>
      <c r="L44" s="614" t="s">
        <v>15</v>
      </c>
      <c r="M44" s="9"/>
      <c r="N44" s="9"/>
      <c r="O44" s="9"/>
      <c r="P44" s="1419"/>
      <c r="Q44" s="614"/>
      <c r="R44" s="614"/>
      <c r="S44" s="2276"/>
      <c r="T44" s="2276"/>
      <c r="U44" s="14"/>
      <c r="V44" s="614"/>
      <c r="W44" s="9"/>
      <c r="X44" s="9"/>
      <c r="Y44" s="2276"/>
      <c r="Z44" s="2277"/>
      <c r="AA44" s="14"/>
      <c r="AB44" s="619"/>
      <c r="AC44" s="22"/>
      <c r="AD44" s="1423"/>
      <c r="AE44" s="1423"/>
      <c r="AF44" s="2278"/>
      <c r="AG44" s="9"/>
      <c r="AI44" s="1427"/>
      <c r="AJ44" s="7"/>
      <c r="AK44" s="2241"/>
      <c r="AL44" s="2241"/>
    </row>
    <row r="45" spans="1:38" ht="16.399999999999999" customHeight="1">
      <c r="A45" s="2251" t="s">
        <v>45</v>
      </c>
      <c r="B45" s="2251"/>
      <c r="C45" s="2252"/>
      <c r="D45" s="19">
        <f>ROUND(SUM(D20-D42),1)</f>
        <v>-1304.4000000000001</v>
      </c>
      <c r="E45" s="1362"/>
      <c r="F45" s="19">
        <f>ROUND(SUM(F20-F42),1)</f>
        <v>-6899.1</v>
      </c>
      <c r="G45" s="1362"/>
      <c r="H45" s="19">
        <f>ROUND(SUM(H20-H42),1)</f>
        <v>2653.2</v>
      </c>
      <c r="I45" s="1362"/>
      <c r="J45" s="19">
        <f>ROUND(SUM(J20-J42),1)</f>
        <v>5422.4</v>
      </c>
      <c r="K45" s="1362"/>
      <c r="L45" s="19">
        <f>ROUND(SUM(L20-L42),1)</f>
        <v>1862.8</v>
      </c>
      <c r="M45" s="1362" t="s">
        <v>15</v>
      </c>
      <c r="N45" s="19">
        <f>ROUND(SUM(N20-N42),1)</f>
        <v>17674.599999999999</v>
      </c>
      <c r="O45" s="1362" t="s">
        <v>15</v>
      </c>
      <c r="P45" s="20">
        <f>ROUND(SUM(P20-P42),1)</f>
        <v>-13.4</v>
      </c>
      <c r="Q45" s="1362" t="s">
        <v>15</v>
      </c>
      <c r="R45" s="20">
        <f>ROUND(SUM(R20-R42),1)</f>
        <v>-1286.2</v>
      </c>
      <c r="S45" s="2282"/>
      <c r="T45" s="2282"/>
      <c r="U45" s="2283"/>
      <c r="V45" s="19">
        <f>ROUND(SUM(V20-V42),1)</f>
        <v>3198.2</v>
      </c>
      <c r="W45" s="1362" t="s">
        <v>15</v>
      </c>
      <c r="X45" s="19">
        <f>ROUND(SUM(X20-X42),1)</f>
        <v>14911.7</v>
      </c>
      <c r="Y45" s="2282"/>
      <c r="Z45" s="2284"/>
      <c r="AA45" s="2283"/>
      <c r="AB45" s="1651">
        <f>ROUND(SUM(AB20-AB42),1)</f>
        <v>33.4</v>
      </c>
      <c r="AC45" s="23"/>
      <c r="AD45" s="1651">
        <f>ROUND(SUM(AD20-AD42),1)</f>
        <v>4470.3</v>
      </c>
      <c r="AE45" s="1476"/>
      <c r="AF45" s="2285"/>
      <c r="AG45" s="19">
        <f>ROUND(SUM(X45-AD45),1)</f>
        <v>10441.4</v>
      </c>
      <c r="AH45" s="2300"/>
      <c r="AI45" s="1426">
        <f>ROUND(SUM((+X45-AD45)/ABS(AD45)),3)</f>
        <v>2.3359999999999999</v>
      </c>
      <c r="AJ45" s="2253"/>
      <c r="AK45" s="2241"/>
      <c r="AL45" s="2241"/>
    </row>
    <row r="46" spans="1:38" ht="16.399999999999999" customHeight="1">
      <c r="A46" s="2252"/>
      <c r="B46" s="2252"/>
      <c r="C46" s="2252"/>
      <c r="D46" s="615"/>
      <c r="E46" s="9"/>
      <c r="F46" s="14"/>
      <c r="G46" s="9"/>
      <c r="H46" s="1418"/>
      <c r="I46" s="9"/>
      <c r="J46" s="14"/>
      <c r="K46" s="9"/>
      <c r="L46" s="615"/>
      <c r="M46" s="9"/>
      <c r="N46" s="14"/>
      <c r="O46" s="9"/>
      <c r="P46" s="3610"/>
      <c r="Q46" s="614"/>
      <c r="R46" s="615"/>
      <c r="S46" s="2276"/>
      <c r="T46" s="2276"/>
      <c r="U46" s="14"/>
      <c r="V46" s="615"/>
      <c r="W46" s="9"/>
      <c r="X46" s="14"/>
      <c r="Y46" s="2276"/>
      <c r="Z46" s="2277"/>
      <c r="AA46" s="14"/>
      <c r="AB46" s="1418"/>
      <c r="AC46" s="22"/>
      <c r="AD46" s="1423"/>
      <c r="AE46" s="1423"/>
      <c r="AF46" s="2278"/>
      <c r="AG46" s="14"/>
      <c r="AI46" s="1427"/>
      <c r="AJ46" s="7"/>
      <c r="AK46" s="2241"/>
      <c r="AL46" s="2241"/>
    </row>
    <row r="47" spans="1:38" ht="16.399999999999999" customHeight="1">
      <c r="A47" s="2251" t="s">
        <v>46</v>
      </c>
      <c r="B47" s="2251"/>
      <c r="C47" s="2252"/>
      <c r="D47" s="614"/>
      <c r="E47" s="9"/>
      <c r="F47" s="22"/>
      <c r="G47" s="22"/>
      <c r="H47" s="619"/>
      <c r="I47" s="22"/>
      <c r="J47" s="22"/>
      <c r="K47" s="22"/>
      <c r="L47" s="619"/>
      <c r="M47" s="22"/>
      <c r="N47" s="22"/>
      <c r="O47" s="22"/>
      <c r="P47" s="3495"/>
      <c r="Q47" s="619"/>
      <c r="R47" s="1418"/>
      <c r="S47" s="2276"/>
      <c r="T47" s="2276"/>
      <c r="U47" s="14"/>
      <c r="V47" s="614"/>
      <c r="W47" s="9"/>
      <c r="X47" s="22"/>
      <c r="Y47" s="2276"/>
      <c r="Z47" s="2277"/>
      <c r="AA47" s="14"/>
      <c r="AB47" s="619"/>
      <c r="AC47" s="22"/>
      <c r="AD47" s="1423"/>
      <c r="AE47" s="1423"/>
      <c r="AF47" s="2278"/>
      <c r="AG47" s="9"/>
      <c r="AI47" s="1427"/>
      <c r="AJ47" s="7"/>
      <c r="AK47" s="2241"/>
      <c r="AL47" s="2241"/>
    </row>
    <row r="48" spans="1:38" ht="18" customHeight="1">
      <c r="A48" s="3695" t="s">
        <v>1484</v>
      </c>
      <c r="B48" s="2252"/>
      <c r="C48" s="2252"/>
      <c r="D48" s="1417">
        <v>0</v>
      </c>
      <c r="E48" s="9"/>
      <c r="F48" s="21">
        <v>0</v>
      </c>
      <c r="G48" s="22"/>
      <c r="H48" s="1417">
        <v>0</v>
      </c>
      <c r="I48" s="22"/>
      <c r="J48" s="21">
        <v>0</v>
      </c>
      <c r="K48" s="22"/>
      <c r="L48" s="1417">
        <v>0</v>
      </c>
      <c r="M48" s="1423"/>
      <c r="N48" s="21">
        <v>0</v>
      </c>
      <c r="O48" s="1423"/>
      <c r="P48" s="1417">
        <f>+'Exhibit I'!Q92</f>
        <v>0</v>
      </c>
      <c r="Q48" s="1418"/>
      <c r="R48" s="1417">
        <f>'Exhibit I'!AF92</f>
        <v>0</v>
      </c>
      <c r="S48" s="2276"/>
      <c r="T48" s="2276"/>
      <c r="U48" s="14"/>
      <c r="V48" s="614">
        <f>ROUND(SUM(D48)+SUM(H48)+SUM(L48)+SUM(P48),1)</f>
        <v>0</v>
      </c>
      <c r="W48" s="17"/>
      <c r="X48" s="9">
        <f>ROUND(SUM(F48)+SUM(J48)+SUM(N48)+SUM(R48),1)</f>
        <v>0</v>
      </c>
      <c r="Y48" s="2276"/>
      <c r="Z48" s="2277"/>
      <c r="AA48" s="14"/>
      <c r="AB48" s="2040">
        <v>0</v>
      </c>
      <c r="AC48" s="21"/>
      <c r="AD48" s="3878">
        <f>'Exhibit I'!AI92</f>
        <v>0</v>
      </c>
      <c r="AE48" s="17"/>
      <c r="AF48" s="2302"/>
      <c r="AG48" s="14">
        <f>X48-AD48</f>
        <v>0</v>
      </c>
      <c r="AH48" s="2303"/>
      <c r="AI48" s="1424">
        <f>ROUND(IF(AD48=0,0,AG48/ABS(AD48)),3)</f>
        <v>0</v>
      </c>
      <c r="AJ48" s="2304"/>
      <c r="AK48" s="2241"/>
      <c r="AL48" s="2241"/>
    </row>
    <row r="49" spans="1:40" ht="18" customHeight="1">
      <c r="A49" s="2301" t="s">
        <v>47</v>
      </c>
      <c r="B49" s="2305" t="s">
        <v>1244</v>
      </c>
      <c r="C49" s="2301"/>
      <c r="D49" s="619">
        <f>+'Exhibit F'!P123+'Exhibit F'!P124+'Exhibit F'!P125+'Exhibit F'!P126</f>
        <v>1212.8999999999996</v>
      </c>
      <c r="E49" s="9"/>
      <c r="F49" s="22">
        <f>+'Exhibit F'!AC123+'Exhibit F'!AC124+'Exhibit F'!AC125+'Exhibit F'!AC126</f>
        <v>15857.6</v>
      </c>
      <c r="G49" s="22"/>
      <c r="H49" s="619">
        <f>'Exhibit G'!P111-246.7</f>
        <v>259.19999999999987</v>
      </c>
      <c r="I49" s="22"/>
      <c r="J49" s="22">
        <f>+'Exhibit G'!AD111</f>
        <v>1630.8</v>
      </c>
      <c r="K49" s="1423"/>
      <c r="L49" s="1418">
        <f>+'Exhibit H'!N64</f>
        <v>319.10000000000008</v>
      </c>
      <c r="M49" s="1423"/>
      <c r="N49" s="22">
        <f>+'Exhibit H'!AA64</f>
        <v>1376.6000000000001</v>
      </c>
      <c r="O49" s="1423"/>
      <c r="P49" s="1417">
        <f>'Exhibit I'!Q93</f>
        <v>91.299999999999727</v>
      </c>
      <c r="Q49" s="1418"/>
      <c r="R49" s="1418">
        <f>+'Exhibit I'!AF93</f>
        <v>1184.5</v>
      </c>
      <c r="S49" s="2306"/>
      <c r="T49" s="2306"/>
      <c r="U49" s="1423"/>
      <c r="V49" s="614">
        <f>ROUND(SUM(D49)+SUM(H49)+SUM(L49)+SUM(P49),1)</f>
        <v>1882.5</v>
      </c>
      <c r="W49" s="22" t="s">
        <v>15</v>
      </c>
      <c r="X49" s="9">
        <f>ROUND(SUM(F49)+SUM(J49)+SUM(N49)+SUM(R49),1)</f>
        <v>20049.5</v>
      </c>
      <c r="Y49" s="2306"/>
      <c r="Z49" s="2307"/>
      <c r="AA49" s="1423"/>
      <c r="AB49" s="2040">
        <v>1641.4999999999998</v>
      </c>
      <c r="AC49" s="22"/>
      <c r="AD49" s="1423">
        <f>'Exhibit F'!AF123+'Exhibit F'!AF124+'Exhibit F'!AF125+'Exhibit F'!AF126+'Exhibit G'!AG111+'Exhibit H'!AD64+'Exhibit I'!AI93</f>
        <v>26288.100000000006</v>
      </c>
      <c r="AE49" s="1423"/>
      <c r="AF49" s="2278"/>
      <c r="AG49" s="14">
        <f>ROUND(SUM(X49-AD49),1)</f>
        <v>-6238.6</v>
      </c>
      <c r="AH49" s="2303"/>
      <c r="AI49" s="1424">
        <f>ROUND(SUM((+X49-AD49)/ABS(AD49)),3)</f>
        <v>-0.23699999999999999</v>
      </c>
      <c r="AJ49" s="7"/>
      <c r="AK49" s="2241"/>
      <c r="AL49" s="2241"/>
    </row>
    <row r="50" spans="1:40" ht="18" customHeight="1">
      <c r="A50" s="2301" t="s">
        <v>48</v>
      </c>
      <c r="B50" s="2305" t="s">
        <v>1244</v>
      </c>
      <c r="C50" s="2301"/>
      <c r="D50" s="1418">
        <f>+'Exhibit F'!P127+'Exhibit F'!P129+'Exhibit F'!P130+'Exhibit F'!P128</f>
        <v>-419.49999999999966</v>
      </c>
      <c r="E50" s="22"/>
      <c r="F50" s="22">
        <f>+'Exhibit F'!AC127+'Exhibit F'!AC129+'Exhibit F'!AC130+'Exhibit F'!AC128</f>
        <v>-2971.8999999999996</v>
      </c>
      <c r="G50" s="22"/>
      <c r="H50" s="619">
        <f>'Exhibit G'!P112+246.7</f>
        <v>-238.89999999999986</v>
      </c>
      <c r="I50" s="22"/>
      <c r="J50" s="22">
        <f>+'Exhibit G'!AD112</f>
        <v>-1181.5</v>
      </c>
      <c r="K50" s="22"/>
      <c r="L50" s="1418">
        <f>+'Exhibit H'!N65</f>
        <v>-1218.8999999999996</v>
      </c>
      <c r="M50" s="1423"/>
      <c r="N50" s="22">
        <f>+'Exhibit H'!AA65</f>
        <v>-15814.3</v>
      </c>
      <c r="O50" s="1423"/>
      <c r="P50" s="1417">
        <f>'Exhibit I'!Q94</f>
        <v>-12.100000000000051</v>
      </c>
      <c r="Q50" s="619"/>
      <c r="R50" s="1418">
        <f>+'Exhibit I'!AF94</f>
        <v>-286.5</v>
      </c>
      <c r="S50" s="2306"/>
      <c r="T50" s="2306"/>
      <c r="U50" s="1423"/>
      <c r="V50" s="614">
        <f>ROUND(SUM(D50)+SUM(H50)+SUM(L50)+SUM(P50),1)</f>
        <v>-1889.4</v>
      </c>
      <c r="W50" s="2308" t="s">
        <v>15</v>
      </c>
      <c r="X50" s="9">
        <f>ROUND(SUM(F50)+SUM(J50)+SUM(N50)+SUM(R50),1)</f>
        <v>-20254.2</v>
      </c>
      <c r="Y50" s="2306"/>
      <c r="Z50" s="2307"/>
      <c r="AA50" s="1423"/>
      <c r="AB50" s="2040">
        <v>-1645.1000000000001</v>
      </c>
      <c r="AC50" s="22"/>
      <c r="AD50" s="1423">
        <f>'Exhibit F'!AF127+'Exhibit F'!AF128+'Exhibit F'!AF129+'Exhibit F'!AF130+'Exhibit G'!AG112+'Exhibit H'!AD65+'Exhibit I'!AI94</f>
        <v>-26393.4</v>
      </c>
      <c r="AE50" s="1423"/>
      <c r="AF50" s="2278"/>
      <c r="AG50" s="2309">
        <f>ROUND(SUM(X50-AD50),1)*-1</f>
        <v>-6139.2</v>
      </c>
      <c r="AI50" s="1425">
        <f>-ROUND(SUM((+X50-AD50)/ABS(AD50)),3)</f>
        <v>-0.23300000000000001</v>
      </c>
      <c r="AJ50" s="7"/>
      <c r="AK50" s="2241"/>
      <c r="AL50" s="2241"/>
    </row>
    <row r="51" spans="1:40" ht="18" customHeight="1">
      <c r="A51" s="2251" t="s">
        <v>49</v>
      </c>
      <c r="B51" s="2251"/>
      <c r="C51" s="2252"/>
      <c r="D51" s="12">
        <f>ROUND(SUM(D48:D50),1)</f>
        <v>793.4</v>
      </c>
      <c r="E51" s="9"/>
      <c r="F51" s="1557">
        <f>ROUND(SUM(F48:F50),1)</f>
        <v>12885.7</v>
      </c>
      <c r="G51" s="23"/>
      <c r="H51" s="1557">
        <f>ROUND(SUM(H48:H50),1)</f>
        <v>20.3</v>
      </c>
      <c r="I51" s="23"/>
      <c r="J51" s="1557">
        <f>ROUND(SUM(J48:J50),1)</f>
        <v>449.3</v>
      </c>
      <c r="K51" s="23"/>
      <c r="L51" s="1557">
        <f>ROUND(SUM(L48:L50),1)</f>
        <v>-899.8</v>
      </c>
      <c r="M51" s="23"/>
      <c r="N51" s="1557">
        <f>ROUND(SUM(N48:N50),1)</f>
        <v>-14437.7</v>
      </c>
      <c r="O51" s="23"/>
      <c r="P51" s="1557">
        <f>ROUND(SUM(P48:P50),1)</f>
        <v>79.2</v>
      </c>
      <c r="Q51" s="23"/>
      <c r="R51" s="1557">
        <f>ROUND(SUM(R48:R50),1)</f>
        <v>898</v>
      </c>
      <c r="S51" s="2282"/>
      <c r="T51" s="2282"/>
      <c r="U51" s="2283"/>
      <c r="V51" s="1500">
        <f>ROUND(SUM(V48+V49+V50),1)</f>
        <v>-6.9</v>
      </c>
      <c r="W51" s="1362"/>
      <c r="X51" s="1500">
        <f>ROUND(SUM(+X48+X49+X50),1)</f>
        <v>-204.7</v>
      </c>
      <c r="Y51" s="2282"/>
      <c r="Z51" s="2284"/>
      <c r="AA51" s="2283"/>
      <c r="AB51" s="2310">
        <f>ROUND(SUM(+AB48+AB49+AB50),1)</f>
        <v>-3.6</v>
      </c>
      <c r="AC51" s="23"/>
      <c r="AD51" s="2310">
        <f>ROUND(SUM(+AD48+AD49+AD50),1)</f>
        <v>-105.3</v>
      </c>
      <c r="AE51" s="2311"/>
      <c r="AF51" s="2285"/>
      <c r="AG51" s="11">
        <f>ROUND(SUM(+AG49-AG50+AG48),1)</f>
        <v>-99.4</v>
      </c>
      <c r="AH51" s="2286"/>
      <c r="AI51" s="1426">
        <f>-ROUND(SUM(AG51/AD51),3)</f>
        <v>-0.94399999999999995</v>
      </c>
      <c r="AJ51" s="2253"/>
      <c r="AK51" s="2241"/>
      <c r="AL51" s="2241"/>
    </row>
    <row r="52" spans="1:40" ht="16.399999999999999" customHeight="1">
      <c r="A52" s="2252"/>
      <c r="B52" s="2252"/>
      <c r="C52" s="2252"/>
      <c r="D52" s="615"/>
      <c r="E52" s="9"/>
      <c r="F52" s="1423"/>
      <c r="G52" s="22"/>
      <c r="H52" s="1418"/>
      <c r="I52" s="22"/>
      <c r="J52" s="1423"/>
      <c r="K52" s="22"/>
      <c r="L52" s="1418" t="s">
        <v>15</v>
      </c>
      <c r="M52" s="22"/>
      <c r="N52" s="1423"/>
      <c r="O52" s="22"/>
      <c r="P52" s="1418"/>
      <c r="Q52" s="619"/>
      <c r="R52" s="1418"/>
      <c r="S52" s="2276"/>
      <c r="T52" s="2276"/>
      <c r="U52" s="14"/>
      <c r="V52" s="615"/>
      <c r="W52" s="9"/>
      <c r="X52" s="14"/>
      <c r="Y52" s="2276"/>
      <c r="Z52" s="2277"/>
      <c r="AA52" s="14"/>
      <c r="AB52" s="1418"/>
      <c r="AC52" s="22"/>
      <c r="AD52" s="1423"/>
      <c r="AE52" s="1423"/>
      <c r="AF52" s="2278"/>
      <c r="AG52" s="14"/>
      <c r="AI52" s="1427"/>
      <c r="AJ52" s="7"/>
      <c r="AK52" s="2241"/>
      <c r="AL52" s="2241"/>
    </row>
    <row r="53" spans="1:40" ht="18" customHeight="1">
      <c r="A53" s="2250" t="s">
        <v>44</v>
      </c>
      <c r="B53" s="2251"/>
      <c r="C53" s="2252"/>
      <c r="D53" s="614"/>
      <c r="E53" s="9"/>
      <c r="F53" s="9"/>
      <c r="G53" s="9"/>
      <c r="H53" s="614" t="s">
        <v>15</v>
      </c>
      <c r="I53" s="9"/>
      <c r="J53" s="9"/>
      <c r="K53" s="9"/>
      <c r="L53" s="614"/>
      <c r="M53" s="9"/>
      <c r="N53" s="9"/>
      <c r="O53" s="9"/>
      <c r="P53" s="614"/>
      <c r="Q53" s="614"/>
      <c r="R53" s="614"/>
      <c r="S53" s="2276"/>
      <c r="T53" s="2276"/>
      <c r="U53" s="14"/>
      <c r="V53" s="614"/>
      <c r="W53" s="9"/>
      <c r="X53" s="9"/>
      <c r="Y53" s="2276"/>
      <c r="Z53" s="2277"/>
      <c r="AA53" s="14"/>
      <c r="AB53" s="619"/>
      <c r="AC53" s="22"/>
      <c r="AD53" s="1423"/>
      <c r="AE53" s="1423"/>
      <c r="AF53" s="2278"/>
      <c r="AG53" s="9"/>
      <c r="AI53" s="1428"/>
      <c r="AJ53" s="7"/>
      <c r="AK53" s="2241"/>
      <c r="AL53" s="2241"/>
    </row>
    <row r="54" spans="1:40" ht="18" customHeight="1">
      <c r="A54" s="2250" t="s">
        <v>50</v>
      </c>
      <c r="B54" s="2250"/>
      <c r="C54" s="2301"/>
      <c r="D54" s="619"/>
      <c r="E54" s="22"/>
      <c r="F54" s="22"/>
      <c r="G54" s="22"/>
      <c r="H54" s="614"/>
      <c r="I54" s="9"/>
      <c r="J54" s="9"/>
      <c r="K54" s="9"/>
      <c r="L54" s="614"/>
      <c r="M54" s="9"/>
      <c r="N54" s="9"/>
      <c r="O54" s="9"/>
      <c r="P54" s="619"/>
      <c r="Q54" s="614"/>
      <c r="R54" s="614"/>
      <c r="S54" s="2276"/>
      <c r="T54" s="2276"/>
      <c r="U54" s="14"/>
      <c r="V54" s="614" t="s">
        <v>15</v>
      </c>
      <c r="W54" s="9"/>
      <c r="X54" s="9"/>
      <c r="Y54" s="2276"/>
      <c r="Z54" s="2277"/>
      <c r="AA54" s="14"/>
      <c r="AB54" s="619"/>
      <c r="AC54" s="22"/>
      <c r="AD54" s="1423"/>
      <c r="AE54" s="1423"/>
      <c r="AF54" s="2278"/>
      <c r="AG54" s="9"/>
      <c r="AI54" s="1427"/>
      <c r="AJ54" s="7"/>
      <c r="AK54" s="2241"/>
      <c r="AL54" s="2241"/>
    </row>
    <row r="55" spans="1:40" ht="18" customHeight="1">
      <c r="A55" s="2250" t="s">
        <v>51</v>
      </c>
      <c r="B55" s="2250"/>
      <c r="C55" s="2301"/>
      <c r="D55" s="23">
        <f>ROUND(SUM(D45+D51),1)</f>
        <v>-511</v>
      </c>
      <c r="E55" s="23"/>
      <c r="F55" s="23">
        <f>ROUND(SUM(F45)+SUM(F51),1)</f>
        <v>5986.6</v>
      </c>
      <c r="G55" s="23"/>
      <c r="H55" s="23">
        <f>ROUND(SUM(H45+H51),1)</f>
        <v>2673.5</v>
      </c>
      <c r="I55" s="23"/>
      <c r="J55" s="23">
        <f>ROUND(SUM(J45)+SUM(J51),1)</f>
        <v>5871.7</v>
      </c>
      <c r="K55" s="23"/>
      <c r="L55" s="23">
        <f>ROUND(SUM(L45+L51),1)</f>
        <v>963</v>
      </c>
      <c r="M55" s="23"/>
      <c r="N55" s="23">
        <f>ROUND(SUM(N45+N51),1)</f>
        <v>3236.9</v>
      </c>
      <c r="O55" s="23"/>
      <c r="P55" s="23">
        <f>ROUND(SUM(P45+P51),1)</f>
        <v>65.8</v>
      </c>
      <c r="Q55" s="23"/>
      <c r="R55" s="23">
        <f>ROUND(SUM(R45+R51),1)</f>
        <v>-388.2</v>
      </c>
      <c r="S55" s="2312"/>
      <c r="T55" s="2312"/>
      <c r="U55" s="1476"/>
      <c r="V55" s="23">
        <f>ROUND(SUM(V45)+SUM(V51),1)</f>
        <v>3191.3</v>
      </c>
      <c r="W55" s="23"/>
      <c r="X55" s="23">
        <f>ROUND(SUM(X45)+SUM(X51),1)</f>
        <v>14707</v>
      </c>
      <c r="Y55" s="2312"/>
      <c r="Z55" s="2313"/>
      <c r="AA55" s="1476"/>
      <c r="AB55" s="23">
        <f>ROUND(SUM(AB45)+SUM(AB51),1)</f>
        <v>29.8</v>
      </c>
      <c r="AC55" s="23"/>
      <c r="AD55" s="23">
        <f>ROUND(SUM(AD45)+SUM(AD51),1)</f>
        <v>4365</v>
      </c>
      <c r="AE55" s="1476"/>
      <c r="AF55" s="2285"/>
      <c r="AG55" s="2283">
        <f>ROUND(SUM(+AG45+AG51),1)</f>
        <v>10342</v>
      </c>
      <c r="AH55" s="2286"/>
      <c r="AI55" s="1488">
        <f>ROUND(SUM((+X55-AD55)/ABS(AD55)),3)</f>
        <v>2.3690000000000002</v>
      </c>
      <c r="AJ55" s="2314"/>
      <c r="AK55" s="2315"/>
      <c r="AL55" s="2241"/>
    </row>
    <row r="56" spans="1:40" ht="16.399999999999999" customHeight="1">
      <c r="A56" s="2251"/>
      <c r="B56" s="2250"/>
      <c r="C56" s="2301"/>
      <c r="D56" s="619"/>
      <c r="E56" s="22"/>
      <c r="F56" s="1423"/>
      <c r="G56" s="22"/>
      <c r="H56" s="619"/>
      <c r="I56" s="22"/>
      <c r="J56" s="22"/>
      <c r="K56" s="22"/>
      <c r="L56" s="619"/>
      <c r="M56" s="22"/>
      <c r="N56" s="22"/>
      <c r="O56" s="22"/>
      <c r="P56" s="1418"/>
      <c r="Q56" s="619"/>
      <c r="R56" s="619"/>
      <c r="S56" s="2306"/>
      <c r="T56" s="2306"/>
      <c r="U56" s="1423"/>
      <c r="V56" s="619"/>
      <c r="W56" s="22"/>
      <c r="X56" s="22"/>
      <c r="Y56" s="2306"/>
      <c r="Z56" s="2307"/>
      <c r="AA56" s="1423"/>
      <c r="AB56" s="619"/>
      <c r="AC56" s="22"/>
      <c r="AD56" s="1423"/>
      <c r="AE56" s="1423"/>
      <c r="AF56" s="2278"/>
      <c r="AG56" s="9"/>
      <c r="AI56" s="1427"/>
      <c r="AJ56" s="7"/>
      <c r="AK56" s="2241"/>
      <c r="AL56" s="2241"/>
    </row>
    <row r="57" spans="1:40" s="2236" customFormat="1" ht="18" customHeight="1">
      <c r="A57" s="2317" t="s">
        <v>52</v>
      </c>
      <c r="B57" s="3106"/>
      <c r="C57" s="2301"/>
      <c r="D57" s="1651">
        <f>+'Exhibit F'!P12</f>
        <v>15441.8</v>
      </c>
      <c r="E57" s="23"/>
      <c r="F57" s="1651">
        <f>'Exhibit F'!D12</f>
        <v>8944.2000000000007</v>
      </c>
      <c r="G57" s="23"/>
      <c r="H57" s="1651">
        <f>+'Exhibit G'!P13</f>
        <v>9510.2999999999993</v>
      </c>
      <c r="I57" s="23"/>
      <c r="J57" s="1651">
        <f>'Exhibit G'!D13</f>
        <v>6312.0999999999995</v>
      </c>
      <c r="K57" s="23"/>
      <c r="L57" s="1651">
        <f>'Exhibit H'!N12</f>
        <v>2337.3000000000002</v>
      </c>
      <c r="M57" s="23"/>
      <c r="N57" s="1651">
        <f>'Exhibit H'!B12</f>
        <v>63.4</v>
      </c>
      <c r="O57" s="1476"/>
      <c r="P57" s="1651">
        <f>+'Exhibit I'!Q15</f>
        <v>-1488.9</v>
      </c>
      <c r="Q57" s="1476"/>
      <c r="R57" s="1651">
        <f>'Exhibit I'!E15</f>
        <v>-1034.9000000000001</v>
      </c>
      <c r="S57" s="2312"/>
      <c r="T57" s="2312"/>
      <c r="U57" s="1476"/>
      <c r="V57" s="1651">
        <f>D57+H57+L57+P57</f>
        <v>25800.499999999996</v>
      </c>
      <c r="W57" s="23"/>
      <c r="X57" s="1651">
        <f>F57+J57+N57+R57</f>
        <v>14284.8</v>
      </c>
      <c r="Y57" s="2312"/>
      <c r="Z57" s="2313"/>
      <c r="AA57" s="1476"/>
      <c r="AB57" s="3699">
        <v>14310.2</v>
      </c>
      <c r="AC57" s="23"/>
      <c r="AD57" s="1651">
        <f>'Exhibit F'!AF12+'Exhibit G'!AG13+'Exhibit H'!AD12+'Exhibit I'!AI15</f>
        <v>9975</v>
      </c>
      <c r="AE57" s="1476"/>
      <c r="AF57" s="3082"/>
      <c r="AG57" s="1651">
        <f>ROUND(SUM(X57-AD57),1)</f>
        <v>4309.8</v>
      </c>
      <c r="AH57" s="3073"/>
      <c r="AI57" s="3083">
        <f>ROUND(SUM((+X57-AD57)/ABS(AD57)),3)</f>
        <v>0.432</v>
      </c>
      <c r="AJ57" s="2314"/>
      <c r="AK57" s="3080"/>
      <c r="AL57" s="3080"/>
    </row>
    <row r="58" spans="1:40" s="2236" customFormat="1" ht="16.399999999999999" customHeight="1">
      <c r="A58" s="2301"/>
      <c r="B58" s="2301"/>
      <c r="C58" s="2301"/>
      <c r="D58" s="1418"/>
      <c r="E58" s="22"/>
      <c r="F58" s="1423"/>
      <c r="G58" s="22"/>
      <c r="H58" s="1418"/>
      <c r="I58" s="22"/>
      <c r="J58" s="1423"/>
      <c r="K58" s="22"/>
      <c r="L58" s="1418"/>
      <c r="M58" s="22"/>
      <c r="N58" s="1423"/>
      <c r="O58" s="22"/>
      <c r="P58" s="1418"/>
      <c r="Q58" s="619"/>
      <c r="R58" s="1418"/>
      <c r="S58" s="2306"/>
      <c r="T58" s="2306"/>
      <c r="U58" s="1423"/>
      <c r="V58" s="1418"/>
      <c r="W58" s="22"/>
      <c r="X58" s="1423"/>
      <c r="Y58" s="2306"/>
      <c r="Z58" s="2307"/>
      <c r="AA58" s="1423"/>
      <c r="AB58" s="1418"/>
      <c r="AC58" s="22"/>
      <c r="AD58" s="1423"/>
      <c r="AE58" s="1423"/>
      <c r="AF58" s="3081"/>
      <c r="AG58" s="1423"/>
      <c r="AI58" s="3079"/>
      <c r="AJ58" s="2262"/>
      <c r="AK58" s="3080"/>
      <c r="AL58" s="3080"/>
    </row>
    <row r="59" spans="1:40" s="2236" customFormat="1" ht="18" customHeight="1" thickBot="1">
      <c r="A59" s="2317" t="s">
        <v>53</v>
      </c>
      <c r="B59" s="2318"/>
      <c r="C59" s="3071"/>
      <c r="D59" s="25">
        <f>ROUND(SUM(D55+D57),1)</f>
        <v>14930.8</v>
      </c>
      <c r="E59" s="2319"/>
      <c r="F59" s="25">
        <f>ROUND(SUM(F55+F57),1)</f>
        <v>14930.8</v>
      </c>
      <c r="G59" s="2319"/>
      <c r="H59" s="25">
        <f>ROUND(SUM(H55+H57),1)</f>
        <v>12183.8</v>
      </c>
      <c r="I59" s="2319"/>
      <c r="J59" s="25">
        <f>ROUND(SUM(J55)+SUM(J57),1)</f>
        <v>12183.8</v>
      </c>
      <c r="K59" s="2319"/>
      <c r="L59" s="25">
        <f>ROUND(SUM(L55+L57),1)</f>
        <v>3300.3</v>
      </c>
      <c r="M59" s="2319"/>
      <c r="N59" s="25">
        <f>ROUND(SUM(N55+N57),1)</f>
        <v>3300.3</v>
      </c>
      <c r="O59" s="2319"/>
      <c r="P59" s="25">
        <f>ROUND(SUM(P55+P57),1)</f>
        <v>-1423.1</v>
      </c>
      <c r="Q59" s="2319"/>
      <c r="R59" s="25">
        <f>ROUND(SUM(R55+R57),1)</f>
        <v>-1423.1</v>
      </c>
      <c r="S59" s="2320"/>
      <c r="T59" s="2320"/>
      <c r="U59" s="2321"/>
      <c r="V59" s="25">
        <f>ROUND(SUM(V55+V57),1)</f>
        <v>28991.8</v>
      </c>
      <c r="W59" s="2319"/>
      <c r="X59" s="25">
        <f>ROUND(SUM(X55+X57),1)</f>
        <v>28991.8</v>
      </c>
      <c r="Y59" s="2320"/>
      <c r="Z59" s="2322"/>
      <c r="AA59" s="2321"/>
      <c r="AB59" s="25">
        <f>ROUND(SUM(AB55+AB57),1)</f>
        <v>14340</v>
      </c>
      <c r="AC59" s="2319"/>
      <c r="AD59" s="25">
        <f>ROUND(SUM(AD55+AD57),1)</f>
        <v>14340</v>
      </c>
      <c r="AE59" s="2321"/>
      <c r="AF59" s="3072"/>
      <c r="AG59" s="25">
        <f>ROUND(SUM(AG55+AG57),1)</f>
        <v>14651.8</v>
      </c>
      <c r="AH59" s="3073"/>
      <c r="AI59" s="3074">
        <f>ROUND(SUM((+X59-AD59)/ABS(AD59)),3)</f>
        <v>1.022</v>
      </c>
      <c r="AJ59" s="2324"/>
      <c r="AK59" s="3075"/>
      <c r="AL59" s="3075"/>
      <c r="AM59" s="3076"/>
      <c r="AN59" s="3073"/>
    </row>
    <row r="60" spans="1:40" s="2236" customFormat="1" ht="16" thickTop="1">
      <c r="A60" s="3077"/>
      <c r="B60" s="3077"/>
      <c r="C60" s="3077"/>
      <c r="D60" s="2328"/>
      <c r="E60" s="2329"/>
      <c r="F60" s="2329"/>
      <c r="G60" s="2329"/>
      <c r="H60" s="2328"/>
      <c r="I60" s="2329"/>
      <c r="J60" s="2329"/>
      <c r="K60" s="2329"/>
      <c r="L60" s="2328"/>
      <c r="M60" s="2329"/>
      <c r="N60" s="2329"/>
      <c r="O60" s="2329"/>
      <c r="P60" s="2329"/>
      <c r="Q60" s="2329"/>
      <c r="R60" s="2329"/>
      <c r="S60" s="2329"/>
      <c r="T60" s="2329"/>
      <c r="U60" s="2329"/>
      <c r="V60" s="2328"/>
      <c r="W60" s="2329"/>
      <c r="X60" s="2329"/>
      <c r="Y60" s="2329"/>
      <c r="Z60" s="2329"/>
      <c r="AA60" s="2329"/>
      <c r="AB60" s="2328"/>
      <c r="AC60" s="3389"/>
      <c r="AD60" s="2329"/>
      <c r="AE60" s="2329"/>
      <c r="AF60" s="2329"/>
      <c r="AG60" s="2329"/>
      <c r="AI60" s="3078"/>
      <c r="AJ60" s="3079"/>
      <c r="AK60" s="3080"/>
      <c r="AL60" s="3080"/>
    </row>
    <row r="61" spans="1:40" ht="15.5">
      <c r="A61" s="2331"/>
      <c r="B61" s="3879"/>
      <c r="C61" s="3879"/>
      <c r="D61" s="2333"/>
      <c r="E61" s="2342"/>
      <c r="F61" s="2342"/>
      <c r="G61" s="2342"/>
      <c r="H61" s="2333"/>
      <c r="I61" s="2342"/>
      <c r="J61" s="2342"/>
      <c r="K61" s="2342"/>
      <c r="L61" s="2333"/>
      <c r="M61" s="2342"/>
      <c r="N61" s="2342"/>
      <c r="O61" s="2342"/>
      <c r="P61" s="3373" t="s">
        <v>15</v>
      </c>
      <c r="Q61" s="2342"/>
      <c r="R61" s="2342"/>
      <c r="S61" s="2342"/>
      <c r="T61" s="2342"/>
      <c r="U61" s="2342"/>
      <c r="V61" s="2333"/>
      <c r="W61" s="2342"/>
      <c r="X61" s="2342"/>
      <c r="Y61" s="2342"/>
      <c r="Z61" s="2342"/>
      <c r="AA61" s="2342"/>
      <c r="AB61" s="2333"/>
      <c r="AC61" s="2342"/>
      <c r="AI61" s="2330"/>
      <c r="AJ61" s="1427"/>
      <c r="AK61" s="2241"/>
      <c r="AL61" s="2241"/>
    </row>
    <row r="62" spans="1:40" ht="15.5">
      <c r="A62" s="2303"/>
      <c r="B62" s="2342"/>
      <c r="C62" s="2342"/>
      <c r="D62" s="2333"/>
      <c r="E62" s="2342"/>
      <c r="F62" s="2342"/>
      <c r="G62" s="2342"/>
      <c r="H62" s="2333"/>
      <c r="I62" s="2342"/>
      <c r="J62" s="2342"/>
      <c r="K62" s="2342"/>
      <c r="L62" s="2333"/>
      <c r="M62" s="2342"/>
      <c r="N62" s="2342" t="s">
        <v>15</v>
      </c>
      <c r="O62" s="2342"/>
      <c r="P62" s="2342" t="s">
        <v>15</v>
      </c>
      <c r="Q62" s="2342"/>
      <c r="R62" s="2342"/>
      <c r="S62" s="2342"/>
      <c r="T62" s="2342"/>
      <c r="U62" s="2342"/>
      <c r="V62" s="2333"/>
      <c r="W62" s="2342"/>
      <c r="X62" s="2342"/>
      <c r="Y62" s="2342"/>
      <c r="Z62" s="2342"/>
      <c r="AA62" s="2342"/>
      <c r="AB62" s="3430"/>
      <c r="AC62" s="2342"/>
      <c r="AD62" s="2334"/>
      <c r="AI62" s="2330"/>
      <c r="AJ62" s="1427"/>
      <c r="AK62" s="2241"/>
      <c r="AL62" s="2241"/>
    </row>
    <row r="63" spans="1:40" ht="15.5">
      <c r="A63" s="2303"/>
      <c r="B63" s="2342"/>
      <c r="C63" s="2342"/>
      <c r="D63" s="2333"/>
      <c r="E63" s="2342"/>
      <c r="F63" s="2342"/>
      <c r="G63" s="2342"/>
      <c r="H63" s="2333"/>
      <c r="I63" s="2342"/>
      <c r="J63" s="2342"/>
      <c r="K63" s="2342"/>
      <c r="L63" s="2333" t="s">
        <v>15</v>
      </c>
      <c r="M63" s="2342"/>
      <c r="N63" s="2342" t="s">
        <v>15</v>
      </c>
      <c r="O63" s="2342"/>
      <c r="P63" s="2342" t="s">
        <v>15</v>
      </c>
      <c r="Q63" s="2342"/>
      <c r="R63" s="2342"/>
      <c r="S63" s="2342"/>
      <c r="T63" s="2342"/>
      <c r="U63" s="2342"/>
      <c r="V63" s="2333"/>
      <c r="W63" s="2342"/>
      <c r="X63" s="2342"/>
      <c r="Y63" s="2342"/>
      <c r="Z63" s="2342"/>
      <c r="AA63" s="2342"/>
      <c r="AB63" s="3430"/>
      <c r="AC63" s="2342"/>
      <c r="AI63" s="2335"/>
      <c r="AJ63" s="1427"/>
      <c r="AK63" s="2241"/>
      <c r="AL63" s="2241"/>
    </row>
    <row r="64" spans="1:40" ht="15.5">
      <c r="A64" s="2336"/>
      <c r="B64" s="2342"/>
      <c r="C64" s="2342"/>
      <c r="D64" s="2333"/>
      <c r="E64" s="2342"/>
      <c r="F64" s="2342"/>
      <c r="G64" s="2342"/>
      <c r="H64" s="2333"/>
      <c r="I64" s="2342"/>
      <c r="J64" s="2342"/>
      <c r="K64" s="2342"/>
      <c r="L64" s="2333"/>
      <c r="M64" s="2342"/>
      <c r="N64" s="2342" t="s">
        <v>15</v>
      </c>
      <c r="O64" s="2342"/>
      <c r="P64" s="2342"/>
      <c r="Q64" s="2342"/>
      <c r="R64" s="2342"/>
      <c r="S64" s="2342"/>
      <c r="T64" s="2342"/>
      <c r="U64" s="2342"/>
      <c r="V64" s="2333"/>
      <c r="W64" s="2342"/>
      <c r="X64" s="2342"/>
      <c r="Y64" s="2342"/>
      <c r="Z64" s="2342"/>
      <c r="AA64" s="2342"/>
      <c r="AB64" s="2333"/>
      <c r="AC64" s="2342"/>
      <c r="AI64" s="2335"/>
      <c r="AJ64" s="2241"/>
      <c r="AK64" s="2241"/>
      <c r="AL64" s="2241"/>
    </row>
    <row r="65" spans="1:38" ht="15.5">
      <c r="A65" s="2336"/>
      <c r="B65" s="2342"/>
      <c r="C65" s="2342"/>
      <c r="D65" s="2333"/>
      <c r="E65" s="2342"/>
      <c r="F65" s="2342"/>
      <c r="G65" s="2342"/>
      <c r="H65" s="2333"/>
      <c r="I65" s="2342"/>
      <c r="J65" s="2342"/>
      <c r="K65" s="2342"/>
      <c r="L65" s="2333"/>
      <c r="M65" s="2342"/>
      <c r="N65" s="2342"/>
      <c r="O65" s="2342"/>
      <c r="P65" s="2342"/>
      <c r="Q65" s="2342"/>
      <c r="R65" s="2342"/>
      <c r="S65" s="2342"/>
      <c r="T65" s="2342"/>
      <c r="U65" s="2342"/>
      <c r="V65" s="2333"/>
      <c r="W65" s="2342"/>
      <c r="X65" s="2342"/>
      <c r="Y65" s="2342"/>
      <c r="Z65" s="2342"/>
      <c r="AA65" s="2342"/>
      <c r="AB65" s="3430"/>
      <c r="AC65" s="2342"/>
      <c r="AI65" s="2335"/>
      <c r="AJ65" s="2241" t="s">
        <v>15</v>
      </c>
      <c r="AK65" s="2241"/>
      <c r="AL65" s="2241"/>
    </row>
    <row r="66" spans="1:38" ht="15.5">
      <c r="A66" s="2337"/>
      <c r="B66" s="3880"/>
      <c r="C66" s="3373"/>
      <c r="D66" s="3881"/>
      <c r="E66" s="3882"/>
      <c r="F66" s="3882"/>
      <c r="G66" s="3882"/>
      <c r="H66" s="3881"/>
      <c r="I66" s="3882"/>
      <c r="J66" s="3882"/>
      <c r="K66" s="3882"/>
      <c r="L66" s="3881"/>
      <c r="M66" s="2342"/>
      <c r="N66" s="2342" t="s">
        <v>15</v>
      </c>
      <c r="O66" s="2342"/>
      <c r="P66" s="2342"/>
      <c r="Q66" s="2342"/>
      <c r="R66" s="2342"/>
      <c r="S66" s="2342"/>
      <c r="T66" s="2342"/>
      <c r="U66" s="2342"/>
      <c r="V66" s="2333"/>
      <c r="W66" s="2342"/>
      <c r="X66" s="2342"/>
      <c r="Y66" s="2342"/>
      <c r="Z66" s="2342"/>
      <c r="AA66" s="2342"/>
      <c r="AB66" s="2333"/>
      <c r="AC66" s="2342"/>
      <c r="AI66" s="2335"/>
      <c r="AJ66" s="2241"/>
      <c r="AK66" s="2241"/>
      <c r="AL66" s="2241"/>
    </row>
    <row r="67" spans="1:38" ht="15.5">
      <c r="A67" s="1427"/>
      <c r="B67" s="1427"/>
      <c r="C67" s="1427"/>
      <c r="D67" s="2341"/>
      <c r="E67" s="1427"/>
      <c r="F67" s="1427"/>
      <c r="G67" s="1427"/>
      <c r="H67" s="2341"/>
      <c r="I67" s="1427"/>
      <c r="J67" s="1427"/>
      <c r="K67" s="1427"/>
      <c r="L67" s="2341"/>
      <c r="M67" s="2303"/>
      <c r="N67" s="2303" t="s">
        <v>15</v>
      </c>
      <c r="O67" s="2303"/>
      <c r="P67" s="2303"/>
      <c r="Q67" s="2303"/>
      <c r="R67" s="2303"/>
      <c r="S67" s="2303"/>
      <c r="T67" s="2303"/>
      <c r="U67" s="2303"/>
      <c r="V67" s="2332"/>
      <c r="W67" s="2303"/>
      <c r="X67" s="2303"/>
      <c r="Y67" s="2303"/>
      <c r="Z67" s="2303"/>
      <c r="AA67" s="2303"/>
      <c r="AB67" s="2333"/>
      <c r="AC67" s="2342"/>
      <c r="AI67" s="2335"/>
      <c r="AJ67" s="2241"/>
      <c r="AK67" s="2241"/>
      <c r="AL67" s="2241"/>
    </row>
    <row r="68" spans="1:38" ht="15.5">
      <c r="A68" s="1427"/>
      <c r="B68" s="1427"/>
      <c r="C68" s="1427"/>
      <c r="D68" s="2341"/>
      <c r="E68" s="1427"/>
      <c r="F68" s="1427"/>
      <c r="G68" s="1427"/>
      <c r="H68" s="2341"/>
      <c r="I68" s="1427"/>
      <c r="J68" s="1427"/>
      <c r="K68" s="1427"/>
      <c r="L68" s="2341"/>
      <c r="M68" s="2303"/>
      <c r="N68" s="2303" t="s">
        <v>15</v>
      </c>
      <c r="O68" s="2303"/>
      <c r="P68" s="2303"/>
      <c r="Q68" s="2303"/>
      <c r="R68" s="2303"/>
      <c r="S68" s="2303"/>
      <c r="T68" s="2303"/>
      <c r="U68" s="2303"/>
      <c r="V68" s="2332"/>
      <c r="W68" s="2303"/>
      <c r="X68" s="2303"/>
      <c r="Y68" s="2303"/>
      <c r="Z68" s="2303"/>
      <c r="AA68" s="2303"/>
      <c r="AB68" s="2333"/>
      <c r="AC68" s="2342"/>
      <c r="AI68" s="2335"/>
      <c r="AJ68" s="2241"/>
      <c r="AK68" s="2241"/>
      <c r="AL68" s="2241"/>
    </row>
    <row r="69" spans="1:38" ht="15.5">
      <c r="A69" s="1427"/>
      <c r="B69" s="1427"/>
      <c r="C69" s="1427"/>
      <c r="D69" s="2341"/>
      <c r="E69" s="1427"/>
      <c r="F69" s="1427"/>
      <c r="G69" s="1427"/>
      <c r="H69" s="2341"/>
      <c r="I69" s="1427"/>
      <c r="J69" s="1427"/>
      <c r="K69" s="1427"/>
      <c r="L69" s="2341"/>
      <c r="M69" s="2303"/>
      <c r="N69" s="2303"/>
      <c r="O69" s="2303"/>
      <c r="P69" s="2303"/>
      <c r="Q69" s="2303"/>
      <c r="R69" s="2303"/>
      <c r="S69" s="2303"/>
      <c r="T69" s="2303"/>
      <c r="U69" s="2303"/>
      <c r="V69" s="2332"/>
      <c r="W69" s="2303"/>
      <c r="X69" s="2303"/>
      <c r="Y69" s="2303"/>
      <c r="Z69" s="2303"/>
      <c r="AA69" s="2303"/>
      <c r="AB69" s="2333"/>
      <c r="AI69" s="2335"/>
      <c r="AJ69" s="2241"/>
      <c r="AK69" s="2241"/>
      <c r="AL69" s="2241"/>
    </row>
    <row r="70" spans="1:38" ht="15.5">
      <c r="AI70" s="2335"/>
      <c r="AJ70" s="2241"/>
      <c r="AK70" s="2241"/>
      <c r="AL70" s="2241"/>
    </row>
    <row r="71" spans="1:38" ht="15.5">
      <c r="AI71" s="2335"/>
      <c r="AJ71" s="2241"/>
      <c r="AK71" s="2241"/>
      <c r="AL71" s="2241"/>
    </row>
    <row r="72" spans="1:38" ht="15.5">
      <c r="AI72" s="2335"/>
      <c r="AJ72" s="2241"/>
      <c r="AK72" s="2241"/>
      <c r="AL72" s="2241"/>
    </row>
    <row r="73" spans="1:38" ht="15.5">
      <c r="AI73" s="2335"/>
      <c r="AJ73" s="2241"/>
      <c r="AK73" s="2241"/>
      <c r="AL73" s="2241"/>
    </row>
    <row r="74" spans="1:38" ht="15.5">
      <c r="AI74" s="2335"/>
      <c r="AJ74" s="2241"/>
      <c r="AK74" s="2241"/>
      <c r="AL74" s="2241"/>
    </row>
    <row r="75" spans="1:38" ht="15.5">
      <c r="AI75" s="2335"/>
      <c r="AJ75" s="2241"/>
      <c r="AK75" s="2241"/>
      <c r="AL75" s="2241"/>
    </row>
    <row r="76" spans="1:38" ht="15.5">
      <c r="AI76" s="2335"/>
      <c r="AJ76" s="2241"/>
      <c r="AK76" s="2241"/>
      <c r="AL76" s="2241"/>
    </row>
    <row r="77" spans="1:38" ht="15.5">
      <c r="AI77" s="2335"/>
      <c r="AJ77" s="2241"/>
      <c r="AK77" s="2241"/>
      <c r="AL77" s="2241"/>
    </row>
    <row r="78" spans="1:38" ht="15.5">
      <c r="AI78" s="2335"/>
      <c r="AJ78" s="2241"/>
      <c r="AK78" s="2241"/>
      <c r="AL78" s="2241"/>
    </row>
    <row r="79" spans="1:38" ht="15.5">
      <c r="AI79" s="2335"/>
      <c r="AJ79" s="2241"/>
      <c r="AK79" s="2241"/>
      <c r="AL79" s="2241"/>
    </row>
    <row r="80" spans="1:38" ht="15.5">
      <c r="AI80" s="2335"/>
      <c r="AJ80" s="2241"/>
      <c r="AK80" s="2241"/>
      <c r="AL80" s="2241"/>
    </row>
    <row r="81" spans="35:38" ht="15.5">
      <c r="AI81" s="2335"/>
      <c r="AJ81" s="2241"/>
      <c r="AK81" s="2241"/>
      <c r="AL81" s="2241"/>
    </row>
    <row r="82" spans="35:38" ht="15.5">
      <c r="AI82" s="2335"/>
      <c r="AJ82" s="2241"/>
      <c r="AK82" s="2241"/>
      <c r="AL82" s="2241"/>
    </row>
    <row r="83" spans="35:38" ht="15.5">
      <c r="AI83" s="2335"/>
      <c r="AJ83" s="2241"/>
      <c r="AK83" s="2241"/>
      <c r="AL83" s="2241"/>
    </row>
    <row r="84" spans="35:38" ht="15.5">
      <c r="AI84" s="2335"/>
      <c r="AJ84" s="2241"/>
      <c r="AK84" s="2241"/>
      <c r="AL84" s="2241"/>
    </row>
    <row r="85" spans="35:38" ht="15.5">
      <c r="AI85" s="2335"/>
      <c r="AJ85" s="2241"/>
      <c r="AK85" s="2241"/>
      <c r="AL85" s="2241"/>
    </row>
    <row r="86" spans="35:38" ht="15.5">
      <c r="AI86" s="2335"/>
      <c r="AJ86" s="2241"/>
      <c r="AK86" s="2241"/>
      <c r="AL86" s="2241"/>
    </row>
    <row r="87" spans="35:38" ht="15.5">
      <c r="AI87" s="2335"/>
      <c r="AJ87" s="2241"/>
      <c r="AK87" s="2241"/>
      <c r="AL87" s="2241"/>
    </row>
    <row r="88" spans="35:38" ht="15.5">
      <c r="AI88" s="2335"/>
      <c r="AJ88" s="2241"/>
      <c r="AK88" s="2241"/>
      <c r="AL88" s="2241"/>
    </row>
    <row r="89" spans="35:38" ht="15.5">
      <c r="AI89" s="2335"/>
      <c r="AJ89" s="2241"/>
      <c r="AK89" s="2241"/>
      <c r="AL89" s="2241"/>
    </row>
    <row r="90" spans="35:38" ht="15.5">
      <c r="AI90" s="2335"/>
      <c r="AJ90" s="2241"/>
      <c r="AK90" s="2241"/>
      <c r="AL90" s="2241"/>
    </row>
    <row r="91" spans="35:38" ht="15.5">
      <c r="AI91" s="2335"/>
      <c r="AJ91" s="2241"/>
      <c r="AK91" s="2241"/>
      <c r="AL91" s="2241"/>
    </row>
    <row r="92" spans="35:38" ht="15.5">
      <c r="AI92" s="2335"/>
      <c r="AJ92" s="2241"/>
      <c r="AK92" s="2241"/>
      <c r="AL92" s="2241"/>
    </row>
    <row r="93" spans="35:38" ht="15.5">
      <c r="AI93" s="2335"/>
      <c r="AJ93" s="2241"/>
      <c r="AK93" s="2241"/>
      <c r="AL93" s="2241"/>
    </row>
    <row r="94" spans="35:38" ht="15.5">
      <c r="AI94" s="2335"/>
      <c r="AJ94" s="2241"/>
      <c r="AK94" s="2241"/>
      <c r="AL94" s="2241"/>
    </row>
    <row r="95" spans="35:38" ht="15.5">
      <c r="AI95" s="2335"/>
      <c r="AJ95" s="2241"/>
      <c r="AK95" s="2241"/>
      <c r="AL95" s="2241"/>
    </row>
    <row r="96" spans="35:38" ht="15.5">
      <c r="AI96" s="2335"/>
      <c r="AJ96" s="2241"/>
      <c r="AK96" s="2241"/>
      <c r="AL96" s="2241"/>
    </row>
    <row r="97" spans="35:38" ht="15.5">
      <c r="AI97" s="2335"/>
      <c r="AJ97" s="2241"/>
      <c r="AK97" s="2241"/>
      <c r="AL97" s="2241"/>
    </row>
    <row r="98" spans="35:38" ht="15.5">
      <c r="AI98" s="2335"/>
      <c r="AJ98" s="2241"/>
      <c r="AK98" s="2241"/>
      <c r="AL98" s="2241"/>
    </row>
    <row r="99" spans="35:38" ht="15.5">
      <c r="AI99" s="2335"/>
      <c r="AJ99" s="2241"/>
      <c r="AK99" s="2241"/>
      <c r="AL99" s="2241"/>
    </row>
    <row r="100" spans="35:38" ht="15.5">
      <c r="AI100" s="2335"/>
      <c r="AJ100" s="2241"/>
      <c r="AK100" s="2241"/>
      <c r="AL100" s="2241"/>
    </row>
    <row r="101" spans="35:38" ht="15.5">
      <c r="AI101" s="2335"/>
      <c r="AJ101" s="2241"/>
      <c r="AK101" s="2241"/>
      <c r="AL101" s="2241"/>
    </row>
    <row r="102" spans="35:38" ht="15.5">
      <c r="AI102" s="2335"/>
      <c r="AJ102" s="2241"/>
      <c r="AK102" s="2241"/>
      <c r="AL102" s="2241"/>
    </row>
    <row r="103" spans="35:38" ht="15.5">
      <c r="AI103" s="2335"/>
      <c r="AJ103" s="2241"/>
      <c r="AK103" s="2241"/>
      <c r="AL103" s="2241"/>
    </row>
    <row r="104" spans="35:38" ht="15.5">
      <c r="AI104" s="2335"/>
      <c r="AJ104" s="2241"/>
      <c r="AK104" s="2241"/>
      <c r="AL104" s="2241"/>
    </row>
    <row r="105" spans="35:38" ht="15.5">
      <c r="AI105" s="2335"/>
      <c r="AJ105" s="2241"/>
      <c r="AK105" s="2241"/>
      <c r="AL105" s="2241"/>
    </row>
    <row r="106" spans="35:38" ht="15.5">
      <c r="AI106" s="2335"/>
      <c r="AJ106" s="2241"/>
      <c r="AK106" s="2241"/>
      <c r="AL106" s="2241"/>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A59 S55:U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AC59:AH59 W55:AH55"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69140625" defaultRowHeight="12.5"/>
  <cols>
    <col min="1" max="1" width="1.69140625" style="244" customWidth="1"/>
    <col min="2" max="2" width="40.69140625" style="244" customWidth="1"/>
    <col min="3" max="3" width="1.69140625" style="244" customWidth="1"/>
    <col min="4" max="4" width="12.07421875" style="244" customWidth="1"/>
    <col min="5" max="5" width="1.69140625" style="244" customWidth="1"/>
    <col min="6" max="6" width="12" style="244" customWidth="1"/>
    <col min="7" max="7" width="1.69140625" style="244" customWidth="1"/>
    <col min="8" max="8" width="13.07421875" style="244" customWidth="1"/>
    <col min="9" max="9" width="1.69140625" style="244" customWidth="1"/>
    <col min="10" max="10" width="13.07421875" style="244" customWidth="1"/>
    <col min="11" max="11" width="1.69140625" style="244" customWidth="1"/>
    <col min="12" max="12" width="13.07421875" style="244" customWidth="1"/>
    <col min="13" max="13" width="1.69140625" style="244" customWidth="1"/>
    <col min="14" max="14" width="14" style="244" customWidth="1"/>
    <col min="15" max="15" width="1.69140625" style="244" customWidth="1"/>
    <col min="16" max="16" width="11.69140625" style="244" customWidth="1"/>
    <col min="17" max="17" width="1.69140625" style="244" customWidth="1"/>
    <col min="18" max="18" width="11.53515625" style="244" customWidth="1"/>
    <col min="19" max="19" width="1.69140625" style="244" customWidth="1"/>
    <col min="20" max="20" width="12.07421875" style="244" customWidth="1"/>
    <col min="21" max="21" width="1.69140625" style="244" customWidth="1"/>
    <col min="22" max="22" width="13" style="244" customWidth="1"/>
    <col min="23" max="23" width="1.69140625" style="244" customWidth="1"/>
    <col min="24" max="24" width="12.07421875" style="244" customWidth="1"/>
    <col min="25" max="25" width="1.69140625" style="244" customWidth="1"/>
    <col min="26" max="26" width="10.69140625" style="244" bestFit="1" customWidth="1"/>
    <col min="27" max="27" width="1.07421875" style="244" customWidth="1"/>
    <col min="28" max="29" width="1.69140625" style="244" customWidth="1"/>
    <col min="30" max="30" width="11.69140625" style="885" customWidth="1"/>
    <col min="31" max="32" width="1.4609375" style="885" customWidth="1"/>
    <col min="33" max="33" width="12.69140625" style="885" bestFit="1" customWidth="1"/>
    <col min="34" max="34" width="1.53515625" style="244" customWidth="1"/>
    <col min="35" max="35" width="0.69140625" style="244" customWidth="1"/>
    <col min="36" max="36" width="14.69140625" style="244" customWidth="1"/>
    <col min="37" max="37" width="0.69140625" style="244" customWidth="1"/>
    <col min="38" max="38" width="12.07421875" style="244" customWidth="1"/>
    <col min="39" max="16384" width="8.69140625" style="244"/>
  </cols>
  <sheetData>
    <row r="1" spans="1:40" ht="15.5">
      <c r="B1" s="642" t="s">
        <v>963</v>
      </c>
    </row>
    <row r="2" spans="1:40" ht="15.5">
      <c r="A2" s="243"/>
      <c r="M2" s="29"/>
      <c r="N2" s="29"/>
      <c r="O2" s="262"/>
    </row>
    <row r="3" spans="1:40" ht="20.25" customHeight="1">
      <c r="A3" s="243"/>
      <c r="B3" s="246" t="s">
        <v>0</v>
      </c>
      <c r="M3" s="29"/>
      <c r="N3" s="29"/>
      <c r="O3" s="262"/>
      <c r="AF3" s="3451"/>
      <c r="AG3" s="3452"/>
      <c r="AH3" s="285"/>
      <c r="AI3" s="285"/>
      <c r="AJ3" s="285"/>
      <c r="AK3" s="285"/>
      <c r="AL3" s="387" t="s">
        <v>168</v>
      </c>
    </row>
    <row r="4" spans="1:40" ht="18">
      <c r="A4" s="243"/>
      <c r="B4" s="246" t="s">
        <v>175</v>
      </c>
      <c r="L4" s="29"/>
      <c r="M4" s="29"/>
      <c r="O4" s="262"/>
    </row>
    <row r="5" spans="1:40" ht="18">
      <c r="A5" s="243"/>
      <c r="B5" s="317" t="s">
        <v>148</v>
      </c>
      <c r="L5" s="262"/>
      <c r="M5" s="262"/>
      <c r="O5" s="262"/>
      <c r="X5" s="286"/>
    </row>
    <row r="6" spans="1:40" ht="20">
      <c r="A6" s="243"/>
      <c r="B6" s="1532" t="str">
        <f>'Cashflow Governmental'!A6</f>
        <v xml:space="preserve">FISCAL YEAR 2020-2021   </v>
      </c>
      <c r="L6" s="262"/>
      <c r="M6" s="262"/>
      <c r="O6" s="262"/>
      <c r="AL6" s="266"/>
    </row>
    <row r="7" spans="1:40" ht="18">
      <c r="A7" s="243"/>
      <c r="B7" s="246" t="s">
        <v>1368</v>
      </c>
      <c r="AI7" s="147"/>
      <c r="AJ7" s="147"/>
      <c r="AK7" s="147"/>
      <c r="AL7" s="147"/>
    </row>
    <row r="8" spans="1:40" ht="13.5" customHeight="1">
      <c r="A8" s="243"/>
      <c r="D8" s="2139"/>
      <c r="L8" s="262"/>
      <c r="M8" s="262"/>
      <c r="N8" s="262"/>
      <c r="O8" s="262"/>
      <c r="AC8" s="147"/>
      <c r="AD8" s="3161"/>
      <c r="AE8" s="3161"/>
      <c r="AF8" s="1068"/>
      <c r="AG8" s="1068"/>
      <c r="AH8" s="147"/>
      <c r="AI8" s="262"/>
      <c r="AJ8" s="262"/>
      <c r="AK8" s="262"/>
      <c r="AL8" s="262"/>
    </row>
    <row r="9" spans="1:40" ht="20.25" customHeight="1">
      <c r="A9" s="243"/>
      <c r="L9" s="262"/>
      <c r="M9" s="262"/>
      <c r="N9" s="262"/>
      <c r="O9" s="262"/>
      <c r="AC9" s="3933" t="str">
        <f>'Exhibit G'!AC9:AL9</f>
        <v>7 Months Ended October 31</v>
      </c>
      <c r="AD9" s="3933"/>
      <c r="AE9" s="3933"/>
      <c r="AF9" s="3933"/>
      <c r="AG9" s="3933"/>
      <c r="AH9" s="3933"/>
      <c r="AI9" s="3933"/>
      <c r="AJ9" s="3933"/>
      <c r="AK9" s="3933"/>
      <c r="AL9" s="3933"/>
    </row>
    <row r="10" spans="1:40" ht="15.5">
      <c r="A10" s="243"/>
      <c r="B10" s="30"/>
      <c r="C10" s="30"/>
      <c r="D10" s="744" t="str">
        <f>'Cashflow Governmental'!C13</f>
        <v>2020</v>
      </c>
      <c r="E10" s="29"/>
      <c r="F10" s="29"/>
      <c r="G10" s="29"/>
      <c r="H10" s="29"/>
      <c r="I10" s="29"/>
      <c r="J10" s="29"/>
      <c r="K10" s="29"/>
      <c r="L10" s="29"/>
      <c r="M10" s="29"/>
      <c r="N10" s="29"/>
      <c r="O10" s="29"/>
      <c r="P10" s="29"/>
      <c r="Q10" s="29"/>
      <c r="R10" s="29"/>
      <c r="S10" s="29"/>
      <c r="T10" s="29"/>
      <c r="U10" s="29"/>
      <c r="V10" s="744" t="str">
        <f>'Cashflow Governmental'!U13</f>
        <v>2021</v>
      </c>
      <c r="W10" s="29"/>
      <c r="X10" s="29"/>
      <c r="Y10" s="29"/>
      <c r="Z10" s="29"/>
      <c r="AA10" s="29"/>
      <c r="AB10" s="29"/>
      <c r="AC10" s="29"/>
      <c r="AD10" s="3162"/>
      <c r="AE10" s="3162"/>
      <c r="AF10" s="3162"/>
      <c r="AG10" s="3162"/>
      <c r="AH10" s="207"/>
      <c r="AI10" s="206"/>
      <c r="AJ10" s="748" t="s">
        <v>8</v>
      </c>
      <c r="AK10" s="748"/>
      <c r="AL10" s="748" t="s">
        <v>9</v>
      </c>
      <c r="AM10" s="751"/>
      <c r="AN10" s="751"/>
    </row>
    <row r="11" spans="1:40" ht="15.5">
      <c r="A11" s="243"/>
      <c r="B11" s="30"/>
      <c r="C11" s="30"/>
      <c r="D11" s="1055" t="s">
        <v>124</v>
      </c>
      <c r="E11" s="29"/>
      <c r="F11" s="1055" t="s">
        <v>125</v>
      </c>
      <c r="G11" s="29"/>
      <c r="H11" s="1055" t="s">
        <v>126</v>
      </c>
      <c r="I11" s="29"/>
      <c r="J11" s="1055" t="s">
        <v>127</v>
      </c>
      <c r="K11" s="29"/>
      <c r="L11" s="1055" t="s">
        <v>128</v>
      </c>
      <c r="M11" s="29"/>
      <c r="N11" s="1055" t="s">
        <v>143</v>
      </c>
      <c r="O11" s="29"/>
      <c r="P11" s="1055" t="s">
        <v>144</v>
      </c>
      <c r="Q11" s="29"/>
      <c r="R11" s="1055" t="s">
        <v>131</v>
      </c>
      <c r="S11" s="29"/>
      <c r="T11" s="1055" t="s">
        <v>132</v>
      </c>
      <c r="U11" s="29"/>
      <c r="V11" s="1055" t="s">
        <v>133</v>
      </c>
      <c r="W11" s="29"/>
      <c r="X11" s="1055" t="s">
        <v>134</v>
      </c>
      <c r="Y11" s="29"/>
      <c r="Z11" s="1055" t="s">
        <v>185</v>
      </c>
      <c r="AA11" s="752"/>
      <c r="AB11" s="29"/>
      <c r="AC11" s="29"/>
      <c r="AD11" s="3163">
        <f>'Cashflow Governmental'!AB14</f>
        <v>2020</v>
      </c>
      <c r="AE11" s="739"/>
      <c r="AF11" s="738" t="s">
        <v>15</v>
      </c>
      <c r="AG11" s="3163">
        <f>'Cashflow Governmental'!AE14</f>
        <v>2019</v>
      </c>
      <c r="AH11" s="734"/>
      <c r="AI11" s="206"/>
      <c r="AJ11" s="1061" t="s">
        <v>12</v>
      </c>
      <c r="AK11" s="747"/>
      <c r="AL11" s="1061" t="s">
        <v>13</v>
      </c>
      <c r="AM11" s="751"/>
      <c r="AN11" s="751"/>
    </row>
    <row r="12" spans="1:40" ht="5.25" customHeight="1">
      <c r="A12" s="243"/>
      <c r="B12" s="30"/>
      <c r="C12" s="30"/>
      <c r="D12" s="752"/>
      <c r="E12" s="29"/>
      <c r="F12" s="752"/>
      <c r="G12" s="29"/>
      <c r="H12" s="752"/>
      <c r="I12" s="29"/>
      <c r="J12" s="752"/>
      <c r="K12" s="29"/>
      <c r="L12" s="752"/>
      <c r="M12" s="29"/>
      <c r="N12" s="752"/>
      <c r="O12" s="29"/>
      <c r="P12" s="752"/>
      <c r="Q12" s="29"/>
      <c r="R12" s="752"/>
      <c r="S12" s="29"/>
      <c r="T12" s="752"/>
      <c r="U12" s="29"/>
      <c r="V12" s="752"/>
      <c r="W12" s="29"/>
      <c r="X12" s="752"/>
      <c r="Y12" s="29"/>
      <c r="Z12" s="752"/>
      <c r="AA12" s="752"/>
      <c r="AB12" s="29"/>
      <c r="AC12" s="29"/>
      <c r="AD12" s="3164"/>
      <c r="AE12" s="739"/>
      <c r="AF12" s="738"/>
      <c r="AG12" s="3164"/>
      <c r="AH12" s="734"/>
      <c r="AI12" s="206"/>
      <c r="AJ12" s="747"/>
      <c r="AK12" s="747"/>
      <c r="AL12" s="747"/>
      <c r="AM12" s="751"/>
      <c r="AN12" s="751"/>
    </row>
    <row r="13" spans="1:40" s="1060" customFormat="1" ht="15.5">
      <c r="A13" s="1058"/>
      <c r="B13" s="1850" t="s">
        <v>1254</v>
      </c>
      <c r="C13" s="37"/>
      <c r="D13" s="303">
        <v>5400.7</v>
      </c>
      <c r="E13" s="251"/>
      <c r="F13" s="1853">
        <f>D120</f>
        <v>5696.2</v>
      </c>
      <c r="G13" s="251"/>
      <c r="H13" s="1853">
        <f>F120</f>
        <v>5710.4</v>
      </c>
      <c r="I13" s="251"/>
      <c r="J13" s="1853">
        <f>H120</f>
        <v>7246.4</v>
      </c>
      <c r="K13" s="251"/>
      <c r="L13" s="1853">
        <f>J120</f>
        <v>6679.9</v>
      </c>
      <c r="M13" s="251"/>
      <c r="N13" s="1853">
        <f>L120</f>
        <v>6748.8</v>
      </c>
      <c r="O13" s="251"/>
      <c r="P13" s="1853">
        <f>N120</f>
        <v>4803.8999999999996</v>
      </c>
      <c r="Q13" s="251"/>
      <c r="R13" s="1853"/>
      <c r="S13" s="251"/>
      <c r="T13" s="1853"/>
      <c r="U13" s="251"/>
      <c r="V13" s="1853"/>
      <c r="W13" s="251"/>
      <c r="X13" s="1853"/>
      <c r="Y13" s="251"/>
      <c r="Z13" s="1853"/>
      <c r="AA13" s="752"/>
      <c r="AB13" s="251"/>
      <c r="AC13" s="2137"/>
      <c r="AD13" s="3165">
        <f>D13</f>
        <v>5400.7</v>
      </c>
      <c r="AE13" s="3164"/>
      <c r="AF13" s="3168"/>
      <c r="AG13" s="136">
        <v>5090.8</v>
      </c>
      <c r="AH13" s="734"/>
      <c r="AI13" s="268"/>
      <c r="AJ13" s="1851">
        <f>ROUND(SUM(+AD13-AG13),1)</f>
        <v>309.89999999999998</v>
      </c>
      <c r="AK13" s="109"/>
      <c r="AL13" s="1854">
        <f>ROUND(IF(AG13=0,1,AJ13/ABS(AG13)),3)</f>
        <v>6.0999999999999999E-2</v>
      </c>
      <c r="AM13" s="1059"/>
      <c r="AN13" s="1059"/>
    </row>
    <row r="14" spans="1:40" s="1060" customFormat="1" ht="15.5">
      <c r="A14" s="1058"/>
      <c r="B14" s="1850"/>
      <c r="C14" s="37"/>
      <c r="D14" s="752"/>
      <c r="E14" s="251"/>
      <c r="F14" s="752"/>
      <c r="G14" s="251"/>
      <c r="H14" s="752"/>
      <c r="I14" s="251"/>
      <c r="J14" s="752"/>
      <c r="K14" s="251"/>
      <c r="L14" s="752"/>
      <c r="M14" s="251"/>
      <c r="N14" s="752"/>
      <c r="O14" s="251"/>
      <c r="P14" s="752"/>
      <c r="Q14" s="251"/>
      <c r="R14" s="752"/>
      <c r="S14" s="251"/>
      <c r="T14" s="752"/>
      <c r="U14" s="251"/>
      <c r="V14" s="752"/>
      <c r="W14" s="251"/>
      <c r="X14" s="752"/>
      <c r="Y14" s="251"/>
      <c r="Z14" s="752"/>
      <c r="AA14" s="752"/>
      <c r="AB14" s="251"/>
      <c r="AC14" s="2137"/>
      <c r="AD14" s="3164"/>
      <c r="AE14" s="3164"/>
      <c r="AF14" s="3168"/>
      <c r="AG14" s="3164"/>
      <c r="AH14" s="734"/>
      <c r="AI14" s="268"/>
      <c r="AJ14" s="747"/>
      <c r="AK14" s="747"/>
      <c r="AL14" s="747"/>
      <c r="AM14" s="1059"/>
      <c r="AN14" s="1059"/>
    </row>
    <row r="15" spans="1:40" ht="15" customHeight="1">
      <c r="A15" s="147"/>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7"/>
      <c r="AD15" s="1087"/>
      <c r="AE15" s="103"/>
      <c r="AF15" s="3169"/>
      <c r="AG15" s="103"/>
      <c r="AH15" s="37"/>
      <c r="AI15" s="268"/>
      <c r="AJ15" s="30"/>
      <c r="AK15" s="30"/>
      <c r="AL15" s="30"/>
    </row>
    <row r="16" spans="1:40" ht="15" customHeight="1">
      <c r="A16" s="147"/>
      <c r="B16" s="258"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88"/>
      <c r="AD16" s="1087"/>
      <c r="AE16" s="103"/>
      <c r="AF16" s="3170"/>
      <c r="AG16" s="103"/>
      <c r="AH16" s="271"/>
      <c r="AI16" s="37"/>
      <c r="AJ16" s="30"/>
      <c r="AK16" s="30"/>
      <c r="AL16" s="30"/>
    </row>
    <row r="17" spans="1:38" s="1826" customFormat="1" ht="15" customHeight="1">
      <c r="A17" s="1823"/>
      <c r="B17" s="1198" t="s">
        <v>1081</v>
      </c>
      <c r="C17" s="102"/>
      <c r="D17" s="894">
        <v>0</v>
      </c>
      <c r="E17" s="1529"/>
      <c r="F17" s="894">
        <v>0</v>
      </c>
      <c r="G17" s="1529"/>
      <c r="H17" s="894">
        <v>0</v>
      </c>
      <c r="I17" s="1529"/>
      <c r="J17" s="894">
        <v>0</v>
      </c>
      <c r="K17" s="1535"/>
      <c r="L17" s="894">
        <v>0</v>
      </c>
      <c r="M17" s="1795"/>
      <c r="N17" s="894">
        <v>0.1</v>
      </c>
      <c r="O17" s="1795"/>
      <c r="P17" s="894">
        <f>$AD17-$D17-$F17-$H17-$J17-$L17-$N17</f>
        <v>0.1</v>
      </c>
      <c r="Q17" s="1986"/>
      <c r="R17" s="1788"/>
      <c r="S17" s="1986"/>
      <c r="T17" s="1788"/>
      <c r="U17" s="1986"/>
      <c r="V17" s="1788"/>
      <c r="W17" s="1986"/>
      <c r="X17" s="1788"/>
      <c r="Y17" s="1986"/>
      <c r="Z17" s="1788"/>
      <c r="AA17" s="1987"/>
      <c r="AB17" s="2025"/>
      <c r="AC17" s="2026"/>
      <c r="AD17" s="1788">
        <v>0.2</v>
      </c>
      <c r="AE17" s="2027"/>
      <c r="AF17" s="3171"/>
      <c r="AG17" s="1788">
        <v>0.2</v>
      </c>
      <c r="AH17" s="1824"/>
      <c r="AI17" s="1013"/>
      <c r="AJ17" s="893">
        <f>ROUND(SUM(+AD17-AG17),1)</f>
        <v>0</v>
      </c>
      <c r="AK17" s="893"/>
      <c r="AL17" s="1817">
        <f>ROUND(IF(AG17=0,1,AJ17/ABS(AG17)),3)</f>
        <v>0</v>
      </c>
    </row>
    <row r="18" spans="1:38" s="1826" customFormat="1" ht="6" customHeight="1">
      <c r="A18" s="1823"/>
      <c r="B18" s="1198"/>
      <c r="C18" s="102"/>
      <c r="D18" s="894" t="s">
        <v>15</v>
      </c>
      <c r="E18" s="91"/>
      <c r="F18" s="894"/>
      <c r="G18" s="91"/>
      <c r="H18" s="894"/>
      <c r="I18" s="91"/>
      <c r="J18" s="894"/>
      <c r="K18" s="132"/>
      <c r="L18" s="894"/>
      <c r="M18" s="132"/>
      <c r="N18" s="894"/>
      <c r="O18" s="132"/>
      <c r="P18" s="1788"/>
      <c r="Q18" s="2028"/>
      <c r="R18" s="1788"/>
      <c r="S18" s="2028"/>
      <c r="T18" s="1788"/>
      <c r="U18" s="2028"/>
      <c r="V18" s="1788"/>
      <c r="W18" s="2028"/>
      <c r="X18" s="1788"/>
      <c r="Y18" s="2028"/>
      <c r="Z18" s="1788"/>
      <c r="AA18" s="2029"/>
      <c r="AB18" s="2028"/>
      <c r="AC18" s="2030"/>
      <c r="AD18" s="2028"/>
      <c r="AE18" s="2027"/>
      <c r="AF18" s="3172"/>
      <c r="AG18" s="2028"/>
      <c r="AH18" s="1824"/>
      <c r="AI18" s="1013"/>
      <c r="AJ18" s="132"/>
      <c r="AK18" s="109"/>
      <c r="AL18" s="1825"/>
    </row>
    <row r="19" spans="1:38" s="885" customFormat="1" ht="15" customHeight="1">
      <c r="A19" s="1068"/>
      <c r="B19" s="1198" t="s">
        <v>1140</v>
      </c>
      <c r="C19" s="104"/>
      <c r="D19" s="894" t="s">
        <v>15</v>
      </c>
      <c r="E19" s="1529"/>
      <c r="F19" s="894"/>
      <c r="G19" s="1529"/>
      <c r="H19" s="894"/>
      <c r="I19" s="1529"/>
      <c r="J19" s="894"/>
      <c r="K19" s="115"/>
      <c r="L19" s="894"/>
      <c r="M19" s="115"/>
      <c r="N19" s="894"/>
      <c r="O19" s="115"/>
      <c r="P19" s="1788"/>
      <c r="Q19" s="1994"/>
      <c r="R19" s="1788"/>
      <c r="S19" s="1994"/>
      <c r="T19" s="1788"/>
      <c r="U19" s="1994"/>
      <c r="V19" s="1788"/>
      <c r="W19" s="1994"/>
      <c r="X19" s="1788"/>
      <c r="Y19" s="1994"/>
      <c r="Z19" s="1788"/>
      <c r="AA19" s="1994"/>
      <c r="AB19" s="1994"/>
      <c r="AC19" s="1996"/>
      <c r="AD19" s="1994"/>
      <c r="AE19" s="1994"/>
      <c r="AF19" s="3173"/>
      <c r="AG19" s="1994"/>
      <c r="AH19" s="1071"/>
      <c r="AI19" s="65"/>
      <c r="AJ19" s="893"/>
      <c r="AK19" s="886"/>
      <c r="AL19" s="1827"/>
    </row>
    <row r="20" spans="1:38" s="885" customFormat="1" ht="15" customHeight="1">
      <c r="A20" s="1068"/>
      <c r="B20" s="1075" t="s">
        <v>1093</v>
      </c>
      <c r="C20" s="104"/>
      <c r="D20" s="894">
        <v>80.3</v>
      </c>
      <c r="E20" s="1838"/>
      <c r="F20" s="894">
        <v>51.2</v>
      </c>
      <c r="G20" s="1838"/>
      <c r="H20" s="894">
        <v>65.599999999999994</v>
      </c>
      <c r="I20" s="1838"/>
      <c r="J20" s="894">
        <v>72.700000000000017</v>
      </c>
      <c r="K20" s="1535"/>
      <c r="L20" s="894">
        <v>73.599999999999966</v>
      </c>
      <c r="M20" s="1535"/>
      <c r="N20" s="894">
        <v>83.300000000000011</v>
      </c>
      <c r="O20" s="1535"/>
      <c r="P20" s="1788">
        <f>$AD20-$D20-$F20-$H20-$J20-$L20-$N20</f>
        <v>79.19999999999996</v>
      </c>
      <c r="Q20" s="1997"/>
      <c r="R20" s="1788"/>
      <c r="S20" s="1997"/>
      <c r="T20" s="1788"/>
      <c r="U20" s="1997"/>
      <c r="V20" s="1788"/>
      <c r="W20" s="1997"/>
      <c r="X20" s="1788"/>
      <c r="Y20" s="1997"/>
      <c r="Z20" s="1788"/>
      <c r="AA20" s="1998"/>
      <c r="AB20" s="1999"/>
      <c r="AC20" s="2001"/>
      <c r="AD20" s="1788">
        <v>505.9</v>
      </c>
      <c r="AE20" s="2031"/>
      <c r="AF20" s="3174"/>
      <c r="AG20" s="1788">
        <v>648.5</v>
      </c>
      <c r="AH20" s="1071"/>
      <c r="AI20" s="65"/>
      <c r="AJ20" s="893">
        <f t="shared" ref="AJ20:AJ27" si="0">ROUND(SUM(+AD20-AG20),1)</f>
        <v>-142.6</v>
      </c>
      <c r="AK20" s="886"/>
      <c r="AL20" s="1821">
        <f t="shared" ref="AL20:AL28" si="1">ROUND(IF(AG20=0,0,AJ20/ABS(AG20)),3)</f>
        <v>-0.22</v>
      </c>
    </row>
    <row r="21" spans="1:38" s="885" customFormat="1" ht="15" customHeight="1">
      <c r="A21" s="1068"/>
      <c r="B21" s="1075" t="s">
        <v>1094</v>
      </c>
      <c r="C21" s="104"/>
      <c r="D21" s="894">
        <v>-0.1</v>
      </c>
      <c r="E21" s="1838"/>
      <c r="F21" s="894">
        <v>-1.4999999999999998</v>
      </c>
      <c r="G21" s="1838"/>
      <c r="H21" s="894">
        <v>3.4</v>
      </c>
      <c r="I21" s="1838"/>
      <c r="J21" s="894">
        <v>2.1</v>
      </c>
      <c r="K21" s="1535"/>
      <c r="L21" s="894">
        <v>2.0999999999999992</v>
      </c>
      <c r="M21" s="1535"/>
      <c r="N21" s="894">
        <v>-1.0999999999999992</v>
      </c>
      <c r="O21" s="1535"/>
      <c r="P21" s="1788">
        <f t="shared" ref="P21:P27" si="2">$AD21-$D21-$F21-$H21-$J21-$L21-$N21</f>
        <v>0</v>
      </c>
      <c r="Q21" s="1997"/>
      <c r="R21" s="1788"/>
      <c r="S21" s="1997"/>
      <c r="T21" s="1788"/>
      <c r="U21" s="1997"/>
      <c r="V21" s="1788"/>
      <c r="W21" s="1997"/>
      <c r="X21" s="1788"/>
      <c r="Y21" s="1997"/>
      <c r="Z21" s="1788"/>
      <c r="AA21" s="1998"/>
      <c r="AB21" s="1999"/>
      <c r="AC21" s="2001"/>
      <c r="AD21" s="1788">
        <v>4.9000000000000004</v>
      </c>
      <c r="AE21" s="2031"/>
      <c r="AF21" s="3174"/>
      <c r="AG21" s="1788">
        <v>7.3</v>
      </c>
      <c r="AH21" s="1071"/>
      <c r="AI21" s="65"/>
      <c r="AJ21" s="893">
        <f t="shared" si="0"/>
        <v>-2.4</v>
      </c>
      <c r="AK21" s="886"/>
      <c r="AL21" s="1817">
        <f>ROUND(IF(AG21=0,1,AJ21/ABS(AG21)),3)</f>
        <v>-0.32900000000000001</v>
      </c>
    </row>
    <row r="22" spans="1:38" s="885" customFormat="1" ht="15" customHeight="1">
      <c r="A22" s="1068"/>
      <c r="B22" s="1075" t="s">
        <v>1095</v>
      </c>
      <c r="C22" s="104"/>
      <c r="D22" s="894">
        <v>68.8</v>
      </c>
      <c r="E22" s="1838"/>
      <c r="F22" s="894">
        <v>51.3</v>
      </c>
      <c r="G22" s="1838"/>
      <c r="H22" s="894">
        <v>60.200000000000017</v>
      </c>
      <c r="I22" s="1838"/>
      <c r="J22" s="894">
        <v>68.799999999999983</v>
      </c>
      <c r="K22" s="1535"/>
      <c r="L22" s="894">
        <v>60.399999999999977</v>
      </c>
      <c r="M22" s="1535"/>
      <c r="N22" s="894">
        <v>71</v>
      </c>
      <c r="O22" s="1535"/>
      <c r="P22" s="1788">
        <f t="shared" si="2"/>
        <v>55.699999999999989</v>
      </c>
      <c r="Q22" s="1997"/>
      <c r="R22" s="1788"/>
      <c r="S22" s="1997"/>
      <c r="T22" s="1788"/>
      <c r="U22" s="1997"/>
      <c r="V22" s="1788"/>
      <c r="W22" s="1997"/>
      <c r="X22" s="1788"/>
      <c r="Y22" s="1997"/>
      <c r="Z22" s="1788"/>
      <c r="AA22" s="1998"/>
      <c r="AB22" s="1999"/>
      <c r="AC22" s="2001"/>
      <c r="AD22" s="1788">
        <v>436.2</v>
      </c>
      <c r="AE22" s="2031"/>
      <c r="AF22" s="3174"/>
      <c r="AG22" s="1788">
        <v>444.1</v>
      </c>
      <c r="AH22" s="1071"/>
      <c r="AI22" s="65"/>
      <c r="AJ22" s="893">
        <f t="shared" si="0"/>
        <v>-7.9</v>
      </c>
      <c r="AK22" s="886"/>
      <c r="AL22" s="1817">
        <f t="shared" si="1"/>
        <v>-1.7999999999999999E-2</v>
      </c>
    </row>
    <row r="23" spans="1:38" s="885" customFormat="1" ht="15" customHeight="1">
      <c r="A23" s="1068"/>
      <c r="B23" s="1794" t="s">
        <v>1238</v>
      </c>
      <c r="C23" s="104"/>
      <c r="D23" s="894">
        <v>0.5</v>
      </c>
      <c r="E23" s="1838"/>
      <c r="F23" s="894">
        <v>0.60000000000000009</v>
      </c>
      <c r="G23" s="1838"/>
      <c r="H23" s="894">
        <v>0.7</v>
      </c>
      <c r="I23" s="1838"/>
      <c r="J23" s="894">
        <v>0.59999999999999987</v>
      </c>
      <c r="K23" s="1535"/>
      <c r="L23" s="894">
        <v>0.80000000000000027</v>
      </c>
      <c r="M23" s="1535"/>
      <c r="N23" s="894">
        <v>0.69999999999999951</v>
      </c>
      <c r="O23" s="1535"/>
      <c r="P23" s="1788">
        <f t="shared" si="2"/>
        <v>0.80000000000000093</v>
      </c>
      <c r="Q23" s="1997"/>
      <c r="R23" s="1788"/>
      <c r="S23" s="1997"/>
      <c r="T23" s="1788"/>
      <c r="U23" s="1997"/>
      <c r="V23" s="1788"/>
      <c r="W23" s="1997"/>
      <c r="X23" s="1788"/>
      <c r="Y23" s="1997"/>
      <c r="Z23" s="1788"/>
      <c r="AA23" s="1998"/>
      <c r="AB23" s="1999"/>
      <c r="AC23" s="2001"/>
      <c r="AD23" s="1788">
        <v>4.7</v>
      </c>
      <c r="AE23" s="2031"/>
      <c r="AF23" s="3174"/>
      <c r="AG23" s="1788">
        <v>3.2</v>
      </c>
      <c r="AH23" s="1071"/>
      <c r="AI23" s="65"/>
      <c r="AJ23" s="893">
        <f t="shared" si="0"/>
        <v>1.5</v>
      </c>
      <c r="AK23" s="886"/>
      <c r="AL23" s="1723">
        <f>ROUND(IF(AG23=0,1,AJ23/ABS(AG23)),3)</f>
        <v>0.46899999999999997</v>
      </c>
    </row>
    <row r="24" spans="1:38" s="885" customFormat="1" ht="15" customHeight="1">
      <c r="A24" s="1068"/>
      <c r="B24" s="1075" t="s">
        <v>1096</v>
      </c>
      <c r="C24" s="104"/>
      <c r="D24" s="894">
        <v>6.5</v>
      </c>
      <c r="E24" s="1838"/>
      <c r="F24" s="894">
        <v>4.6999999999999993</v>
      </c>
      <c r="G24" s="1838"/>
      <c r="H24" s="894">
        <v>6.5999999999999979</v>
      </c>
      <c r="I24" s="1838"/>
      <c r="J24" s="894">
        <v>8.5000000000000036</v>
      </c>
      <c r="K24" s="1535"/>
      <c r="L24" s="894">
        <v>9.0999999999999979</v>
      </c>
      <c r="M24" s="1535"/>
      <c r="N24" s="894">
        <v>8.899999999999995</v>
      </c>
      <c r="O24" s="1535"/>
      <c r="P24" s="1788">
        <f t="shared" si="2"/>
        <v>8.3000000000000149</v>
      </c>
      <c r="Q24" s="1997"/>
      <c r="R24" s="1788"/>
      <c r="S24" s="1997"/>
      <c r="T24" s="1788"/>
      <c r="U24" s="1997"/>
      <c r="V24" s="1788"/>
      <c r="W24" s="1997"/>
      <c r="X24" s="1788"/>
      <c r="Y24" s="1997"/>
      <c r="Z24" s="1788"/>
      <c r="AA24" s="1998"/>
      <c r="AB24" s="1999"/>
      <c r="AC24" s="2001"/>
      <c r="AD24" s="1788">
        <v>52.6</v>
      </c>
      <c r="AE24" s="2031"/>
      <c r="AF24" s="3174"/>
      <c r="AG24" s="1788">
        <v>66.5</v>
      </c>
      <c r="AH24" s="1071"/>
      <c r="AI24" s="65"/>
      <c r="AJ24" s="893">
        <f t="shared" si="0"/>
        <v>-13.9</v>
      </c>
      <c r="AK24" s="886"/>
      <c r="AL24" s="1817">
        <f t="shared" si="1"/>
        <v>-0.20899999999999999</v>
      </c>
    </row>
    <row r="25" spans="1:38" s="885" customFormat="1" ht="15" customHeight="1">
      <c r="A25" s="1068"/>
      <c r="B25" s="1075" t="s">
        <v>1097</v>
      </c>
      <c r="C25" s="104"/>
      <c r="D25" s="894">
        <v>0</v>
      </c>
      <c r="E25" s="1838"/>
      <c r="F25" s="894">
        <v>0</v>
      </c>
      <c r="G25" s="1838"/>
      <c r="H25" s="894">
        <v>0</v>
      </c>
      <c r="I25" s="1838"/>
      <c r="J25" s="894">
        <v>0</v>
      </c>
      <c r="K25" s="1535"/>
      <c r="L25" s="894">
        <v>0</v>
      </c>
      <c r="M25" s="1535"/>
      <c r="N25" s="894">
        <v>0</v>
      </c>
      <c r="O25" s="1535"/>
      <c r="P25" s="1788">
        <f t="shared" si="2"/>
        <v>0</v>
      </c>
      <c r="Q25" s="1997"/>
      <c r="R25" s="1788"/>
      <c r="S25" s="1997"/>
      <c r="T25" s="1788"/>
      <c r="U25" s="1997"/>
      <c r="V25" s="1788"/>
      <c r="W25" s="1997"/>
      <c r="X25" s="1788"/>
      <c r="Y25" s="1997"/>
      <c r="Z25" s="1788"/>
      <c r="AA25" s="1998"/>
      <c r="AB25" s="1999"/>
      <c r="AC25" s="2001"/>
      <c r="AD25" s="1788">
        <v>0</v>
      </c>
      <c r="AE25" s="2031"/>
      <c r="AF25" s="3174"/>
      <c r="AG25" s="1788">
        <v>0</v>
      </c>
      <c r="AH25" s="1071"/>
      <c r="AI25" s="65"/>
      <c r="AJ25" s="893">
        <f t="shared" si="0"/>
        <v>0</v>
      </c>
      <c r="AK25" s="886"/>
      <c r="AL25" s="1817">
        <f t="shared" si="1"/>
        <v>0</v>
      </c>
    </row>
    <row r="26" spans="1:38" s="885" customFormat="1" ht="15" customHeight="1">
      <c r="A26" s="1068"/>
      <c r="B26" s="1075" t="s">
        <v>1098</v>
      </c>
      <c r="C26" s="104"/>
      <c r="D26" s="894">
        <v>0</v>
      </c>
      <c r="E26" s="1838"/>
      <c r="F26" s="894">
        <v>0.1</v>
      </c>
      <c r="G26" s="1838"/>
      <c r="H26" s="894">
        <v>0</v>
      </c>
      <c r="I26" s="1838"/>
      <c r="J26" s="894">
        <v>0</v>
      </c>
      <c r="K26" s="1535"/>
      <c r="L26" s="894">
        <v>0.1</v>
      </c>
      <c r="M26" s="1535"/>
      <c r="N26" s="894">
        <v>0</v>
      </c>
      <c r="O26" s="1535"/>
      <c r="P26" s="1788">
        <f t="shared" si="2"/>
        <v>0</v>
      </c>
      <c r="Q26" s="1997"/>
      <c r="R26" s="1788"/>
      <c r="S26" s="1997"/>
      <c r="T26" s="1788"/>
      <c r="U26" s="1997"/>
      <c r="V26" s="1788"/>
      <c r="W26" s="1997"/>
      <c r="X26" s="1788"/>
      <c r="Y26" s="1997"/>
      <c r="Z26" s="1788"/>
      <c r="AA26" s="1998"/>
      <c r="AB26" s="1999"/>
      <c r="AC26" s="2001"/>
      <c r="AD26" s="1788">
        <v>0.2</v>
      </c>
      <c r="AE26" s="2031"/>
      <c r="AF26" s="3174"/>
      <c r="AG26" s="1788">
        <v>0.3</v>
      </c>
      <c r="AH26" s="1071"/>
      <c r="AI26" s="65"/>
      <c r="AJ26" s="893">
        <f t="shared" si="0"/>
        <v>-0.1</v>
      </c>
      <c r="AK26" s="886"/>
      <c r="AL26" s="1828">
        <f>ROUND(IF(AG26=0,0,AJ26/ABS(AG26)),3)</f>
        <v>-0.33300000000000002</v>
      </c>
    </row>
    <row r="27" spans="1:38" s="885" customFormat="1" ht="15" customHeight="1">
      <c r="A27" s="1068"/>
      <c r="B27" s="2233" t="s">
        <v>1441</v>
      </c>
      <c r="C27" s="104"/>
      <c r="D27" s="894">
        <v>0</v>
      </c>
      <c r="E27" s="1838"/>
      <c r="F27" s="894">
        <v>0.1</v>
      </c>
      <c r="G27" s="1838"/>
      <c r="H27" s="894">
        <v>11.700000000000001</v>
      </c>
      <c r="I27" s="1838"/>
      <c r="J27" s="894">
        <v>-0.40000000000000036</v>
      </c>
      <c r="K27" s="1535"/>
      <c r="L27" s="894">
        <v>-9.9999999999999645E-2</v>
      </c>
      <c r="M27" s="1535"/>
      <c r="N27" s="894">
        <v>7.3999999999999968</v>
      </c>
      <c r="O27" s="1535"/>
      <c r="P27" s="1788">
        <f t="shared" si="2"/>
        <v>0</v>
      </c>
      <c r="Q27" s="1997"/>
      <c r="R27" s="1788"/>
      <c r="S27" s="1997"/>
      <c r="T27" s="1788"/>
      <c r="U27" s="1997"/>
      <c r="V27" s="1788"/>
      <c r="W27" s="1997"/>
      <c r="X27" s="1788"/>
      <c r="Y27" s="1997"/>
      <c r="Z27" s="1788"/>
      <c r="AA27" s="1998"/>
      <c r="AB27" s="1999"/>
      <c r="AC27" s="2001"/>
      <c r="AD27" s="1788">
        <v>18.7</v>
      </c>
      <c r="AE27" s="2031"/>
      <c r="AF27" s="3174"/>
      <c r="AG27" s="1788">
        <v>0</v>
      </c>
      <c r="AH27" s="1071"/>
      <c r="AI27" s="65"/>
      <c r="AJ27" s="893">
        <f t="shared" si="0"/>
        <v>18.7</v>
      </c>
      <c r="AK27" s="886"/>
      <c r="AL27" s="1828">
        <f>ROUND(IF(AG27=0,1,AJ27/ABS(AG27)),3)</f>
        <v>1</v>
      </c>
    </row>
    <row r="28" spans="1:38" s="751" customFormat="1" ht="15" customHeight="1">
      <c r="A28" s="1066"/>
      <c r="B28" s="1076" t="s">
        <v>1209</v>
      </c>
      <c r="C28" s="29"/>
      <c r="D28" s="1836">
        <f>ROUND(SUM(D20:D27),1)</f>
        <v>156</v>
      </c>
      <c r="E28" s="920"/>
      <c r="F28" s="1836">
        <f>ROUND(SUM(F20:F27),1)</f>
        <v>106.5</v>
      </c>
      <c r="G28" s="920"/>
      <c r="H28" s="1836">
        <f>ROUND(SUM(H20:H27),1)</f>
        <v>148.19999999999999</v>
      </c>
      <c r="I28" s="920"/>
      <c r="J28" s="1836">
        <f>ROUND(SUM(J20:J27),1)</f>
        <v>152.30000000000001</v>
      </c>
      <c r="K28" s="920"/>
      <c r="L28" s="59">
        <f>ROUND(SUM(L20:L27),1)</f>
        <v>146</v>
      </c>
      <c r="M28" s="920"/>
      <c r="N28" s="59">
        <f>ROUND(SUM(N20:N27),1)</f>
        <v>170.2</v>
      </c>
      <c r="O28" s="920"/>
      <c r="P28" s="2032">
        <f>ROUND(SUM(P20:P27),1)</f>
        <v>144</v>
      </c>
      <c r="Q28" s="1459"/>
      <c r="R28" s="2032">
        <f>ROUND(SUM(R20:R27),1)</f>
        <v>0</v>
      </c>
      <c r="S28" s="1459"/>
      <c r="T28" s="2032">
        <f>ROUND(SUM(T20:T27),1)</f>
        <v>0</v>
      </c>
      <c r="U28" s="1459"/>
      <c r="V28" s="2032">
        <f>ROUND(SUM(V20:V27),1)</f>
        <v>0</v>
      </c>
      <c r="W28" s="1459"/>
      <c r="X28" s="2032">
        <f>ROUND(SUM(X20:X27),1)</f>
        <v>0</v>
      </c>
      <c r="Y28" s="1459"/>
      <c r="Z28" s="2032">
        <f>ROUND(SUM(Z20:Z27),1)</f>
        <v>0</v>
      </c>
      <c r="AA28" s="1442"/>
      <c r="AB28" s="1459"/>
      <c r="AC28" s="2011"/>
      <c r="AD28" s="2016">
        <f>ROUND(SUM(AD20:AD27),1)</f>
        <v>1023.2</v>
      </c>
      <c r="AE28" s="2049"/>
      <c r="AF28" s="3175"/>
      <c r="AG28" s="2016">
        <f>ROUND(SUM(AG20:AG27),1)</f>
        <v>1169.9000000000001</v>
      </c>
      <c r="AH28" s="279"/>
      <c r="AI28" s="74"/>
      <c r="AJ28" s="59">
        <f>ROUND(SUM(AJ20:AJ27),1)</f>
        <v>-146.69999999999999</v>
      </c>
      <c r="AK28" s="206"/>
      <c r="AL28" s="1048">
        <f t="shared" si="1"/>
        <v>-0.125</v>
      </c>
    </row>
    <row r="29" spans="1:38" ht="15" customHeight="1">
      <c r="A29" s="147"/>
      <c r="B29" s="1198" t="s">
        <v>1082</v>
      </c>
      <c r="C29" s="31"/>
      <c r="D29" s="1529"/>
      <c r="E29" s="1529"/>
      <c r="F29" s="1529"/>
      <c r="G29" s="1529"/>
      <c r="H29" s="1529"/>
      <c r="I29" s="1529"/>
      <c r="J29" s="1529"/>
      <c r="K29" s="64"/>
      <c r="L29" s="64"/>
      <c r="M29" s="64"/>
      <c r="N29" s="64"/>
      <c r="O29" s="64"/>
      <c r="P29" s="2005"/>
      <c r="Q29" s="2005"/>
      <c r="R29" s="2005"/>
      <c r="S29" s="2005"/>
      <c r="T29" s="2005"/>
      <c r="U29" s="2005"/>
      <c r="V29" s="2005"/>
      <c r="W29" s="2005"/>
      <c r="X29" s="2005"/>
      <c r="Y29" s="2005"/>
      <c r="Z29" s="2005"/>
      <c r="AA29" s="2005"/>
      <c r="AB29" s="2005"/>
      <c r="AC29" s="2008"/>
      <c r="AD29" s="1994"/>
      <c r="AE29" s="1994"/>
      <c r="AF29" s="3173"/>
      <c r="AG29" s="1994"/>
      <c r="AH29" s="272"/>
      <c r="AI29" s="54"/>
      <c r="AJ29" s="641"/>
      <c r="AK29" s="918"/>
      <c r="AL29" s="918"/>
    </row>
    <row r="30" spans="1:38" s="885" customFormat="1" ht="15" customHeight="1">
      <c r="A30" s="1068"/>
      <c r="B30" s="1075" t="s">
        <v>1100</v>
      </c>
      <c r="C30" s="104"/>
      <c r="D30" s="894">
        <v>57</v>
      </c>
      <c r="E30" s="1838"/>
      <c r="F30" s="894">
        <v>-3.1999999999999957</v>
      </c>
      <c r="G30" s="1838"/>
      <c r="H30" s="894">
        <v>110.1</v>
      </c>
      <c r="I30" s="1529"/>
      <c r="J30" s="894">
        <v>113.99999999999997</v>
      </c>
      <c r="K30" s="1535"/>
      <c r="L30" s="894">
        <v>11.700000000000045</v>
      </c>
      <c r="M30" s="1535"/>
      <c r="N30" s="894">
        <v>165.69999999999996</v>
      </c>
      <c r="O30" s="1535"/>
      <c r="P30" s="894">
        <f>$AD30-$D30-$F30-$H30-$J30-$L30-$N30</f>
        <v>40.700000000000045</v>
      </c>
      <c r="Q30" s="1997"/>
      <c r="R30" s="1788"/>
      <c r="S30" s="1997"/>
      <c r="T30" s="1788"/>
      <c r="U30" s="1997"/>
      <c r="V30" s="1788"/>
      <c r="W30" s="1997"/>
      <c r="X30" s="1788"/>
      <c r="Y30" s="1997"/>
      <c r="Z30" s="1788"/>
      <c r="AA30" s="1998"/>
      <c r="AB30" s="1999"/>
      <c r="AC30" s="2001"/>
      <c r="AD30" s="1788">
        <v>496</v>
      </c>
      <c r="AE30" s="2031"/>
      <c r="AF30" s="3174"/>
      <c r="AG30" s="1788">
        <v>519.6</v>
      </c>
      <c r="AH30" s="1071"/>
      <c r="AI30" s="65"/>
      <c r="AJ30" s="893">
        <f>ROUND(SUM(+AD30-AG30),1)</f>
        <v>-23.6</v>
      </c>
      <c r="AK30" s="886"/>
      <c r="AL30" s="1821">
        <f t="shared" ref="AL30:AL35" si="3">ROUND(IF(AG30=0,0,AJ30/ABS(AG30)),3)</f>
        <v>-4.4999999999999998E-2</v>
      </c>
    </row>
    <row r="31" spans="1:38" s="885" customFormat="1" ht="15" customHeight="1">
      <c r="A31" s="1068"/>
      <c r="B31" s="1075" t="s">
        <v>1101</v>
      </c>
      <c r="C31" s="104"/>
      <c r="D31" s="894">
        <v>2.2000000000000002</v>
      </c>
      <c r="E31" s="1838"/>
      <c r="F31" s="894">
        <v>-6.9</v>
      </c>
      <c r="G31" s="1838"/>
      <c r="H31" s="894">
        <v>20.5</v>
      </c>
      <c r="I31" s="1529"/>
      <c r="J31" s="894">
        <v>17</v>
      </c>
      <c r="K31" s="1535"/>
      <c r="L31" s="894">
        <v>-1.3999999999999986</v>
      </c>
      <c r="M31" s="1535"/>
      <c r="N31" s="894">
        <v>24.399999999999991</v>
      </c>
      <c r="O31" s="1535"/>
      <c r="P31" s="894">
        <f t="shared" ref="P31:P34" si="4">$AD31-$D31-$F31-$H31-$J31-$L31-$N31</f>
        <v>4.1000000000000014</v>
      </c>
      <c r="Q31" s="1997"/>
      <c r="R31" s="1788"/>
      <c r="S31" s="1997"/>
      <c r="T31" s="1788"/>
      <c r="U31" s="1997"/>
      <c r="V31" s="1788"/>
      <c r="W31" s="1997"/>
      <c r="X31" s="1788"/>
      <c r="Y31" s="1997"/>
      <c r="Z31" s="1788"/>
      <c r="AA31" s="1998"/>
      <c r="AB31" s="1999"/>
      <c r="AC31" s="2001"/>
      <c r="AD31" s="1788">
        <v>59.9</v>
      </c>
      <c r="AE31" s="2031"/>
      <c r="AF31" s="3174"/>
      <c r="AG31" s="1788">
        <v>78.900000000000006</v>
      </c>
      <c r="AH31" s="1071"/>
      <c r="AI31" s="65"/>
      <c r="AJ31" s="893">
        <f>ROUND(SUM(+AD31-AG31),1)</f>
        <v>-19</v>
      </c>
      <c r="AK31" s="886"/>
      <c r="AL31" s="1821">
        <f t="shared" si="3"/>
        <v>-0.24099999999999999</v>
      </c>
    </row>
    <row r="32" spans="1:38" s="885" customFormat="1" ht="15" customHeight="1">
      <c r="A32" s="1068"/>
      <c r="B32" s="1075" t="s">
        <v>1102</v>
      </c>
      <c r="C32" s="104"/>
      <c r="D32" s="894">
        <v>7.2</v>
      </c>
      <c r="E32" s="1838"/>
      <c r="F32" s="894">
        <v>-0.39999999999999947</v>
      </c>
      <c r="G32" s="1838"/>
      <c r="H32" s="894">
        <v>38.599999999999994</v>
      </c>
      <c r="I32" s="1529"/>
      <c r="J32" s="894">
        <v>4.4000000000000057</v>
      </c>
      <c r="K32" s="1535"/>
      <c r="L32" s="894">
        <v>0.39999999999999858</v>
      </c>
      <c r="M32" s="1535"/>
      <c r="N32" s="894">
        <v>43.300000000000004</v>
      </c>
      <c r="O32" s="1535"/>
      <c r="P32" s="894">
        <f t="shared" si="4"/>
        <v>1.2000000000000028</v>
      </c>
      <c r="Q32" s="1997"/>
      <c r="R32" s="1788"/>
      <c r="S32" s="1997"/>
      <c r="T32" s="1788"/>
      <c r="U32" s="1997"/>
      <c r="V32" s="1788"/>
      <c r="W32" s="1997"/>
      <c r="X32" s="1788"/>
      <c r="Y32" s="1997"/>
      <c r="Z32" s="1788"/>
      <c r="AA32" s="1998"/>
      <c r="AB32" s="1999"/>
      <c r="AC32" s="2001"/>
      <c r="AD32" s="1788">
        <v>94.7</v>
      </c>
      <c r="AE32" s="2031"/>
      <c r="AF32" s="3174"/>
      <c r="AG32" s="1788">
        <v>121.3</v>
      </c>
      <c r="AH32" s="1071"/>
      <c r="AI32" s="65"/>
      <c r="AJ32" s="893">
        <f>ROUND(SUM(+AD32-AG32),1)</f>
        <v>-26.6</v>
      </c>
      <c r="AK32" s="886"/>
      <c r="AL32" s="1822">
        <f t="shared" si="3"/>
        <v>-0.219</v>
      </c>
    </row>
    <row r="33" spans="1:39" s="885" customFormat="1" ht="15" customHeight="1">
      <c r="A33" s="1068"/>
      <c r="B33" s="1075" t="s">
        <v>1103</v>
      </c>
      <c r="C33" s="104"/>
      <c r="D33" s="894">
        <v>1.3</v>
      </c>
      <c r="E33" s="1838"/>
      <c r="F33" s="894">
        <v>0.59999999999999987</v>
      </c>
      <c r="G33" s="1838"/>
      <c r="H33" s="894">
        <v>12.9</v>
      </c>
      <c r="I33" s="1529"/>
      <c r="J33" s="894">
        <v>0</v>
      </c>
      <c r="K33" s="1535"/>
      <c r="L33" s="894">
        <v>6.0999999999999961</v>
      </c>
      <c r="M33" s="1535"/>
      <c r="N33" s="894">
        <v>-3.0999999999999961</v>
      </c>
      <c r="O33" s="1535"/>
      <c r="P33" s="894">
        <f t="shared" si="4"/>
        <v>0.49999999999999822</v>
      </c>
      <c r="Q33" s="1997"/>
      <c r="R33" s="1788"/>
      <c r="S33" s="1997"/>
      <c r="T33" s="1788"/>
      <c r="U33" s="1997"/>
      <c r="V33" s="1788"/>
      <c r="W33" s="1997"/>
      <c r="X33" s="1788"/>
      <c r="Y33" s="1997"/>
      <c r="Z33" s="1788"/>
      <c r="AA33" s="1998"/>
      <c r="AB33" s="1999"/>
      <c r="AC33" s="2001"/>
      <c r="AD33" s="1788">
        <v>18.3</v>
      </c>
      <c r="AE33" s="2031"/>
      <c r="AF33" s="3174"/>
      <c r="AG33" s="1788">
        <v>3.3</v>
      </c>
      <c r="AH33" s="1071"/>
      <c r="AI33" s="65"/>
      <c r="AJ33" s="893">
        <f>ROUND(SUM(+AD33-AG33),1)</f>
        <v>15</v>
      </c>
      <c r="AK33" s="886"/>
      <c r="AL33" s="1822">
        <f t="shared" si="3"/>
        <v>4.5449999999999999</v>
      </c>
    </row>
    <row r="34" spans="1:39" s="885" customFormat="1" ht="15" customHeight="1">
      <c r="A34" s="1068"/>
      <c r="B34" s="1075" t="s">
        <v>1104</v>
      </c>
      <c r="C34" s="104"/>
      <c r="D34" s="894">
        <v>30.3</v>
      </c>
      <c r="E34" s="1838"/>
      <c r="F34" s="894">
        <v>17.599999999999998</v>
      </c>
      <c r="G34" s="1838"/>
      <c r="H34" s="894">
        <v>37.700000000000003</v>
      </c>
      <c r="I34" s="1529"/>
      <c r="J34" s="894">
        <v>38.800000000000011</v>
      </c>
      <c r="K34" s="1535"/>
      <c r="L34" s="894">
        <v>38.699999999999974</v>
      </c>
      <c r="M34" s="1535"/>
      <c r="N34" s="894">
        <v>43.200000000000017</v>
      </c>
      <c r="O34" s="1535"/>
      <c r="P34" s="894">
        <f t="shared" si="4"/>
        <v>39.600000000000009</v>
      </c>
      <c r="Q34" s="1997"/>
      <c r="R34" s="1788"/>
      <c r="S34" s="1997"/>
      <c r="T34" s="1788"/>
      <c r="U34" s="1997"/>
      <c r="V34" s="1788"/>
      <c r="W34" s="1997"/>
      <c r="X34" s="1788"/>
      <c r="Y34" s="1997"/>
      <c r="Z34" s="1788"/>
      <c r="AA34" s="1998"/>
      <c r="AB34" s="1999"/>
      <c r="AC34" s="2001"/>
      <c r="AD34" s="1788">
        <v>245.9</v>
      </c>
      <c r="AE34" s="2031"/>
      <c r="AF34" s="3174"/>
      <c r="AG34" s="1788">
        <v>312.8</v>
      </c>
      <c r="AH34" s="1071"/>
      <c r="AI34" s="65"/>
      <c r="AJ34" s="893">
        <f>ROUND(SUM(+AD34-AG34),1)</f>
        <v>-66.900000000000006</v>
      </c>
      <c r="AK34" s="886"/>
      <c r="AL34" s="1821">
        <f t="shared" si="3"/>
        <v>-0.214</v>
      </c>
    </row>
    <row r="35" spans="1:39" s="751" customFormat="1" ht="15" customHeight="1">
      <c r="A35" s="1066"/>
      <c r="B35" s="1076" t="s">
        <v>1212</v>
      </c>
      <c r="C35" s="29"/>
      <c r="D35" s="1836">
        <f>ROUND(SUM(D30:D34),1)</f>
        <v>98</v>
      </c>
      <c r="E35" s="920"/>
      <c r="F35" s="1836">
        <f>ROUND(SUM(F30:F34),1)</f>
        <v>7.7</v>
      </c>
      <c r="G35" s="920"/>
      <c r="H35" s="1836">
        <f>ROUND(SUM(H30:H34),1)</f>
        <v>219.8</v>
      </c>
      <c r="I35" s="920"/>
      <c r="J35" s="1836">
        <f>ROUND(SUM(J30:J34),1)</f>
        <v>174.2</v>
      </c>
      <c r="K35" s="920"/>
      <c r="L35" s="59">
        <f>ROUND(SUM(L30:L34),1)</f>
        <v>55.5</v>
      </c>
      <c r="M35" s="920"/>
      <c r="N35" s="59">
        <f>ROUND(SUM(N30:N34),1)</f>
        <v>273.5</v>
      </c>
      <c r="O35" s="920"/>
      <c r="P35" s="2032">
        <f>ROUND(SUM(P30:P34),1)</f>
        <v>86.1</v>
      </c>
      <c r="Q35" s="1459"/>
      <c r="R35" s="2032">
        <f>ROUND(SUM(R30:R34),1)</f>
        <v>0</v>
      </c>
      <c r="S35" s="1459"/>
      <c r="T35" s="2032">
        <f>ROUND(SUM(T30:T34),1)</f>
        <v>0</v>
      </c>
      <c r="U35" s="1459"/>
      <c r="V35" s="2032">
        <f>ROUND(SUM(V30:V34),1)</f>
        <v>0</v>
      </c>
      <c r="W35" s="1459"/>
      <c r="X35" s="2032">
        <f>ROUND(SUM(X30:X34),1)</f>
        <v>0</v>
      </c>
      <c r="Y35" s="1459"/>
      <c r="Z35" s="2032">
        <f>ROUND(SUM(Z30:Z34),1)</f>
        <v>0</v>
      </c>
      <c r="AA35" s="1442"/>
      <c r="AB35" s="1459"/>
      <c r="AC35" s="2011"/>
      <c r="AD35" s="2016">
        <f>ROUND(SUM(AD30:AD34),1)</f>
        <v>914.8</v>
      </c>
      <c r="AE35" s="2049"/>
      <c r="AF35" s="3175"/>
      <c r="AG35" s="2016">
        <f>ROUND(SUM(AG30:AG34),1)</f>
        <v>1035.9000000000001</v>
      </c>
      <c r="AH35" s="279"/>
      <c r="AI35" s="74"/>
      <c r="AJ35" s="59">
        <f>ROUND(SUM(AJ30:AJ34),1)</f>
        <v>-121.1</v>
      </c>
      <c r="AK35" s="206"/>
      <c r="AL35" s="1407">
        <f t="shared" si="3"/>
        <v>-0.11700000000000001</v>
      </c>
    </row>
    <row r="36" spans="1:39" ht="15" customHeight="1">
      <c r="A36" s="147"/>
      <c r="B36" s="1076"/>
      <c r="C36" s="31"/>
      <c r="D36" s="1529"/>
      <c r="E36" s="1529"/>
      <c r="F36" s="1529"/>
      <c r="G36" s="1529"/>
      <c r="H36" s="1529"/>
      <c r="I36" s="1529"/>
      <c r="J36" s="1529"/>
      <c r="K36" s="64"/>
      <c r="L36" s="64"/>
      <c r="M36" s="64"/>
      <c r="N36" s="64"/>
      <c r="O36" s="64"/>
      <c r="P36" s="2005"/>
      <c r="Q36" s="2005"/>
      <c r="R36" s="2005"/>
      <c r="S36" s="2005"/>
      <c r="T36" s="2005"/>
      <c r="U36" s="2005"/>
      <c r="V36" s="2005"/>
      <c r="W36" s="2005"/>
      <c r="X36" s="2005"/>
      <c r="Y36" s="2005"/>
      <c r="Z36" s="2005"/>
      <c r="AA36" s="2005"/>
      <c r="AB36" s="2005"/>
      <c r="AC36" s="2033"/>
      <c r="AD36" s="1976"/>
      <c r="AE36" s="1994"/>
      <c r="AF36" s="3173"/>
      <c r="AG36" s="1976"/>
      <c r="AH36" s="272"/>
      <c r="AI36" s="54"/>
      <c r="AJ36" s="641"/>
      <c r="AK36" s="918"/>
      <c r="AL36" s="1431"/>
    </row>
    <row r="37" spans="1:39" ht="15" customHeight="1">
      <c r="A37" s="147"/>
      <c r="B37" s="307" t="s">
        <v>1079</v>
      </c>
      <c r="C37" s="31"/>
      <c r="D37" s="3537">
        <f>ROUND(SUM(D17+D28+D35),1)</f>
        <v>254</v>
      </c>
      <c r="E37" s="1529"/>
      <c r="F37" s="3537">
        <f>ROUND(SUM(F17+F28+F35),1)</f>
        <v>114.2</v>
      </c>
      <c r="G37" s="1529"/>
      <c r="H37" s="3537">
        <f>ROUND(SUM(H17+H28+H35),1)</f>
        <v>368</v>
      </c>
      <c r="I37" s="1529"/>
      <c r="J37" s="3537">
        <f>ROUND(SUM(J17+J28+J35),1)</f>
        <v>326.5</v>
      </c>
      <c r="K37" s="64"/>
      <c r="L37" s="3537">
        <f>ROUND(SUM(L17+L28+L35),1)</f>
        <v>201.5</v>
      </c>
      <c r="M37" s="1529"/>
      <c r="N37" s="3537">
        <f>ROUND(SUM(N17+N28+N35),1)</f>
        <v>443.8</v>
      </c>
      <c r="O37" s="1529"/>
      <c r="P37" s="3537">
        <f>ROUND(SUM(P17+P28+P35),1)</f>
        <v>230.2</v>
      </c>
      <c r="Q37" s="1529"/>
      <c r="R37" s="3537">
        <f>ROUND(SUM(R17+R28+R35),1)</f>
        <v>0</v>
      </c>
      <c r="S37" s="2005"/>
      <c r="T37" s="3537">
        <f>ROUND(SUM(T17+T28+T35),1)</f>
        <v>0</v>
      </c>
      <c r="U37" s="1529"/>
      <c r="V37" s="3537">
        <f>ROUND(SUM(V17+V28+V35),1)</f>
        <v>0</v>
      </c>
      <c r="W37" s="1529"/>
      <c r="X37" s="3537">
        <f>ROUND(SUM(X17+X28+X35),1)</f>
        <v>0</v>
      </c>
      <c r="Y37" s="1529"/>
      <c r="Z37" s="3537">
        <f>ROUND(SUM(Z17+Z28+Z35),1)</f>
        <v>0</v>
      </c>
      <c r="AA37" s="2035"/>
      <c r="AB37" s="2005"/>
      <c r="AC37" s="2036"/>
      <c r="AD37" s="3537">
        <f>ROUND(SUM(AD17+AD28+AD35),1)</f>
        <v>1938.2</v>
      </c>
      <c r="AE37" s="1994"/>
      <c r="AF37" s="2038"/>
      <c r="AG37" s="3537">
        <f>ROUND(SUM(AG17+AG28+AG35),1)</f>
        <v>2206</v>
      </c>
      <c r="AH37" s="276"/>
      <c r="AI37" s="54"/>
      <c r="AJ37" s="3537">
        <f>ROUND(SUM(AJ17+AJ28+AJ35),1)</f>
        <v>-267.8</v>
      </c>
      <c r="AK37" s="641"/>
      <c r="AL37" s="3538">
        <f>ROUND(IF(AG37=0,0,AJ37/ABS(AG37)),3)</f>
        <v>-0.121</v>
      </c>
      <c r="AM37" s="782"/>
    </row>
    <row r="38" spans="1:39" ht="15" customHeight="1">
      <c r="A38" s="147"/>
      <c r="B38" s="31"/>
      <c r="C38" s="31"/>
      <c r="D38" s="679"/>
      <c r="E38" s="1529"/>
      <c r="F38" s="679"/>
      <c r="G38" s="1529"/>
      <c r="H38" s="1529"/>
      <c r="I38" s="1529"/>
      <c r="J38" s="679"/>
      <c r="K38" s="64"/>
      <c r="L38" s="75"/>
      <c r="M38" s="64"/>
      <c r="N38" s="75"/>
      <c r="O38" s="64"/>
      <c r="P38" s="2014"/>
      <c r="Q38" s="2005"/>
      <c r="R38" s="2014"/>
      <c r="S38" s="2005"/>
      <c r="T38" s="2014"/>
      <c r="U38" s="2005"/>
      <c r="V38" s="2014"/>
      <c r="W38" s="2005"/>
      <c r="X38" s="2014"/>
      <c r="Y38" s="2005"/>
      <c r="Z38" s="2014"/>
      <c r="AA38" s="2014"/>
      <c r="AB38" s="2005"/>
      <c r="AC38" s="2036"/>
      <c r="AD38" s="2119"/>
      <c r="AE38" s="2629"/>
      <c r="AF38" s="1996"/>
      <c r="AG38" s="2119"/>
      <c r="AH38" s="276"/>
      <c r="AI38" s="54"/>
      <c r="AJ38" s="641"/>
      <c r="AK38" s="641"/>
      <c r="AL38" s="1430"/>
      <c r="AM38" s="782"/>
    </row>
    <row r="39" spans="1:39" ht="15" customHeight="1">
      <c r="A39" s="147"/>
      <c r="B39" s="258" t="s">
        <v>1014</v>
      </c>
      <c r="C39" s="31"/>
      <c r="D39" s="679"/>
      <c r="E39" s="1529"/>
      <c r="F39" s="679"/>
      <c r="G39" s="1529"/>
      <c r="H39" s="1529"/>
      <c r="I39" s="1529"/>
      <c r="J39" s="679"/>
      <c r="K39" s="64"/>
      <c r="L39" s="75"/>
      <c r="M39" s="64"/>
      <c r="N39" s="75"/>
      <c r="O39" s="64"/>
      <c r="P39" s="2014"/>
      <c r="Q39" s="2005"/>
      <c r="R39" s="2014"/>
      <c r="S39" s="2005"/>
      <c r="T39" s="2014"/>
      <c r="U39" s="2005"/>
      <c r="V39" s="2014"/>
      <c r="W39" s="2005"/>
      <c r="X39" s="2014"/>
      <c r="Y39" s="2005"/>
      <c r="Z39" s="2014"/>
      <c r="AA39" s="2014"/>
      <c r="AB39" s="2005"/>
      <c r="AC39" s="2036"/>
      <c r="AD39" s="1994"/>
      <c r="AE39" s="1994"/>
      <c r="AF39" s="1996"/>
      <c r="AG39" s="1994"/>
      <c r="AH39" s="272"/>
      <c r="AI39" s="54"/>
      <c r="AJ39" s="641"/>
      <c r="AK39" s="641"/>
      <c r="AL39" s="1430"/>
      <c r="AM39" s="782"/>
    </row>
    <row r="40" spans="1:39" ht="15" customHeight="1">
      <c r="A40" s="147"/>
      <c r="B40" s="890" t="s">
        <v>1133</v>
      </c>
      <c r="C40" s="31"/>
      <c r="D40" s="679"/>
      <c r="E40" s="1529"/>
      <c r="F40" s="679"/>
      <c r="G40" s="1529"/>
      <c r="H40" s="1529"/>
      <c r="I40" s="1529"/>
      <c r="J40" s="679"/>
      <c r="K40" s="64"/>
      <c r="L40" s="75"/>
      <c r="M40" s="64"/>
      <c r="N40" s="75"/>
      <c r="O40" s="64"/>
      <c r="P40" s="2014"/>
      <c r="Q40" s="2005"/>
      <c r="R40" s="2014"/>
      <c r="S40" s="2005"/>
      <c r="T40" s="2014"/>
      <c r="U40" s="2005"/>
      <c r="V40" s="2014"/>
      <c r="W40" s="2005"/>
      <c r="X40" s="2014"/>
      <c r="Y40" s="2005"/>
      <c r="Z40" s="2014"/>
      <c r="AA40" s="2014"/>
      <c r="AB40" s="2005"/>
      <c r="AC40" s="2036"/>
      <c r="AD40" s="1994"/>
      <c r="AE40" s="1994"/>
      <c r="AF40" s="1996"/>
      <c r="AG40" s="1994"/>
      <c r="AH40" s="272"/>
      <c r="AI40" s="54"/>
      <c r="AJ40" s="641"/>
      <c r="AK40" s="641"/>
      <c r="AL40" s="1430"/>
      <c r="AM40" s="782"/>
    </row>
    <row r="41" spans="1:39" s="885" customFormat="1" ht="15" customHeight="1">
      <c r="A41" s="1068"/>
      <c r="B41" s="890" t="s">
        <v>1047</v>
      </c>
      <c r="C41" s="104"/>
      <c r="D41" s="894">
        <v>1.2000000000000002</v>
      </c>
      <c r="E41" s="893"/>
      <c r="F41" s="894">
        <v>0.69999999999999973</v>
      </c>
      <c r="G41" s="893"/>
      <c r="H41" s="894">
        <v>0.80000000000000027</v>
      </c>
      <c r="I41" s="893"/>
      <c r="J41" s="894">
        <v>0.89999999999999991</v>
      </c>
      <c r="K41" s="1535"/>
      <c r="L41" s="894">
        <v>0.80000000000000027</v>
      </c>
      <c r="M41" s="1535"/>
      <c r="N41" s="894">
        <v>1.1999999999999993</v>
      </c>
      <c r="O41" s="1535"/>
      <c r="P41" s="894">
        <f>$AD41-$D41-$F41-$H41-$J41-$L41-$N41</f>
        <v>0.80000000000000027</v>
      </c>
      <c r="Q41" s="1997"/>
      <c r="R41" s="1788"/>
      <c r="S41" s="1997"/>
      <c r="T41" s="1788"/>
      <c r="U41" s="1997"/>
      <c r="V41" s="1788"/>
      <c r="W41" s="1997"/>
      <c r="X41" s="1788"/>
      <c r="Y41" s="1997"/>
      <c r="Z41" s="1788"/>
      <c r="AA41" s="1998"/>
      <c r="AB41" s="1999"/>
      <c r="AC41" s="2001"/>
      <c r="AD41" s="1788">
        <v>6.4</v>
      </c>
      <c r="AE41" s="2031"/>
      <c r="AF41" s="3174"/>
      <c r="AG41" s="1788">
        <v>6.8</v>
      </c>
      <c r="AH41" s="1071"/>
      <c r="AI41" s="65"/>
      <c r="AJ41" s="893">
        <f>ROUND(SUM(+AD41-AG41),1)</f>
        <v>-0.4</v>
      </c>
      <c r="AK41" s="893"/>
      <c r="AL41" s="1817">
        <f>ROUND(IF(AG41=0,0,AJ41/ABS(AG41)),3)</f>
        <v>-5.8999999999999997E-2</v>
      </c>
      <c r="AM41" s="1818"/>
    </row>
    <row r="42" spans="1:39" s="885" customFormat="1" ht="15" customHeight="1">
      <c r="A42" s="1068"/>
      <c r="B42" s="890" t="s">
        <v>1134</v>
      </c>
      <c r="C42" s="104"/>
      <c r="D42" s="894" t="s">
        <v>15</v>
      </c>
      <c r="E42" s="1529"/>
      <c r="F42" s="894"/>
      <c r="G42" s="1529"/>
      <c r="H42" s="894"/>
      <c r="I42" s="1529"/>
      <c r="J42" s="894"/>
      <c r="K42" s="115"/>
      <c r="L42" s="894"/>
      <c r="M42" s="893"/>
      <c r="N42" s="894"/>
      <c r="O42" s="115"/>
      <c r="P42" s="894"/>
      <c r="Q42" s="1994"/>
      <c r="R42" s="1788"/>
      <c r="S42" s="1994"/>
      <c r="T42" s="1788"/>
      <c r="U42" s="1994"/>
      <c r="V42" s="1788"/>
      <c r="W42" s="1994"/>
      <c r="X42" s="1788"/>
      <c r="Y42" s="1994"/>
      <c r="Z42" s="1788"/>
      <c r="AA42" s="1993"/>
      <c r="AB42" s="1994"/>
      <c r="AC42" s="2038"/>
      <c r="AD42" s="1994"/>
      <c r="AE42" s="1994"/>
      <c r="AF42" s="1996"/>
      <c r="AG42" s="1994"/>
      <c r="AH42" s="1071"/>
      <c r="AI42" s="65"/>
      <c r="AJ42" s="893"/>
      <c r="AK42" s="893"/>
      <c r="AL42" s="1817"/>
      <c r="AM42" s="1818"/>
    </row>
    <row r="43" spans="1:39" s="885" customFormat="1" ht="15" customHeight="1">
      <c r="A43" s="1068"/>
      <c r="B43" s="890" t="s">
        <v>1049</v>
      </c>
      <c r="C43" s="104"/>
      <c r="D43" s="894">
        <v>42.7</v>
      </c>
      <c r="E43" s="1529"/>
      <c r="F43" s="894">
        <v>21.799999999999997</v>
      </c>
      <c r="G43" s="1529"/>
      <c r="H43" s="894">
        <v>82.4</v>
      </c>
      <c r="I43" s="1529"/>
      <c r="J43" s="894">
        <v>69.799999999999983</v>
      </c>
      <c r="K43" s="1535"/>
      <c r="L43" s="894">
        <v>33.399999999999977</v>
      </c>
      <c r="M43" s="1535"/>
      <c r="N43" s="894">
        <v>65.500000000000057</v>
      </c>
      <c r="O43" s="1535"/>
      <c r="P43" s="894">
        <f t="shared" ref="P43:P79" si="5">$AD43-$D43-$F43-$H43-$J43-$L43-$N43</f>
        <v>88.9</v>
      </c>
      <c r="Q43" s="1997"/>
      <c r="R43" s="1788"/>
      <c r="S43" s="1997"/>
      <c r="T43" s="1788"/>
      <c r="U43" s="1997"/>
      <c r="V43" s="1788"/>
      <c r="W43" s="1997"/>
      <c r="X43" s="1788"/>
      <c r="Y43" s="1997"/>
      <c r="Z43" s="1788"/>
      <c r="AA43" s="1998"/>
      <c r="AB43" s="1999"/>
      <c r="AC43" s="2001"/>
      <c r="AD43" s="1788">
        <v>404.5</v>
      </c>
      <c r="AE43" s="2031"/>
      <c r="AF43" s="3174"/>
      <c r="AG43" s="1788">
        <v>423.7</v>
      </c>
      <c r="AH43" s="1071"/>
      <c r="AI43" s="65"/>
      <c r="AJ43" s="893">
        <f>ROUND(SUM(+AD43-AG43),1)</f>
        <v>-19.2</v>
      </c>
      <c r="AK43" s="893"/>
      <c r="AL43" s="1817">
        <f>ROUND(IF(AG43=0,0,AJ43/ABS(AG43)),3)</f>
        <v>-4.4999999999999998E-2</v>
      </c>
      <c r="AM43" s="1818"/>
    </row>
    <row r="44" spans="1:39" s="885" customFormat="1" ht="15" customHeight="1">
      <c r="A44" s="1068"/>
      <c r="B44" s="890" t="s">
        <v>1050</v>
      </c>
      <c r="C44" s="104"/>
      <c r="D44" s="894">
        <v>569.29999999999995</v>
      </c>
      <c r="E44" s="1529"/>
      <c r="F44" s="894">
        <v>464.70000000000005</v>
      </c>
      <c r="G44" s="1529"/>
      <c r="H44" s="894">
        <v>504.40000000000009</v>
      </c>
      <c r="I44" s="1529"/>
      <c r="J44" s="894">
        <v>440.79999999999995</v>
      </c>
      <c r="K44" s="1535"/>
      <c r="L44" s="894">
        <v>461.49999999999977</v>
      </c>
      <c r="M44" s="1535"/>
      <c r="N44" s="894">
        <v>517.29999999999995</v>
      </c>
      <c r="O44" s="1535"/>
      <c r="P44" s="894">
        <f t="shared" si="5"/>
        <v>505.70000000000005</v>
      </c>
      <c r="Q44" s="1997"/>
      <c r="R44" s="1788"/>
      <c r="S44" s="1997"/>
      <c r="T44" s="1788"/>
      <c r="U44" s="1997"/>
      <c r="V44" s="1788"/>
      <c r="W44" s="1997"/>
      <c r="X44" s="1788"/>
      <c r="Y44" s="1997"/>
      <c r="Z44" s="1788"/>
      <c r="AA44" s="1998"/>
      <c r="AB44" s="1999"/>
      <c r="AC44" s="2001"/>
      <c r="AD44" s="1788">
        <v>3463.7</v>
      </c>
      <c r="AE44" s="2031"/>
      <c r="AF44" s="3174"/>
      <c r="AG44" s="1788">
        <v>3804.4</v>
      </c>
      <c r="AH44" s="1071"/>
      <c r="AI44" s="65"/>
      <c r="AJ44" s="893">
        <f>ROUND(SUM(+AD44-AG44),1)</f>
        <v>-340.7</v>
      </c>
      <c r="AK44" s="893"/>
      <c r="AL44" s="1817">
        <f>ROUND(IF(AG44=0,0,AJ44/ABS(AG44)),3)</f>
        <v>-0.09</v>
      </c>
      <c r="AM44" s="1818"/>
    </row>
    <row r="45" spans="1:39" ht="15" customHeight="1">
      <c r="A45" s="147"/>
      <c r="B45" s="890" t="s">
        <v>1051</v>
      </c>
      <c r="C45" s="31"/>
      <c r="D45" s="894">
        <v>0.1</v>
      </c>
      <c r="E45" s="1529"/>
      <c r="F45" s="894">
        <v>0</v>
      </c>
      <c r="G45" s="1529"/>
      <c r="H45" s="894">
        <v>0.4</v>
      </c>
      <c r="I45" s="1529"/>
      <c r="J45" s="894">
        <v>4.4000000000000004</v>
      </c>
      <c r="K45" s="1535"/>
      <c r="L45" s="894">
        <v>0.39999999999999947</v>
      </c>
      <c r="M45" s="1535"/>
      <c r="N45" s="894">
        <v>45.400000000000006</v>
      </c>
      <c r="O45" s="1535"/>
      <c r="P45" s="894">
        <f t="shared" si="5"/>
        <v>-10.100000000000001</v>
      </c>
      <c r="Q45" s="1997"/>
      <c r="R45" s="1788"/>
      <c r="S45" s="1997"/>
      <c r="T45" s="1788"/>
      <c r="U45" s="1997"/>
      <c r="V45" s="1788"/>
      <c r="W45" s="1997"/>
      <c r="X45" s="1788"/>
      <c r="Y45" s="1997"/>
      <c r="Z45" s="1788"/>
      <c r="AA45" s="1998"/>
      <c r="AB45" s="1999"/>
      <c r="AC45" s="2001"/>
      <c r="AD45" s="1788">
        <v>40.6</v>
      </c>
      <c r="AE45" s="2031"/>
      <c r="AF45" s="3174"/>
      <c r="AG45" s="1788">
        <v>44.9</v>
      </c>
      <c r="AH45" s="272"/>
      <c r="AI45" s="54"/>
      <c r="AJ45" s="641">
        <f>ROUND(SUM(+AD45-AG45),1)</f>
        <v>-4.3</v>
      </c>
      <c r="AK45" s="641"/>
      <c r="AL45" s="1430">
        <f>ROUND(IF(AG45=0,0,AJ45/ABS(AG45)),3)</f>
        <v>-9.6000000000000002E-2</v>
      </c>
      <c r="AM45" s="782"/>
    </row>
    <row r="46" spans="1:39" ht="15" customHeight="1">
      <c r="A46" s="147"/>
      <c r="B46" s="890" t="s">
        <v>1052</v>
      </c>
      <c r="C46" s="31"/>
      <c r="D46" s="894">
        <v>0</v>
      </c>
      <c r="E46" s="1529"/>
      <c r="F46" s="894">
        <v>0</v>
      </c>
      <c r="G46" s="1529"/>
      <c r="H46" s="894">
        <v>0</v>
      </c>
      <c r="I46" s="1529"/>
      <c r="J46" s="894">
        <v>0</v>
      </c>
      <c r="K46" s="1535"/>
      <c r="L46" s="894">
        <v>0</v>
      </c>
      <c r="M46" s="1535"/>
      <c r="N46" s="894">
        <v>0</v>
      </c>
      <c r="O46" s="1535"/>
      <c r="P46" s="894">
        <f t="shared" si="5"/>
        <v>0</v>
      </c>
      <c r="Q46" s="1997"/>
      <c r="R46" s="1788"/>
      <c r="S46" s="1997"/>
      <c r="T46" s="1788"/>
      <c r="U46" s="1997"/>
      <c r="V46" s="1788"/>
      <c r="W46" s="1997"/>
      <c r="X46" s="1788"/>
      <c r="Y46" s="1997"/>
      <c r="Z46" s="1788"/>
      <c r="AA46" s="1998"/>
      <c r="AB46" s="1999"/>
      <c r="AC46" s="2001"/>
      <c r="AD46" s="1788">
        <v>0</v>
      </c>
      <c r="AE46" s="2031"/>
      <c r="AF46" s="3174"/>
      <c r="AG46" s="1788">
        <v>0.19999999999999998</v>
      </c>
      <c r="AH46" s="272"/>
      <c r="AI46" s="54"/>
      <c r="AJ46" s="641">
        <f>ROUND(SUM(+AD46-AG46),1)</f>
        <v>-0.2</v>
      </c>
      <c r="AK46" s="641"/>
      <c r="AL46" s="1430">
        <f>ROUND(IF(AG46=0,0,AJ46/ABS(AG46)),3)</f>
        <v>-1</v>
      </c>
      <c r="AM46" s="782"/>
    </row>
    <row r="47" spans="1:39" s="885" customFormat="1" ht="15" customHeight="1">
      <c r="A47" s="1068"/>
      <c r="B47" s="890" t="s">
        <v>1139</v>
      </c>
      <c r="C47" s="104"/>
      <c r="D47" s="894" t="s">
        <v>15</v>
      </c>
      <c r="E47" s="1529"/>
      <c r="F47" s="894"/>
      <c r="G47" s="1529"/>
      <c r="H47" s="894"/>
      <c r="I47" s="1529"/>
      <c r="J47" s="894"/>
      <c r="K47" s="115"/>
      <c r="L47" s="894"/>
      <c r="M47" s="115"/>
      <c r="N47" s="894"/>
      <c r="O47" s="115"/>
      <c r="P47" s="894"/>
      <c r="Q47" s="1994"/>
      <c r="R47" s="1788"/>
      <c r="S47" s="1994"/>
      <c r="T47" s="1788"/>
      <c r="U47" s="1994"/>
      <c r="V47" s="1788"/>
      <c r="W47" s="1994"/>
      <c r="X47" s="1788"/>
      <c r="Y47" s="1994"/>
      <c r="Z47" s="1788"/>
      <c r="AA47" s="1993"/>
      <c r="AB47" s="1994"/>
      <c r="AC47" s="2038"/>
      <c r="AD47" s="3166"/>
      <c r="AE47" s="1994"/>
      <c r="AF47" s="1996"/>
      <c r="AG47" s="3166"/>
      <c r="AH47" s="1071"/>
      <c r="AI47" s="65"/>
      <c r="AJ47" s="893"/>
      <c r="AK47" s="893"/>
      <c r="AL47" s="1817"/>
      <c r="AM47" s="1818"/>
    </row>
    <row r="48" spans="1:39" s="885" customFormat="1" ht="15" customHeight="1">
      <c r="A48" s="1068"/>
      <c r="B48" s="890" t="s">
        <v>1231</v>
      </c>
      <c r="C48" s="104"/>
      <c r="D48" s="894">
        <v>0</v>
      </c>
      <c r="E48" s="1529"/>
      <c r="F48" s="894">
        <v>0</v>
      </c>
      <c r="G48" s="1529"/>
      <c r="H48" s="894">
        <v>0.1</v>
      </c>
      <c r="I48" s="1529"/>
      <c r="J48" s="894">
        <v>0.19999999999999998</v>
      </c>
      <c r="K48" s="1535"/>
      <c r="L48" s="894">
        <v>0.70000000000000007</v>
      </c>
      <c r="M48" s="1535"/>
      <c r="N48" s="894">
        <v>0.69999999999999984</v>
      </c>
      <c r="O48" s="1535"/>
      <c r="P48" s="894">
        <f t="shared" si="5"/>
        <v>0.10000000000000009</v>
      </c>
      <c r="Q48" s="1997"/>
      <c r="R48" s="1788"/>
      <c r="S48" s="1997"/>
      <c r="T48" s="1788"/>
      <c r="U48" s="1997"/>
      <c r="V48" s="1788"/>
      <c r="W48" s="1997"/>
      <c r="X48" s="1788"/>
      <c r="Y48" s="1997"/>
      <c r="Z48" s="1788"/>
      <c r="AA48" s="1998"/>
      <c r="AB48" s="1999"/>
      <c r="AC48" s="2001"/>
      <c r="AD48" s="1788">
        <v>1.8</v>
      </c>
      <c r="AE48" s="2031"/>
      <c r="AF48" s="3174"/>
      <c r="AG48" s="1788">
        <v>2.6</v>
      </c>
      <c r="AH48" s="1071"/>
      <c r="AI48" s="65"/>
      <c r="AJ48" s="893">
        <f t="shared" ref="AJ48:AJ54" si="6">ROUND(SUM(+AD48-AG48),1)</f>
        <v>-0.8</v>
      </c>
      <c r="AK48" s="893"/>
      <c r="AL48" s="1723">
        <f>ROUND(IF(AG48=0,0,AJ48/ABS(AG48)),3)</f>
        <v>-0.308</v>
      </c>
      <c r="AM48" s="1818"/>
    </row>
    <row r="49" spans="1:39" s="885" customFormat="1" ht="15" customHeight="1">
      <c r="A49" s="1068"/>
      <c r="B49" s="890" t="s">
        <v>1053</v>
      </c>
      <c r="C49" s="104"/>
      <c r="D49" s="894">
        <v>48.2</v>
      </c>
      <c r="E49" s="1529"/>
      <c r="F49" s="894">
        <v>70.399999999999991</v>
      </c>
      <c r="G49" s="1529"/>
      <c r="H49" s="894">
        <v>86.499999999999986</v>
      </c>
      <c r="I49" s="1529"/>
      <c r="J49" s="894">
        <v>40.800000000000011</v>
      </c>
      <c r="K49" s="1535"/>
      <c r="L49" s="894">
        <v>36.300000000000026</v>
      </c>
      <c r="M49" s="1535"/>
      <c r="N49" s="894">
        <v>94.8</v>
      </c>
      <c r="O49" s="1535"/>
      <c r="P49" s="894">
        <f t="shared" si="5"/>
        <v>46.100000000000037</v>
      </c>
      <c r="Q49" s="1997"/>
      <c r="R49" s="1788"/>
      <c r="S49" s="1997"/>
      <c r="T49" s="1788"/>
      <c r="U49" s="1997"/>
      <c r="V49" s="1788"/>
      <c r="W49" s="1997"/>
      <c r="X49" s="1788"/>
      <c r="Y49" s="1997"/>
      <c r="Z49" s="1788"/>
      <c r="AA49" s="1998"/>
      <c r="AB49" s="1999"/>
      <c r="AC49" s="2001"/>
      <c r="AD49" s="1788">
        <v>423.1</v>
      </c>
      <c r="AE49" s="2031"/>
      <c r="AF49" s="3174"/>
      <c r="AG49" s="1788">
        <v>408.8</v>
      </c>
      <c r="AH49" s="1071"/>
      <c r="AI49" s="65"/>
      <c r="AJ49" s="893">
        <f t="shared" si="6"/>
        <v>14.3</v>
      </c>
      <c r="AK49" s="893"/>
      <c r="AL49" s="1817">
        <f t="shared" ref="AL49:AL54" si="7">ROUND(IF(AG49=0,0,AJ49/ABS(AG49)),3)</f>
        <v>3.5000000000000003E-2</v>
      </c>
      <c r="AM49" s="1818"/>
    </row>
    <row r="50" spans="1:39" s="885" customFormat="1" ht="15" customHeight="1">
      <c r="A50" s="1068"/>
      <c r="B50" s="890" t="s">
        <v>1054</v>
      </c>
      <c r="C50" s="104"/>
      <c r="D50" s="894">
        <v>3.2</v>
      </c>
      <c r="E50" s="1529"/>
      <c r="F50" s="894">
        <v>2.3999999999999995</v>
      </c>
      <c r="G50" s="1529"/>
      <c r="H50" s="894">
        <v>2.5999999999999996</v>
      </c>
      <c r="I50" s="1529"/>
      <c r="J50" s="894">
        <v>1.4000000000000004</v>
      </c>
      <c r="K50" s="1535"/>
      <c r="L50" s="894">
        <v>6.1000000000000014</v>
      </c>
      <c r="M50" s="1535"/>
      <c r="N50" s="894">
        <v>4.6999999999999993</v>
      </c>
      <c r="O50" s="1535"/>
      <c r="P50" s="894">
        <f t="shared" si="5"/>
        <v>5.1000000000000032</v>
      </c>
      <c r="Q50" s="1997"/>
      <c r="R50" s="1788"/>
      <c r="S50" s="1997"/>
      <c r="T50" s="1788"/>
      <c r="U50" s="1997"/>
      <c r="V50" s="1788"/>
      <c r="W50" s="1997"/>
      <c r="X50" s="1788"/>
      <c r="Y50" s="1997"/>
      <c r="Z50" s="1788"/>
      <c r="AA50" s="1998"/>
      <c r="AB50" s="1999"/>
      <c r="AC50" s="2001"/>
      <c r="AD50" s="1788">
        <v>25.5</v>
      </c>
      <c r="AE50" s="2031"/>
      <c r="AF50" s="3174"/>
      <c r="AG50" s="1788">
        <v>32.799999999999997</v>
      </c>
      <c r="AH50" s="1071"/>
      <c r="AI50" s="65"/>
      <c r="AJ50" s="893">
        <f t="shared" si="6"/>
        <v>-7.3</v>
      </c>
      <c r="AK50" s="893"/>
      <c r="AL50" s="1817">
        <f t="shared" si="7"/>
        <v>-0.223</v>
      </c>
      <c r="AM50" s="1818"/>
    </row>
    <row r="51" spans="1:39" s="885" customFormat="1" ht="15" customHeight="1">
      <c r="A51" s="1068"/>
      <c r="B51" s="890" t="s">
        <v>1055</v>
      </c>
      <c r="C51" s="104"/>
      <c r="D51" s="894">
        <v>0.5</v>
      </c>
      <c r="E51" s="1529"/>
      <c r="F51" s="894">
        <v>0.30000000000000004</v>
      </c>
      <c r="G51" s="1529"/>
      <c r="H51" s="894">
        <v>9.9999999999999978E-2</v>
      </c>
      <c r="I51" s="1529"/>
      <c r="J51" s="894">
        <v>1.5</v>
      </c>
      <c r="K51" s="1535"/>
      <c r="L51" s="894">
        <v>0</v>
      </c>
      <c r="M51" s="1535"/>
      <c r="N51" s="894">
        <v>0</v>
      </c>
      <c r="O51" s="1535"/>
      <c r="P51" s="894">
        <f t="shared" si="5"/>
        <v>0.39999999999999991</v>
      </c>
      <c r="Q51" s="1997"/>
      <c r="R51" s="1788"/>
      <c r="S51" s="1997"/>
      <c r="T51" s="1788"/>
      <c r="U51" s="1997"/>
      <c r="V51" s="1788"/>
      <c r="W51" s="1997"/>
      <c r="X51" s="1788"/>
      <c r="Y51" s="1997"/>
      <c r="Z51" s="1788"/>
      <c r="AA51" s="1998"/>
      <c r="AB51" s="1999"/>
      <c r="AC51" s="2001"/>
      <c r="AD51" s="1788">
        <v>2.8</v>
      </c>
      <c r="AE51" s="2031"/>
      <c r="AF51" s="3174"/>
      <c r="AG51" s="1788">
        <v>3.8</v>
      </c>
      <c r="AH51" s="1071"/>
      <c r="AI51" s="65"/>
      <c r="AJ51" s="893">
        <f t="shared" si="6"/>
        <v>-1</v>
      </c>
      <c r="AK51" s="893"/>
      <c r="AL51" s="1817">
        <f>ROUND(IF(AG51=0,1,AJ51/ABS(AG51)),3)</f>
        <v>-0.26300000000000001</v>
      </c>
      <c r="AM51" s="1818"/>
    </row>
    <row r="52" spans="1:39" s="885" customFormat="1" ht="15" customHeight="1">
      <c r="A52" s="1068"/>
      <c r="B52" s="890" t="s">
        <v>1056</v>
      </c>
      <c r="C52" s="104"/>
      <c r="D52" s="894">
        <v>18.399999999999999</v>
      </c>
      <c r="E52" s="1529"/>
      <c r="F52" s="894">
        <v>15.800000000000004</v>
      </c>
      <c r="G52" s="1529"/>
      <c r="H52" s="894">
        <v>17</v>
      </c>
      <c r="I52" s="1529"/>
      <c r="J52" s="894">
        <v>30.599999999999994</v>
      </c>
      <c r="K52" s="1535"/>
      <c r="L52" s="894">
        <v>27</v>
      </c>
      <c r="M52" s="1535"/>
      <c r="N52" s="894">
        <v>28.299999999999983</v>
      </c>
      <c r="O52" s="1535"/>
      <c r="P52" s="894">
        <f t="shared" si="5"/>
        <v>15.800000000000011</v>
      </c>
      <c r="Q52" s="1997"/>
      <c r="R52" s="1788"/>
      <c r="S52" s="1997"/>
      <c r="T52" s="1788"/>
      <c r="U52" s="1997"/>
      <c r="V52" s="1788"/>
      <c r="W52" s="1997"/>
      <c r="X52" s="1788"/>
      <c r="Y52" s="1997"/>
      <c r="Z52" s="1788"/>
      <c r="AA52" s="1998"/>
      <c r="AB52" s="1999"/>
      <c r="AC52" s="2001"/>
      <c r="AD52" s="1788">
        <v>152.9</v>
      </c>
      <c r="AE52" s="2031"/>
      <c r="AF52" s="3174"/>
      <c r="AG52" s="1788">
        <v>168.4</v>
      </c>
      <c r="AH52" s="1071"/>
      <c r="AI52" s="65"/>
      <c r="AJ52" s="893">
        <f t="shared" si="6"/>
        <v>-15.5</v>
      </c>
      <c r="AK52" s="893"/>
      <c r="AL52" s="1817">
        <f t="shared" si="7"/>
        <v>-9.1999999999999998E-2</v>
      </c>
      <c r="AM52" s="1818"/>
    </row>
    <row r="53" spans="1:39" s="885" customFormat="1" ht="15" customHeight="1">
      <c r="A53" s="1068"/>
      <c r="B53" s="890" t="s">
        <v>1057</v>
      </c>
      <c r="C53" s="104"/>
      <c r="D53" s="894">
        <v>43</v>
      </c>
      <c r="E53" s="1529"/>
      <c r="F53" s="894">
        <v>0</v>
      </c>
      <c r="G53" s="1529"/>
      <c r="H53" s="894">
        <v>36</v>
      </c>
      <c r="I53" s="1529"/>
      <c r="J53" s="894">
        <v>34.299999999999997</v>
      </c>
      <c r="K53" s="1535"/>
      <c r="L53" s="894">
        <v>31.799999999999997</v>
      </c>
      <c r="M53" s="1535"/>
      <c r="N53" s="894">
        <v>144.29999999999995</v>
      </c>
      <c r="O53" s="1535"/>
      <c r="P53" s="894">
        <f t="shared" si="5"/>
        <v>83.300000000000011</v>
      </c>
      <c r="Q53" s="1997"/>
      <c r="R53" s="1788"/>
      <c r="S53" s="1997"/>
      <c r="T53" s="1788"/>
      <c r="U53" s="1997"/>
      <c r="V53" s="1788"/>
      <c r="W53" s="1997"/>
      <c r="X53" s="1788"/>
      <c r="Y53" s="1997"/>
      <c r="Z53" s="1788"/>
      <c r="AA53" s="1998"/>
      <c r="AB53" s="1999"/>
      <c r="AC53" s="2001"/>
      <c r="AD53" s="1788">
        <v>372.7</v>
      </c>
      <c r="AE53" s="2031"/>
      <c r="AF53" s="3174"/>
      <c r="AG53" s="1788">
        <v>510.7</v>
      </c>
      <c r="AH53" s="1071"/>
      <c r="AI53" s="65"/>
      <c r="AJ53" s="893">
        <f t="shared" si="6"/>
        <v>-138</v>
      </c>
      <c r="AK53" s="893"/>
      <c r="AL53" s="1817">
        <f t="shared" si="7"/>
        <v>-0.27</v>
      </c>
      <c r="AM53" s="1818"/>
    </row>
    <row r="54" spans="1:39" s="885" customFormat="1" ht="15" customHeight="1">
      <c r="A54" s="1068"/>
      <c r="B54" s="890" t="s">
        <v>1015</v>
      </c>
      <c r="C54" s="104"/>
      <c r="D54" s="894">
        <v>9.6999999999999993</v>
      </c>
      <c r="E54" s="1529"/>
      <c r="F54" s="894">
        <v>5.6000000000000014</v>
      </c>
      <c r="G54" s="1529"/>
      <c r="H54" s="894">
        <v>1.3999999999999986</v>
      </c>
      <c r="I54" s="1529"/>
      <c r="J54" s="894">
        <v>13.8</v>
      </c>
      <c r="K54" s="1535"/>
      <c r="L54" s="894">
        <v>0.19999999999999929</v>
      </c>
      <c r="M54" s="1535"/>
      <c r="N54" s="894">
        <v>5.5999999999999979</v>
      </c>
      <c r="O54" s="1535"/>
      <c r="P54" s="894">
        <f t="shared" si="5"/>
        <v>65.299999999999983</v>
      </c>
      <c r="Q54" s="1997"/>
      <c r="R54" s="1788"/>
      <c r="S54" s="1997"/>
      <c r="T54" s="1788"/>
      <c r="U54" s="1997"/>
      <c r="V54" s="1788"/>
      <c r="W54" s="1997"/>
      <c r="X54" s="1788"/>
      <c r="Y54" s="1997"/>
      <c r="Z54" s="1788"/>
      <c r="AA54" s="1998"/>
      <c r="AB54" s="1999"/>
      <c r="AC54" s="2001"/>
      <c r="AD54" s="1788">
        <v>101.6</v>
      </c>
      <c r="AE54" s="2031"/>
      <c r="AF54" s="3174"/>
      <c r="AG54" s="1788">
        <v>217.79999999999998</v>
      </c>
      <c r="AH54" s="1071"/>
      <c r="AI54" s="65"/>
      <c r="AJ54" s="893">
        <f t="shared" si="6"/>
        <v>-116.2</v>
      </c>
      <c r="AK54" s="893"/>
      <c r="AL54" s="1728">
        <f t="shared" si="7"/>
        <v>-0.53400000000000003</v>
      </c>
      <c r="AM54" s="1818"/>
    </row>
    <row r="55" spans="1:39" s="885" customFormat="1" ht="15" customHeight="1">
      <c r="A55" s="1068"/>
      <c r="B55" s="890" t="s">
        <v>1136</v>
      </c>
      <c r="C55" s="104"/>
      <c r="D55" s="894" t="s">
        <v>15</v>
      </c>
      <c r="E55" s="1529"/>
      <c r="F55" s="894"/>
      <c r="G55" s="1529"/>
      <c r="H55" s="894"/>
      <c r="I55" s="1529"/>
      <c r="J55" s="894"/>
      <c r="K55" s="115"/>
      <c r="L55" s="894"/>
      <c r="M55" s="115"/>
      <c r="N55" s="894"/>
      <c r="O55" s="115"/>
      <c r="P55" s="894"/>
      <c r="Q55" s="1994"/>
      <c r="R55" s="1788"/>
      <c r="S55" s="1994"/>
      <c r="T55" s="1788"/>
      <c r="U55" s="1994"/>
      <c r="V55" s="1788"/>
      <c r="W55" s="1994"/>
      <c r="X55" s="1788"/>
      <c r="Y55" s="1994"/>
      <c r="Z55" s="1788"/>
      <c r="AA55" s="1993"/>
      <c r="AB55" s="1994"/>
      <c r="AC55" s="2038"/>
      <c r="AD55" s="1994"/>
      <c r="AE55" s="1994"/>
      <c r="AF55" s="1996"/>
      <c r="AG55" s="1994"/>
      <c r="AH55" s="1071"/>
      <c r="AI55" s="65"/>
      <c r="AJ55" s="893"/>
      <c r="AK55" s="893"/>
      <c r="AL55" s="1817"/>
      <c r="AM55" s="1818"/>
    </row>
    <row r="56" spans="1:39" s="885" customFormat="1" ht="15" customHeight="1">
      <c r="A56" s="1068"/>
      <c r="B56" s="890" t="s">
        <v>1058</v>
      </c>
      <c r="C56" s="104"/>
      <c r="D56" s="894">
        <v>0</v>
      </c>
      <c r="E56" s="1529"/>
      <c r="F56" s="894">
        <v>0</v>
      </c>
      <c r="G56" s="1529"/>
      <c r="H56" s="894">
        <v>0</v>
      </c>
      <c r="I56" s="1529"/>
      <c r="J56" s="894">
        <v>20.8</v>
      </c>
      <c r="K56" s="1535"/>
      <c r="L56" s="894">
        <v>0</v>
      </c>
      <c r="M56" s="1535"/>
      <c r="N56" s="894">
        <v>8</v>
      </c>
      <c r="O56" s="1535"/>
      <c r="P56" s="894">
        <f t="shared" si="5"/>
        <v>33.400000000000006</v>
      </c>
      <c r="Q56" s="1997"/>
      <c r="R56" s="1788"/>
      <c r="S56" s="1997"/>
      <c r="T56" s="1788"/>
      <c r="U56" s="1997"/>
      <c r="V56" s="1788"/>
      <c r="W56" s="1997"/>
      <c r="X56" s="1788"/>
      <c r="Y56" s="1997"/>
      <c r="Z56" s="1788"/>
      <c r="AA56" s="1998"/>
      <c r="AB56" s="1999"/>
      <c r="AC56" s="2001"/>
      <c r="AD56" s="1788">
        <v>62.2</v>
      </c>
      <c r="AE56" s="2031"/>
      <c r="AF56" s="3174"/>
      <c r="AG56" s="1788">
        <v>179.7</v>
      </c>
      <c r="AH56" s="1071"/>
      <c r="AI56" s="65"/>
      <c r="AJ56" s="893">
        <f>ROUND(SUM(+AD56-AG56),1)</f>
        <v>-117.5</v>
      </c>
      <c r="AK56" s="893"/>
      <c r="AL56" s="1728">
        <f>ROUND(IF(AG56=0,0,AJ56/ABS(AG56)),3)</f>
        <v>-0.65400000000000003</v>
      </c>
      <c r="AM56" s="1818"/>
    </row>
    <row r="57" spans="1:39" s="885" customFormat="1" ht="15" customHeight="1">
      <c r="A57" s="1068"/>
      <c r="B57" s="890" t="s">
        <v>1059</v>
      </c>
      <c r="C57" s="104"/>
      <c r="D57" s="894">
        <v>157</v>
      </c>
      <c r="E57" s="1529"/>
      <c r="F57" s="894">
        <v>142.10000000000002</v>
      </c>
      <c r="G57" s="1529"/>
      <c r="H57" s="894">
        <v>173.79999999999995</v>
      </c>
      <c r="I57" s="1529"/>
      <c r="J57" s="894">
        <v>202.20000000000005</v>
      </c>
      <c r="K57" s="1535"/>
      <c r="L57" s="894">
        <v>195.89999999999998</v>
      </c>
      <c r="M57" s="1535"/>
      <c r="N57" s="894">
        <v>199.29999999999995</v>
      </c>
      <c r="O57" s="1535"/>
      <c r="P57" s="894">
        <f t="shared" si="5"/>
        <v>168.29999999999995</v>
      </c>
      <c r="Q57" s="1997"/>
      <c r="R57" s="1788"/>
      <c r="S57" s="1997"/>
      <c r="T57" s="1788"/>
      <c r="U57" s="1997"/>
      <c r="V57" s="1788"/>
      <c r="W57" s="1997"/>
      <c r="X57" s="1788"/>
      <c r="Y57" s="1997"/>
      <c r="Z57" s="1788"/>
      <c r="AA57" s="1998"/>
      <c r="AB57" s="1999"/>
      <c r="AC57" s="2001"/>
      <c r="AD57" s="1788">
        <v>1238.5999999999999</v>
      </c>
      <c r="AE57" s="2031"/>
      <c r="AF57" s="3174"/>
      <c r="AG57" s="1788">
        <v>1475</v>
      </c>
      <c r="AH57" s="1071"/>
      <c r="AI57" s="65"/>
      <c r="AJ57" s="893">
        <f>ROUND(SUM(+AD57-AG57),1)</f>
        <v>-236.4</v>
      </c>
      <c r="AK57" s="893"/>
      <c r="AL57" s="1817">
        <f>ROUND(IF(AG57=0,0,AJ57/ABS(AG57)),3)</f>
        <v>-0.16</v>
      </c>
      <c r="AM57" s="1818"/>
    </row>
    <row r="58" spans="1:39" s="885" customFormat="1" ht="15" customHeight="1">
      <c r="A58" s="1068"/>
      <c r="B58" s="890" t="s">
        <v>1060</v>
      </c>
      <c r="C58" s="104"/>
      <c r="D58" s="894">
        <v>0</v>
      </c>
      <c r="E58" s="1529"/>
      <c r="F58" s="894">
        <v>0.6</v>
      </c>
      <c r="G58" s="1529"/>
      <c r="H58" s="894">
        <v>0</v>
      </c>
      <c r="I58" s="1529"/>
      <c r="J58" s="894">
        <v>-0.39999999999999997</v>
      </c>
      <c r="K58" s="1535"/>
      <c r="L58" s="894">
        <v>0</v>
      </c>
      <c r="M58" s="1535"/>
      <c r="N58" s="894">
        <v>33.799999999999997</v>
      </c>
      <c r="O58" s="1535"/>
      <c r="P58" s="894">
        <f t="shared" si="5"/>
        <v>59.600000000000009</v>
      </c>
      <c r="Q58" s="1997"/>
      <c r="R58" s="1788"/>
      <c r="S58" s="1997"/>
      <c r="T58" s="1788"/>
      <c r="U58" s="1997"/>
      <c r="V58" s="1788"/>
      <c r="W58" s="1997"/>
      <c r="X58" s="1788"/>
      <c r="Y58" s="1997"/>
      <c r="Z58" s="1788"/>
      <c r="AA58" s="1998"/>
      <c r="AB58" s="1999"/>
      <c r="AC58" s="2001"/>
      <c r="AD58" s="1788">
        <v>93.6</v>
      </c>
      <c r="AE58" s="2031"/>
      <c r="AF58" s="3174"/>
      <c r="AG58" s="1788">
        <v>566.4</v>
      </c>
      <c r="AH58" s="1071"/>
      <c r="AI58" s="65"/>
      <c r="AJ58" s="893">
        <f>ROUND(SUM(+AD58-AG58),1)</f>
        <v>-472.8</v>
      </c>
      <c r="AK58" s="893"/>
      <c r="AL58" s="1817">
        <f>ROUND(IF(AG58=0,0,AJ58/ABS(AG58)),3)</f>
        <v>-0.83499999999999996</v>
      </c>
      <c r="AM58" s="1818"/>
    </row>
    <row r="59" spans="1:39" ht="15" customHeight="1">
      <c r="A59" s="147"/>
      <c r="B59" s="890" t="s">
        <v>1016</v>
      </c>
      <c r="C59" s="31"/>
      <c r="D59" s="894">
        <v>13.5</v>
      </c>
      <c r="E59" s="1529"/>
      <c r="F59" s="894">
        <v>7.8000000000000007</v>
      </c>
      <c r="G59" s="1529"/>
      <c r="H59" s="894">
        <v>6.0999999999999979</v>
      </c>
      <c r="I59" s="1529"/>
      <c r="J59" s="894">
        <v>3.4000000000000021</v>
      </c>
      <c r="K59" s="1535"/>
      <c r="L59" s="894">
        <v>3.9999999999999964</v>
      </c>
      <c r="M59" s="1535"/>
      <c r="N59" s="894">
        <v>3.4000000000000057</v>
      </c>
      <c r="O59" s="1535"/>
      <c r="P59" s="894">
        <f t="shared" si="5"/>
        <v>3.2999999999999972</v>
      </c>
      <c r="Q59" s="1997"/>
      <c r="R59" s="1788"/>
      <c r="S59" s="1997"/>
      <c r="T59" s="1788"/>
      <c r="U59" s="1997"/>
      <c r="V59" s="1788"/>
      <c r="W59" s="1997"/>
      <c r="X59" s="1788"/>
      <c r="Y59" s="1997"/>
      <c r="Z59" s="1788"/>
      <c r="AA59" s="1998"/>
      <c r="AB59" s="1999"/>
      <c r="AC59" s="2001"/>
      <c r="AD59" s="1788">
        <v>41.5</v>
      </c>
      <c r="AE59" s="2031"/>
      <c r="AF59" s="3174"/>
      <c r="AG59" s="1788">
        <v>138.69999999999999</v>
      </c>
      <c r="AH59" s="272"/>
      <c r="AI59" s="54"/>
      <c r="AJ59" s="641">
        <f>ROUND(SUM(+AD59-AG59),1)</f>
        <v>-97.2</v>
      </c>
      <c r="AK59" s="641"/>
      <c r="AL59" s="1430">
        <f>ROUND(IF(AG59=0,0,AJ59/ABS(AG59)),3)</f>
        <v>-0.70099999999999996</v>
      </c>
      <c r="AM59" s="782"/>
    </row>
    <row r="60" spans="1:39" s="885" customFormat="1" ht="15" customHeight="1">
      <c r="A60" s="1068"/>
      <c r="B60" s="890" t="s">
        <v>1137</v>
      </c>
      <c r="C60" s="104"/>
      <c r="D60" s="894" t="s">
        <v>15</v>
      </c>
      <c r="E60" s="1529"/>
      <c r="F60" s="894"/>
      <c r="G60" s="1529"/>
      <c r="H60" s="894"/>
      <c r="I60" s="1529"/>
      <c r="J60" s="894"/>
      <c r="K60" s="115"/>
      <c r="L60" s="894"/>
      <c r="M60" s="115"/>
      <c r="N60" s="894"/>
      <c r="O60" s="115"/>
      <c r="P60" s="894"/>
      <c r="Q60" s="1994"/>
      <c r="R60" s="1788"/>
      <c r="S60" s="1994"/>
      <c r="T60" s="1788"/>
      <c r="U60" s="1994"/>
      <c r="V60" s="1788"/>
      <c r="W60" s="1994"/>
      <c r="X60" s="1788"/>
      <c r="Y60" s="1994"/>
      <c r="Z60" s="1788"/>
      <c r="AA60" s="1993"/>
      <c r="AB60" s="1994"/>
      <c r="AC60" s="2038"/>
      <c r="AD60" s="1994"/>
      <c r="AE60" s="1994"/>
      <c r="AF60" s="1996"/>
      <c r="AG60" s="1994"/>
      <c r="AH60" s="1071"/>
      <c r="AI60" s="65"/>
      <c r="AJ60" s="893"/>
      <c r="AK60" s="893"/>
      <c r="AL60" s="1817"/>
      <c r="AM60" s="1818"/>
    </row>
    <row r="61" spans="1:39" s="885" customFormat="1" ht="15" customHeight="1">
      <c r="A61" s="1068"/>
      <c r="B61" s="890" t="s">
        <v>1061</v>
      </c>
      <c r="C61" s="104"/>
      <c r="D61" s="894">
        <v>0</v>
      </c>
      <c r="E61" s="1529"/>
      <c r="F61" s="894">
        <v>0</v>
      </c>
      <c r="G61" s="1529"/>
      <c r="H61" s="894">
        <v>0</v>
      </c>
      <c r="I61" s="1529"/>
      <c r="J61" s="894">
        <v>0</v>
      </c>
      <c r="K61" s="1535"/>
      <c r="L61" s="894">
        <v>0</v>
      </c>
      <c r="M61" s="1535"/>
      <c r="N61" s="894">
        <v>0</v>
      </c>
      <c r="O61" s="1535"/>
      <c r="P61" s="894">
        <f t="shared" si="5"/>
        <v>0</v>
      </c>
      <c r="Q61" s="1997"/>
      <c r="R61" s="1788"/>
      <c r="S61" s="1997"/>
      <c r="T61" s="1788"/>
      <c r="U61" s="1997"/>
      <c r="V61" s="1788"/>
      <c r="W61" s="1997"/>
      <c r="X61" s="1788"/>
      <c r="Y61" s="1997"/>
      <c r="Z61" s="1788"/>
      <c r="AA61" s="1998"/>
      <c r="AB61" s="1999"/>
      <c r="AC61" s="2001"/>
      <c r="AD61" s="1788">
        <v>0</v>
      </c>
      <c r="AE61" s="2031"/>
      <c r="AF61" s="3174"/>
      <c r="AG61" s="1788">
        <v>0</v>
      </c>
      <c r="AH61" s="1071"/>
      <c r="AI61" s="65"/>
      <c r="AJ61" s="893">
        <f t="shared" ref="AJ61:AJ66" si="8">ROUND(SUM(+AD61-AG61),1)</f>
        <v>0</v>
      </c>
      <c r="AK61" s="893"/>
      <c r="AL61" s="1817">
        <f>ROUND(IF(AG61=0,0,AJ61/ABS(AG61)),3)</f>
        <v>0</v>
      </c>
      <c r="AM61" s="1818"/>
    </row>
    <row r="62" spans="1:39" s="885" customFormat="1" ht="15" customHeight="1">
      <c r="A62" s="1068"/>
      <c r="B62" s="890" t="s">
        <v>1062</v>
      </c>
      <c r="C62" s="104"/>
      <c r="D62" s="894">
        <v>0</v>
      </c>
      <c r="E62" s="1529"/>
      <c r="F62" s="894">
        <v>0</v>
      </c>
      <c r="G62" s="1529"/>
      <c r="H62" s="894">
        <v>0</v>
      </c>
      <c r="I62" s="1529"/>
      <c r="J62" s="894">
        <v>0</v>
      </c>
      <c r="K62" s="1535"/>
      <c r="L62" s="894">
        <v>0</v>
      </c>
      <c r="M62" s="1535"/>
      <c r="N62" s="894">
        <v>0</v>
      </c>
      <c r="O62" s="1535"/>
      <c r="P62" s="894">
        <f t="shared" si="5"/>
        <v>8.9</v>
      </c>
      <c r="Q62" s="1997"/>
      <c r="R62" s="1788"/>
      <c r="S62" s="1997"/>
      <c r="T62" s="1788"/>
      <c r="U62" s="1997"/>
      <c r="V62" s="1788"/>
      <c r="W62" s="1997"/>
      <c r="X62" s="1788"/>
      <c r="Y62" s="1997"/>
      <c r="Z62" s="1788"/>
      <c r="AA62" s="1998"/>
      <c r="AB62" s="1999"/>
      <c r="AC62" s="2001"/>
      <c r="AD62" s="1788">
        <v>8.9</v>
      </c>
      <c r="AE62" s="2031"/>
      <c r="AF62" s="3174"/>
      <c r="AG62" s="1788">
        <v>28.7</v>
      </c>
      <c r="AH62" s="1071"/>
      <c r="AI62" s="65"/>
      <c r="AJ62" s="893">
        <f t="shared" si="8"/>
        <v>-19.8</v>
      </c>
      <c r="AK62" s="893"/>
      <c r="AL62" s="1817">
        <f>ROUND(IF(AG62=0,0,AJ62/ABS(AG62)),3)</f>
        <v>-0.69</v>
      </c>
      <c r="AM62" s="1818"/>
    </row>
    <row r="63" spans="1:39" s="885" customFormat="1" ht="15" customHeight="1">
      <c r="A63" s="1068"/>
      <c r="B63" s="890" t="s">
        <v>1063</v>
      </c>
      <c r="C63" s="104"/>
      <c r="D63" s="894">
        <v>0.5</v>
      </c>
      <c r="E63" s="1529"/>
      <c r="F63" s="894">
        <v>1.4</v>
      </c>
      <c r="G63" s="1529"/>
      <c r="H63" s="894">
        <v>5.3000000000000007</v>
      </c>
      <c r="I63" s="1529"/>
      <c r="J63" s="894">
        <v>0</v>
      </c>
      <c r="K63" s="1535"/>
      <c r="L63" s="894">
        <v>0</v>
      </c>
      <c r="M63" s="1535"/>
      <c r="N63" s="894">
        <v>0</v>
      </c>
      <c r="O63" s="1535"/>
      <c r="P63" s="894">
        <f t="shared" si="5"/>
        <v>0</v>
      </c>
      <c r="Q63" s="1997"/>
      <c r="R63" s="1788"/>
      <c r="S63" s="1997"/>
      <c r="T63" s="1788"/>
      <c r="U63" s="1997"/>
      <c r="V63" s="1788"/>
      <c r="W63" s="1997"/>
      <c r="X63" s="1788"/>
      <c r="Y63" s="1997"/>
      <c r="Z63" s="1788"/>
      <c r="AA63" s="1998"/>
      <c r="AB63" s="1999"/>
      <c r="AC63" s="2001"/>
      <c r="AD63" s="1788">
        <v>7.2</v>
      </c>
      <c r="AE63" s="2031"/>
      <c r="AF63" s="3174"/>
      <c r="AG63" s="1788">
        <v>7.2</v>
      </c>
      <c r="AH63" s="1071"/>
      <c r="AI63" s="65"/>
      <c r="AJ63" s="893">
        <f t="shared" si="8"/>
        <v>0</v>
      </c>
      <c r="AK63" s="893"/>
      <c r="AL63" s="1828">
        <f>ROUND(IF(AG63=0,0,AJ63/ABS(AG63)),3)</f>
        <v>0</v>
      </c>
      <c r="AM63" s="1818"/>
    </row>
    <row r="64" spans="1:39" s="885" customFormat="1" ht="15" customHeight="1">
      <c r="A64" s="1068"/>
      <c r="B64" s="890" t="s">
        <v>1064</v>
      </c>
      <c r="C64" s="104"/>
      <c r="D64" s="894">
        <v>8.9</v>
      </c>
      <c r="E64" s="1529"/>
      <c r="F64" s="894">
        <v>0.29999999999999893</v>
      </c>
      <c r="G64" s="1529"/>
      <c r="H64" s="894">
        <v>0</v>
      </c>
      <c r="I64" s="1529"/>
      <c r="J64" s="894">
        <v>4.2000000000000011</v>
      </c>
      <c r="K64" s="1535"/>
      <c r="L64" s="894">
        <v>1.7999999999999989</v>
      </c>
      <c r="M64" s="1535"/>
      <c r="N64" s="894">
        <v>0</v>
      </c>
      <c r="O64" s="1535"/>
      <c r="P64" s="894">
        <f t="shared" si="5"/>
        <v>0.40000000000000036</v>
      </c>
      <c r="Q64" s="1997"/>
      <c r="R64" s="1788"/>
      <c r="S64" s="1997"/>
      <c r="T64" s="1788"/>
      <c r="U64" s="1997"/>
      <c r="V64" s="1788"/>
      <c r="W64" s="1997"/>
      <c r="X64" s="1788"/>
      <c r="Y64" s="1997"/>
      <c r="Z64" s="1788"/>
      <c r="AA64" s="1998"/>
      <c r="AB64" s="1999"/>
      <c r="AC64" s="2001"/>
      <c r="AD64" s="1788">
        <v>15.6</v>
      </c>
      <c r="AE64" s="2031"/>
      <c r="AF64" s="3174"/>
      <c r="AG64" s="1788">
        <v>29.2</v>
      </c>
      <c r="AH64" s="1071"/>
      <c r="AI64" s="65"/>
      <c r="AJ64" s="893">
        <f t="shared" si="8"/>
        <v>-13.6</v>
      </c>
      <c r="AK64" s="893"/>
      <c r="AL64" s="1828">
        <f t="shared" ref="AL64:AL66" si="9">ROUND(IF(AG64=0,0,AJ64/ABS(AG64)),3)</f>
        <v>-0.46600000000000003</v>
      </c>
      <c r="AM64" s="1818"/>
    </row>
    <row r="65" spans="1:39" s="885" customFormat="1" ht="15" customHeight="1">
      <c r="A65" s="1068"/>
      <c r="B65" s="890" t="s">
        <v>1034</v>
      </c>
      <c r="C65" s="104"/>
      <c r="D65" s="894">
        <v>9.2999999999999989</v>
      </c>
      <c r="E65" s="1529"/>
      <c r="F65" s="894">
        <v>2.2000000000000011</v>
      </c>
      <c r="G65" s="1529"/>
      <c r="H65" s="894">
        <v>3.6999999999999993</v>
      </c>
      <c r="I65" s="1529"/>
      <c r="J65" s="894">
        <v>3.6999999999999993</v>
      </c>
      <c r="K65" s="1535"/>
      <c r="L65" s="894">
        <v>1.6000000000000014</v>
      </c>
      <c r="M65" s="1535"/>
      <c r="N65" s="894">
        <v>4.6999999999999993</v>
      </c>
      <c r="O65" s="1535"/>
      <c r="P65" s="894">
        <f t="shared" si="5"/>
        <v>3.4000000000000021</v>
      </c>
      <c r="Q65" s="1997"/>
      <c r="R65" s="1788"/>
      <c r="S65" s="1997"/>
      <c r="T65" s="1788"/>
      <c r="U65" s="1997"/>
      <c r="V65" s="1788"/>
      <c r="W65" s="1997"/>
      <c r="X65" s="1788"/>
      <c r="Y65" s="1997"/>
      <c r="Z65" s="1788"/>
      <c r="AA65" s="1998"/>
      <c r="AB65" s="1999"/>
      <c r="AC65" s="2001"/>
      <c r="AD65" s="1788">
        <v>28.6</v>
      </c>
      <c r="AE65" s="2031"/>
      <c r="AF65" s="3174"/>
      <c r="AG65" s="1788">
        <v>34.1</v>
      </c>
      <c r="AH65" s="1071"/>
      <c r="AI65" s="65"/>
      <c r="AJ65" s="893">
        <f t="shared" si="8"/>
        <v>-5.5</v>
      </c>
      <c r="AK65" s="893"/>
      <c r="AL65" s="1817">
        <f t="shared" si="9"/>
        <v>-0.161</v>
      </c>
      <c r="AM65" s="1818"/>
    </row>
    <row r="66" spans="1:39" s="885" customFormat="1" ht="15" customHeight="1">
      <c r="A66" s="1068"/>
      <c r="B66" s="890" t="s">
        <v>1035</v>
      </c>
      <c r="C66" s="104"/>
      <c r="D66" s="894">
        <v>-5.3</v>
      </c>
      <c r="E66" s="1529"/>
      <c r="F66" s="894">
        <v>-42.900000000000006</v>
      </c>
      <c r="G66" s="1529"/>
      <c r="H66" s="894">
        <v>-0.39999999999999858</v>
      </c>
      <c r="I66" s="1529"/>
      <c r="J66" s="894">
        <v>1.8999999999999986</v>
      </c>
      <c r="K66" s="1535"/>
      <c r="L66" s="894">
        <v>3.8000000000000043</v>
      </c>
      <c r="M66" s="1535"/>
      <c r="N66" s="894">
        <v>34.6</v>
      </c>
      <c r="O66" s="1535"/>
      <c r="P66" s="894">
        <f t="shared" si="5"/>
        <v>60.999999999999993</v>
      </c>
      <c r="Q66" s="1997"/>
      <c r="R66" s="1788"/>
      <c r="S66" s="1997"/>
      <c r="T66" s="1788"/>
      <c r="U66" s="1997"/>
      <c r="V66" s="1788"/>
      <c r="W66" s="1997"/>
      <c r="X66" s="1788"/>
      <c r="Y66" s="1997"/>
      <c r="Z66" s="1788"/>
      <c r="AA66" s="1998"/>
      <c r="AB66" s="1999"/>
      <c r="AC66" s="2001"/>
      <c r="AD66" s="1788">
        <v>52.7</v>
      </c>
      <c r="AE66" s="2031"/>
      <c r="AF66" s="3174"/>
      <c r="AG66" s="1788">
        <v>171.8</v>
      </c>
      <c r="AH66" s="1071"/>
      <c r="AI66" s="65"/>
      <c r="AJ66" s="893">
        <f t="shared" si="8"/>
        <v>-119.1</v>
      </c>
      <c r="AK66" s="893"/>
      <c r="AL66" s="1828">
        <f t="shared" si="9"/>
        <v>-0.69299999999999995</v>
      </c>
      <c r="AM66" s="1818"/>
    </row>
    <row r="67" spans="1:39" s="885" customFormat="1" ht="17.25" customHeight="1">
      <c r="A67" s="1068"/>
      <c r="B67" s="890" t="s">
        <v>1138</v>
      </c>
      <c r="C67" s="104"/>
      <c r="D67" s="894" t="s">
        <v>15</v>
      </c>
      <c r="E67" s="1529"/>
      <c r="F67" s="894"/>
      <c r="G67" s="1529"/>
      <c r="H67" s="894"/>
      <c r="I67" s="1529"/>
      <c r="J67" s="894"/>
      <c r="K67" s="115"/>
      <c r="L67" s="894"/>
      <c r="M67" s="115"/>
      <c r="N67" s="894"/>
      <c r="O67" s="115"/>
      <c r="P67" s="894"/>
      <c r="Q67" s="1994"/>
      <c r="R67" s="1788"/>
      <c r="S67" s="1994"/>
      <c r="T67" s="1788"/>
      <c r="U67" s="1994"/>
      <c r="V67" s="1788"/>
      <c r="W67" s="1994"/>
      <c r="X67" s="1788"/>
      <c r="Y67" s="1994"/>
      <c r="Z67" s="1788"/>
      <c r="AA67" s="1993"/>
      <c r="AB67" s="1994"/>
      <c r="AC67" s="2038"/>
      <c r="AD67" s="1994"/>
      <c r="AE67" s="1994"/>
      <c r="AF67" s="1996"/>
      <c r="AG67" s="1994"/>
      <c r="AH67" s="1071"/>
      <c r="AI67" s="65"/>
      <c r="AJ67" s="893"/>
      <c r="AK67" s="893"/>
      <c r="AL67" s="1817"/>
      <c r="AM67" s="1818"/>
    </row>
    <row r="68" spans="1:39" s="885" customFormat="1" ht="15" customHeight="1">
      <c r="A68" s="1068"/>
      <c r="B68" s="890" t="s">
        <v>1065</v>
      </c>
      <c r="C68" s="104"/>
      <c r="D68" s="894">
        <v>24.6</v>
      </c>
      <c r="E68" s="1529"/>
      <c r="F68" s="894">
        <v>8.5</v>
      </c>
      <c r="G68" s="1529"/>
      <c r="H68" s="894">
        <v>8.6999999999999957</v>
      </c>
      <c r="I68" s="1529"/>
      <c r="J68" s="894">
        <v>8.7000000000000028</v>
      </c>
      <c r="K68" s="1535"/>
      <c r="L68" s="894">
        <v>8.7999999999999972</v>
      </c>
      <c r="M68" s="1535"/>
      <c r="N68" s="894">
        <v>10.100000000000009</v>
      </c>
      <c r="O68" s="1535"/>
      <c r="P68" s="894">
        <f t="shared" si="5"/>
        <v>24.199999999999996</v>
      </c>
      <c r="Q68" s="1997"/>
      <c r="R68" s="1788"/>
      <c r="S68" s="1997"/>
      <c r="T68" s="1788"/>
      <c r="U68" s="1997"/>
      <c r="V68" s="1788"/>
      <c r="W68" s="1997"/>
      <c r="X68" s="1788"/>
      <c r="Y68" s="1997"/>
      <c r="Z68" s="1788"/>
      <c r="AA68" s="1998"/>
      <c r="AB68" s="1999"/>
      <c r="AC68" s="2001"/>
      <c r="AD68" s="1788">
        <v>93.6</v>
      </c>
      <c r="AE68" s="2031"/>
      <c r="AF68" s="3174"/>
      <c r="AG68" s="1788">
        <v>59.6</v>
      </c>
      <c r="AH68" s="1071"/>
      <c r="AI68" s="65"/>
      <c r="AJ68" s="893">
        <f t="shared" ref="AJ68:AJ79" si="10">ROUND(SUM(+AD68-AG68),1)</f>
        <v>34</v>
      </c>
      <c r="AK68" s="893"/>
      <c r="AL68" s="1828">
        <f>ROUND(IF(AG68=0,0,AJ68/ABS(AG68)),3)</f>
        <v>0.56999999999999995</v>
      </c>
      <c r="AM68" s="1818"/>
    </row>
    <row r="69" spans="1:39" s="885" customFormat="1" ht="15" customHeight="1">
      <c r="A69" s="1068"/>
      <c r="B69" s="890" t="s">
        <v>1066</v>
      </c>
      <c r="C69" s="104"/>
      <c r="D69" s="894">
        <v>0.2</v>
      </c>
      <c r="E69" s="1529"/>
      <c r="F69" s="894">
        <v>9.9999999999999978E-2</v>
      </c>
      <c r="G69" s="1529"/>
      <c r="H69" s="894">
        <v>0.10000000000000003</v>
      </c>
      <c r="I69" s="1529"/>
      <c r="J69" s="894">
        <v>0.19999999999999785</v>
      </c>
      <c r="K69" s="1535"/>
      <c r="L69" s="894">
        <v>0.30000000000000077</v>
      </c>
      <c r="M69" s="1535"/>
      <c r="N69" s="894">
        <v>0.80000000000000071</v>
      </c>
      <c r="O69" s="1535"/>
      <c r="P69" s="894">
        <f t="shared" si="5"/>
        <v>0.69999999999999174</v>
      </c>
      <c r="Q69" s="1997"/>
      <c r="R69" s="1788"/>
      <c r="S69" s="1997"/>
      <c r="T69" s="1788"/>
      <c r="U69" s="1997"/>
      <c r="V69" s="1788"/>
      <c r="W69" s="1997"/>
      <c r="X69" s="1788"/>
      <c r="Y69" s="1997"/>
      <c r="Z69" s="1788"/>
      <c r="AA69" s="1998"/>
      <c r="AB69" s="1999"/>
      <c r="AC69" s="2001"/>
      <c r="AD69" s="1788">
        <v>2.3999999999999915</v>
      </c>
      <c r="AE69" s="2031"/>
      <c r="AF69" s="3174"/>
      <c r="AG69" s="1788">
        <v>3.8</v>
      </c>
      <c r="AH69" s="1071"/>
      <c r="AI69" s="65"/>
      <c r="AJ69" s="893">
        <f t="shared" si="10"/>
        <v>-1.4</v>
      </c>
      <c r="AK69" s="893"/>
      <c r="AL69" s="3601">
        <f>ROUND(IF(AG69=0,1,AJ69/ABS(AG69)),3)</f>
        <v>-0.36799999999999999</v>
      </c>
      <c r="AM69" s="1818"/>
    </row>
    <row r="70" spans="1:39" s="885" customFormat="1" ht="15" customHeight="1">
      <c r="A70" s="1068"/>
      <c r="B70" s="890" t="s">
        <v>1352</v>
      </c>
      <c r="C70" s="104"/>
      <c r="D70" s="894">
        <v>0</v>
      </c>
      <c r="E70" s="1529"/>
      <c r="F70" s="894">
        <v>0</v>
      </c>
      <c r="G70" s="1529"/>
      <c r="H70" s="894">
        <v>0</v>
      </c>
      <c r="I70" s="1529"/>
      <c r="J70" s="894">
        <v>0</v>
      </c>
      <c r="K70" s="1535"/>
      <c r="L70" s="894">
        <v>0</v>
      </c>
      <c r="M70" s="1535"/>
      <c r="N70" s="894">
        <v>0</v>
      </c>
      <c r="O70" s="1535"/>
      <c r="P70" s="894">
        <f t="shared" si="5"/>
        <v>0</v>
      </c>
      <c r="Q70" s="1997"/>
      <c r="R70" s="1788"/>
      <c r="S70" s="1997"/>
      <c r="T70" s="1788"/>
      <c r="U70" s="1997"/>
      <c r="V70" s="1788"/>
      <c r="W70" s="1997"/>
      <c r="X70" s="1788"/>
      <c r="Y70" s="1997"/>
      <c r="Z70" s="1788"/>
      <c r="AA70" s="1998"/>
      <c r="AB70" s="1999"/>
      <c r="AC70" s="2001"/>
      <c r="AD70" s="1788">
        <v>0</v>
      </c>
      <c r="AE70" s="2031"/>
      <c r="AF70" s="3176"/>
      <c r="AG70" s="1788">
        <v>0</v>
      </c>
      <c r="AH70" s="1071"/>
      <c r="AI70" s="65"/>
      <c r="AJ70" s="893">
        <f t="shared" si="10"/>
        <v>0</v>
      </c>
      <c r="AK70" s="893"/>
      <c r="AL70" s="1817">
        <f>ROUND(IF(AG70=0,0,AJ70/ABS(AG70)),3)</f>
        <v>0</v>
      </c>
      <c r="AM70" s="1818"/>
    </row>
    <row r="71" spans="1:39" s="885" customFormat="1" ht="15" customHeight="1">
      <c r="A71" s="1068"/>
      <c r="B71" s="890" t="s">
        <v>1067</v>
      </c>
      <c r="C71" s="104"/>
      <c r="D71" s="894">
        <v>0.6</v>
      </c>
      <c r="E71" s="1529"/>
      <c r="F71" s="894">
        <v>1.5</v>
      </c>
      <c r="G71" s="1529"/>
      <c r="H71" s="894">
        <v>22.099999999999998</v>
      </c>
      <c r="I71" s="1529"/>
      <c r="J71" s="894">
        <v>0.69999999999999929</v>
      </c>
      <c r="K71" s="1535"/>
      <c r="L71" s="894">
        <v>0.60000000000000142</v>
      </c>
      <c r="M71" s="1535"/>
      <c r="N71" s="894">
        <v>0.5</v>
      </c>
      <c r="O71" s="1535"/>
      <c r="P71" s="894">
        <f t="shared" si="5"/>
        <v>5.1000000000000014</v>
      </c>
      <c r="Q71" s="1997"/>
      <c r="R71" s="1788"/>
      <c r="S71" s="1997"/>
      <c r="T71" s="1788"/>
      <c r="U71" s="1997"/>
      <c r="V71" s="1788"/>
      <c r="W71" s="1997"/>
      <c r="X71" s="1788"/>
      <c r="Y71" s="1997"/>
      <c r="Z71" s="1788"/>
      <c r="AA71" s="1998"/>
      <c r="AB71" s="1999"/>
      <c r="AC71" s="2001"/>
      <c r="AD71" s="1788">
        <v>31.1</v>
      </c>
      <c r="AE71" s="2031"/>
      <c r="AF71" s="3174"/>
      <c r="AG71" s="1788">
        <v>5.8</v>
      </c>
      <c r="AH71" s="1071"/>
      <c r="AI71" s="65"/>
      <c r="AJ71" s="893">
        <f t="shared" si="10"/>
        <v>25.3</v>
      </c>
      <c r="AK71" s="893"/>
      <c r="AL71" s="1828">
        <f t="shared" ref="AL71:AL74" si="11">ROUND(IF(AG71=0,0,AJ71/ABS(AG71)),3)</f>
        <v>4.3620000000000001</v>
      </c>
      <c r="AM71" s="1818"/>
    </row>
    <row r="72" spans="1:39" s="885" customFormat="1" ht="15" customHeight="1">
      <c r="A72" s="1068"/>
      <c r="B72" s="890" t="s">
        <v>1068</v>
      </c>
      <c r="C72" s="104"/>
      <c r="D72" s="894">
        <v>0</v>
      </c>
      <c r="E72" s="1529"/>
      <c r="F72" s="894">
        <v>0</v>
      </c>
      <c r="G72" s="1529"/>
      <c r="H72" s="894">
        <v>0</v>
      </c>
      <c r="I72" s="1529"/>
      <c r="J72" s="894">
        <v>0</v>
      </c>
      <c r="K72" s="1535"/>
      <c r="L72" s="894">
        <v>0</v>
      </c>
      <c r="M72" s="1535"/>
      <c r="N72" s="894">
        <v>0</v>
      </c>
      <c r="O72" s="1535"/>
      <c r="P72" s="894">
        <f t="shared" si="5"/>
        <v>0</v>
      </c>
      <c r="Q72" s="1997"/>
      <c r="R72" s="1788"/>
      <c r="S72" s="1997"/>
      <c r="T72" s="1788"/>
      <c r="U72" s="1997"/>
      <c r="V72" s="1788"/>
      <c r="W72" s="1997"/>
      <c r="X72" s="1788"/>
      <c r="Y72" s="1997"/>
      <c r="Z72" s="1788"/>
      <c r="AA72" s="1998"/>
      <c r="AB72" s="1999"/>
      <c r="AC72" s="2001"/>
      <c r="AD72" s="1788">
        <v>0</v>
      </c>
      <c r="AE72" s="2031"/>
      <c r="AF72" s="3174"/>
      <c r="AG72" s="1788">
        <v>0.9</v>
      </c>
      <c r="AH72" s="1071"/>
      <c r="AI72" s="65"/>
      <c r="AJ72" s="893">
        <f t="shared" si="10"/>
        <v>-0.9</v>
      </c>
      <c r="AK72" s="893"/>
      <c r="AL72" s="1828">
        <f>ROUND(IF(AG72=0,0,AJ72/ABS(AG72)),3)</f>
        <v>-1</v>
      </c>
      <c r="AM72" s="1818"/>
    </row>
    <row r="73" spans="1:39" s="885" customFormat="1" ht="15" customHeight="1">
      <c r="A73" s="1068"/>
      <c r="B73" s="890" t="s">
        <v>1069</v>
      </c>
      <c r="C73" s="104"/>
      <c r="D73" s="894">
        <v>483</v>
      </c>
      <c r="E73" s="1529"/>
      <c r="F73" s="894">
        <v>305.70000000000005</v>
      </c>
      <c r="G73" s="1529"/>
      <c r="H73" s="894">
        <v>305.79999999999995</v>
      </c>
      <c r="I73" s="1529"/>
      <c r="J73" s="894">
        <v>198.79999999999995</v>
      </c>
      <c r="K73" s="1535"/>
      <c r="L73" s="894">
        <v>167.90000000000009</v>
      </c>
      <c r="M73" s="1535"/>
      <c r="N73" s="894">
        <v>150.09999999999991</v>
      </c>
      <c r="O73" s="1535"/>
      <c r="P73" s="894">
        <f t="shared" si="5"/>
        <v>221.20000000000005</v>
      </c>
      <c r="Q73" s="1997"/>
      <c r="R73" s="1788"/>
      <c r="S73" s="1997"/>
      <c r="T73" s="1788"/>
      <c r="U73" s="1997"/>
      <c r="V73" s="1788"/>
      <c r="W73" s="1997"/>
      <c r="X73" s="1788"/>
      <c r="Y73" s="1997"/>
      <c r="Z73" s="1788"/>
      <c r="AA73" s="1998"/>
      <c r="AB73" s="1999"/>
      <c r="AC73" s="2001"/>
      <c r="AD73" s="1788">
        <v>1832.5</v>
      </c>
      <c r="AE73" s="2031"/>
      <c r="AF73" s="3174"/>
      <c r="AG73" s="1788">
        <v>1280.9000000000001</v>
      </c>
      <c r="AH73" s="1071"/>
      <c r="AI73" s="65"/>
      <c r="AJ73" s="893">
        <f t="shared" si="10"/>
        <v>551.6</v>
      </c>
      <c r="AK73" s="893"/>
      <c r="AL73" s="1817">
        <f t="shared" si="11"/>
        <v>0.43099999999999999</v>
      </c>
      <c r="AM73" s="1818"/>
    </row>
    <row r="74" spans="1:39" s="885" customFormat="1" ht="15" customHeight="1">
      <c r="A74" s="1068"/>
      <c r="B74" s="890" t="s">
        <v>1070</v>
      </c>
      <c r="C74" s="104"/>
      <c r="D74" s="894">
        <v>0.1</v>
      </c>
      <c r="E74" s="1529"/>
      <c r="F74" s="894">
        <v>4.9000000000000004</v>
      </c>
      <c r="G74" s="1529"/>
      <c r="H74" s="894">
        <v>6.6</v>
      </c>
      <c r="I74" s="1529"/>
      <c r="J74" s="894">
        <v>10.199999999999998</v>
      </c>
      <c r="K74" s="1535"/>
      <c r="L74" s="894">
        <v>2.1000000000000014</v>
      </c>
      <c r="M74" s="1535"/>
      <c r="N74" s="894">
        <v>4.9999999999999982</v>
      </c>
      <c r="O74" s="1535"/>
      <c r="P74" s="894">
        <f t="shared" si="5"/>
        <v>3</v>
      </c>
      <c r="Q74" s="1997"/>
      <c r="R74" s="1788"/>
      <c r="S74" s="1997"/>
      <c r="T74" s="1788"/>
      <c r="U74" s="1997"/>
      <c r="V74" s="1788"/>
      <c r="W74" s="1997"/>
      <c r="X74" s="1788"/>
      <c r="Y74" s="1997"/>
      <c r="Z74" s="1788"/>
      <c r="AA74" s="1998"/>
      <c r="AB74" s="1999"/>
      <c r="AC74" s="2001"/>
      <c r="AD74" s="1788">
        <v>31.9</v>
      </c>
      <c r="AE74" s="2031"/>
      <c r="AF74" s="3174"/>
      <c r="AG74" s="1788">
        <v>41</v>
      </c>
      <c r="AH74" s="1071"/>
      <c r="AI74" s="65"/>
      <c r="AJ74" s="893">
        <f t="shared" si="10"/>
        <v>-9.1</v>
      </c>
      <c r="AK74" s="893"/>
      <c r="AL74" s="1828">
        <f t="shared" si="11"/>
        <v>-0.222</v>
      </c>
      <c r="AM74" s="1818"/>
    </row>
    <row r="75" spans="1:39" s="885" customFormat="1" ht="15" customHeight="1">
      <c r="A75" s="1068"/>
      <c r="B75" s="890" t="s">
        <v>1071</v>
      </c>
      <c r="C75" s="104"/>
      <c r="D75" s="894">
        <v>3.7</v>
      </c>
      <c r="E75" s="1529"/>
      <c r="F75" s="894">
        <v>0.39999999999999947</v>
      </c>
      <c r="G75" s="1529"/>
      <c r="H75" s="894">
        <v>0.60000000000000053</v>
      </c>
      <c r="I75" s="1529"/>
      <c r="J75" s="894">
        <v>9.9999999999999645E-2</v>
      </c>
      <c r="K75" s="1535"/>
      <c r="L75" s="894">
        <v>41.8</v>
      </c>
      <c r="M75" s="1535"/>
      <c r="N75" s="894">
        <v>3.8999999999999986</v>
      </c>
      <c r="O75" s="1535"/>
      <c r="P75" s="894">
        <f t="shared" si="5"/>
        <v>0.29999999999999716</v>
      </c>
      <c r="Q75" s="1997"/>
      <c r="R75" s="1788"/>
      <c r="S75" s="1997"/>
      <c r="T75" s="1788"/>
      <c r="U75" s="1997"/>
      <c r="V75" s="1788"/>
      <c r="W75" s="1997"/>
      <c r="X75" s="1788"/>
      <c r="Y75" s="1997"/>
      <c r="Z75" s="1788"/>
      <c r="AA75" s="1998"/>
      <c r="AB75" s="1999"/>
      <c r="AC75" s="2001"/>
      <c r="AD75" s="1788">
        <v>50.8</v>
      </c>
      <c r="AE75" s="2031"/>
      <c r="AF75" s="3174"/>
      <c r="AG75" s="1788">
        <v>17.3</v>
      </c>
      <c r="AH75" s="1071"/>
      <c r="AI75" s="65"/>
      <c r="AJ75" s="893">
        <f t="shared" si="10"/>
        <v>33.5</v>
      </c>
      <c r="AK75" s="893"/>
      <c r="AL75" s="1828">
        <f>ROUND(IF(AG75=0,1,AJ75/ABS(AG75)),3)</f>
        <v>1.9359999999999999</v>
      </c>
      <c r="AM75" s="1818"/>
    </row>
    <row r="76" spans="1:39" s="885" customFormat="1" ht="15" customHeight="1">
      <c r="A76" s="1068"/>
      <c r="B76" s="890" t="s">
        <v>1072</v>
      </c>
      <c r="C76" s="104"/>
      <c r="D76" s="894">
        <v>6.1</v>
      </c>
      <c r="E76" s="893"/>
      <c r="F76" s="894">
        <v>1.4000000000000004</v>
      </c>
      <c r="G76" s="893"/>
      <c r="H76" s="894">
        <v>3.1999999999999993</v>
      </c>
      <c r="I76" s="893"/>
      <c r="J76" s="894">
        <v>6.4000000000000021</v>
      </c>
      <c r="K76" s="1535"/>
      <c r="L76" s="894">
        <v>6.7999999999999972</v>
      </c>
      <c r="M76" s="1535"/>
      <c r="N76" s="894">
        <v>3.7000000000000028</v>
      </c>
      <c r="O76" s="1535"/>
      <c r="P76" s="894">
        <f t="shared" si="5"/>
        <v>6</v>
      </c>
      <c r="Q76" s="1997"/>
      <c r="R76" s="1788"/>
      <c r="S76" s="1997"/>
      <c r="T76" s="1788"/>
      <c r="U76" s="1997"/>
      <c r="V76" s="1788"/>
      <c r="W76" s="1997"/>
      <c r="X76" s="1788"/>
      <c r="Y76" s="1997"/>
      <c r="Z76" s="1788"/>
      <c r="AA76" s="1998"/>
      <c r="AB76" s="1999"/>
      <c r="AC76" s="2001"/>
      <c r="AD76" s="1788">
        <v>33.6</v>
      </c>
      <c r="AE76" s="2031"/>
      <c r="AF76" s="3174"/>
      <c r="AG76" s="1788">
        <v>41.5</v>
      </c>
      <c r="AH76" s="1071"/>
      <c r="AI76" s="65"/>
      <c r="AJ76" s="893">
        <f t="shared" si="10"/>
        <v>-7.9</v>
      </c>
      <c r="AK76" s="893"/>
      <c r="AL76" s="1817">
        <f>ROUND(IF(AG76=0,0,AJ76/ABS(AG76)),3)</f>
        <v>-0.19</v>
      </c>
      <c r="AM76" s="1818"/>
    </row>
    <row r="77" spans="1:39" s="885" customFormat="1" ht="15" customHeight="1">
      <c r="A77" s="1068"/>
      <c r="B77" s="890" t="s">
        <v>1073</v>
      </c>
      <c r="C77" s="104"/>
      <c r="D77" s="894">
        <v>-24.9</v>
      </c>
      <c r="E77" s="893"/>
      <c r="F77" s="894">
        <v>4.0999999999999979</v>
      </c>
      <c r="G77" s="893"/>
      <c r="H77" s="894">
        <v>13.100000000000001</v>
      </c>
      <c r="I77" s="893"/>
      <c r="J77" s="894">
        <v>63.4</v>
      </c>
      <c r="K77" s="1535"/>
      <c r="L77" s="894">
        <v>39.400000000000013</v>
      </c>
      <c r="M77" s="1535"/>
      <c r="N77" s="894">
        <v>48.70000000000001</v>
      </c>
      <c r="O77" s="1535"/>
      <c r="P77" s="894">
        <f t="shared" si="5"/>
        <v>58.199999999999996</v>
      </c>
      <c r="Q77" s="1997"/>
      <c r="R77" s="1788"/>
      <c r="S77" s="1997"/>
      <c r="T77" s="1788"/>
      <c r="U77" s="1997"/>
      <c r="V77" s="1788"/>
      <c r="W77" s="1997"/>
      <c r="X77" s="1788"/>
      <c r="Y77" s="1997"/>
      <c r="Z77" s="1788"/>
      <c r="AA77" s="1998"/>
      <c r="AB77" s="1999"/>
      <c r="AC77" s="2000"/>
      <c r="AD77" s="1788">
        <v>202</v>
      </c>
      <c r="AE77" s="1999"/>
      <c r="AF77" s="2001"/>
      <c r="AG77" s="1788">
        <v>322.3</v>
      </c>
      <c r="AH77" s="1071"/>
      <c r="AI77" s="65"/>
      <c r="AJ77" s="893">
        <f t="shared" si="10"/>
        <v>-120.3</v>
      </c>
      <c r="AK77" s="893"/>
      <c r="AL77" s="1828">
        <f>ROUND(IF(AG77=0,0,AJ77/ABS(AG77)),3)</f>
        <v>-0.373</v>
      </c>
      <c r="AM77" s="1818"/>
    </row>
    <row r="78" spans="1:39" ht="15" customHeight="1">
      <c r="A78" s="147"/>
      <c r="B78" s="890" t="s">
        <v>1045</v>
      </c>
      <c r="C78" s="31"/>
      <c r="D78" s="894">
        <v>0.5</v>
      </c>
      <c r="E78" s="893"/>
      <c r="F78" s="894">
        <v>0.60000000000000009</v>
      </c>
      <c r="G78" s="893"/>
      <c r="H78" s="894">
        <v>0.79999999999999982</v>
      </c>
      <c r="I78" s="893"/>
      <c r="J78" s="894">
        <v>0.70000000000000018</v>
      </c>
      <c r="K78" s="1535"/>
      <c r="L78" s="894">
        <v>0.5</v>
      </c>
      <c r="M78" s="1535"/>
      <c r="N78" s="894">
        <v>0.60000000000000009</v>
      </c>
      <c r="O78" s="1535"/>
      <c r="P78" s="894">
        <f t="shared" si="5"/>
        <v>1.2999999999999998</v>
      </c>
      <c r="Q78" s="1997"/>
      <c r="R78" s="1788"/>
      <c r="S78" s="1997"/>
      <c r="T78" s="1788"/>
      <c r="U78" s="1997"/>
      <c r="V78" s="1788"/>
      <c r="W78" s="1997"/>
      <c r="X78" s="1788"/>
      <c r="Y78" s="1997"/>
      <c r="Z78" s="1788"/>
      <c r="AA78" s="1998"/>
      <c r="AB78" s="1999"/>
      <c r="AC78" s="2000"/>
      <c r="AD78" s="1788">
        <v>5</v>
      </c>
      <c r="AE78" s="1999"/>
      <c r="AF78" s="2001"/>
      <c r="AG78" s="1788">
        <v>10.7</v>
      </c>
      <c r="AH78" s="272"/>
      <c r="AI78" s="54"/>
      <c r="AJ78" s="641">
        <f t="shared" si="10"/>
        <v>-5.7</v>
      </c>
      <c r="AK78" s="641"/>
      <c r="AL78" s="1430">
        <f>ROUND(IF(AG78=0,0,AJ78/ABS(AG78)),3)</f>
        <v>-0.53300000000000003</v>
      </c>
      <c r="AM78" s="782"/>
    </row>
    <row r="79" spans="1:39" s="885" customFormat="1" ht="15" customHeight="1">
      <c r="A79" s="1068"/>
      <c r="B79" s="890" t="s">
        <v>1046</v>
      </c>
      <c r="C79" s="104"/>
      <c r="D79" s="894">
        <v>-67.5</v>
      </c>
      <c r="E79" s="893"/>
      <c r="F79" s="894">
        <v>33.6</v>
      </c>
      <c r="G79" s="893"/>
      <c r="H79" s="894">
        <v>56.9</v>
      </c>
      <c r="I79" s="893"/>
      <c r="J79" s="894">
        <v>50.900000000000013</v>
      </c>
      <c r="K79" s="1535"/>
      <c r="L79" s="894">
        <v>113.29999999999998</v>
      </c>
      <c r="M79" s="1535"/>
      <c r="N79" s="894">
        <v>375.69999999999993</v>
      </c>
      <c r="O79" s="1535"/>
      <c r="P79" s="894">
        <f t="shared" si="5"/>
        <v>172.80000000000018</v>
      </c>
      <c r="Q79" s="1997"/>
      <c r="R79" s="1788"/>
      <c r="S79" s="1997"/>
      <c r="T79" s="1788"/>
      <c r="U79" s="1997"/>
      <c r="V79" s="1788"/>
      <c r="W79" s="1997"/>
      <c r="X79" s="1788"/>
      <c r="Y79" s="1997"/>
      <c r="Z79" s="1788"/>
      <c r="AA79" s="1998"/>
      <c r="AB79" s="1999"/>
      <c r="AC79" s="2001"/>
      <c r="AD79" s="1788">
        <v>735.7</v>
      </c>
      <c r="AE79" s="2031"/>
      <c r="AF79" s="3174"/>
      <c r="AG79" s="1788">
        <v>867.4</v>
      </c>
      <c r="AH79" s="1071"/>
      <c r="AI79" s="65"/>
      <c r="AJ79" s="893">
        <f t="shared" si="10"/>
        <v>-131.69999999999999</v>
      </c>
      <c r="AK79" s="893"/>
      <c r="AL79" s="1817">
        <f>ROUND(IF(AG79=0,0,AJ79/ABS(AG79)),3)</f>
        <v>-0.152</v>
      </c>
      <c r="AM79" s="1818"/>
    </row>
    <row r="80" spans="1:39" s="885" customFormat="1" ht="15" customHeight="1">
      <c r="A80" s="1068"/>
      <c r="B80" s="307" t="s">
        <v>1178</v>
      </c>
      <c r="C80" s="104"/>
      <c r="D80" s="1837">
        <f>ROUND(SUM(D41:D79),1)</f>
        <v>1346.6</v>
      </c>
      <c r="E80" s="893"/>
      <c r="F80" s="1837">
        <f>ROUND(SUM(F41:F79),1)</f>
        <v>1054</v>
      </c>
      <c r="G80" s="893"/>
      <c r="H80" s="1837">
        <f>ROUND(SUM(H41:H79),1)</f>
        <v>1338.1</v>
      </c>
      <c r="I80" s="893"/>
      <c r="J80" s="1837">
        <f>ROUND(SUM(J41:J79),1)</f>
        <v>1214.4000000000001</v>
      </c>
      <c r="K80" s="115"/>
      <c r="L80" s="1537">
        <f>ROUND(SUM(L41:L79),1)</f>
        <v>1186.8</v>
      </c>
      <c r="M80" s="115"/>
      <c r="N80" s="1537">
        <f>ROUND(SUM(N41:N79),1)</f>
        <v>1790.7</v>
      </c>
      <c r="O80" s="115"/>
      <c r="P80" s="1458">
        <f>ROUND(SUM(P41:P79),1)</f>
        <v>1632.5</v>
      </c>
      <c r="Q80" s="1994"/>
      <c r="R80" s="1458">
        <f>ROUND(SUM(R41:R79),1)</f>
        <v>0</v>
      </c>
      <c r="S80" s="1994"/>
      <c r="T80" s="1458">
        <f>ROUND(SUM(T41:T79),1)</f>
        <v>0</v>
      </c>
      <c r="U80" s="1994"/>
      <c r="V80" s="1458">
        <f>ROUND(SUM(V41:V79),1)</f>
        <v>0</v>
      </c>
      <c r="W80" s="1994"/>
      <c r="X80" s="1458">
        <f>ROUND(SUM(X41:X79),1)</f>
        <v>0</v>
      </c>
      <c r="Y80" s="1994"/>
      <c r="Z80" s="1458">
        <f>ROUND(SUM(Z41:Z79),1)</f>
        <v>0</v>
      </c>
      <c r="AA80" s="1460"/>
      <c r="AB80" s="1994"/>
      <c r="AC80" s="2038"/>
      <c r="AD80" s="1458">
        <f>ROUND(SUM(AD41:AD79),1)</f>
        <v>9563.1</v>
      </c>
      <c r="AE80" s="1994"/>
      <c r="AF80" s="1996"/>
      <c r="AG80" s="1458">
        <f>ROUND(SUM(AG41:AG79),1)</f>
        <v>10906.9</v>
      </c>
      <c r="AH80" s="1071"/>
      <c r="AI80" s="65"/>
      <c r="AJ80" s="1537">
        <f>ROUND(SUM(AJ41:AJ79),1)</f>
        <v>-1343.8</v>
      </c>
      <c r="AK80" s="893"/>
      <c r="AL80" s="1819">
        <f>ROUND(SUM(+AJ80/AG80),3)</f>
        <v>-0.123</v>
      </c>
      <c r="AM80" s="1818"/>
    </row>
    <row r="81" spans="1:39" s="885" customFormat="1" ht="15" customHeight="1">
      <c r="A81" s="1068"/>
      <c r="B81" s="307"/>
      <c r="C81" s="104"/>
      <c r="D81" s="112"/>
      <c r="E81" s="893"/>
      <c r="F81" s="112"/>
      <c r="G81" s="893"/>
      <c r="H81" s="112"/>
      <c r="I81" s="893"/>
      <c r="J81" s="112"/>
      <c r="K81" s="115"/>
      <c r="L81" s="112"/>
      <c r="M81" s="115"/>
      <c r="N81" s="112"/>
      <c r="O81" s="115"/>
      <c r="P81" s="1460"/>
      <c r="Q81" s="1994"/>
      <c r="R81" s="1460"/>
      <c r="S81" s="1994"/>
      <c r="T81" s="1460"/>
      <c r="U81" s="1994"/>
      <c r="V81" s="1460"/>
      <c r="W81" s="1994"/>
      <c r="X81" s="1460"/>
      <c r="Y81" s="1994"/>
      <c r="Z81" s="1460"/>
      <c r="AA81" s="1460"/>
      <c r="AB81" s="1994"/>
      <c r="AC81" s="2038"/>
      <c r="AD81" s="1460"/>
      <c r="AE81" s="1994"/>
      <c r="AF81" s="1996"/>
      <c r="AG81" s="1460"/>
      <c r="AH81" s="1071"/>
      <c r="AI81" s="65"/>
      <c r="AJ81" s="112"/>
      <c r="AK81" s="893"/>
      <c r="AL81" s="1820"/>
      <c r="AM81" s="1818"/>
    </row>
    <row r="82" spans="1:39" s="885" customFormat="1" ht="15" customHeight="1">
      <c r="A82" s="1068"/>
      <c r="B82" s="1815" t="s">
        <v>149</v>
      </c>
      <c r="C82" s="104"/>
      <c r="D82" s="894">
        <v>0</v>
      </c>
      <c r="E82" s="893"/>
      <c r="F82" s="894">
        <v>0</v>
      </c>
      <c r="G82" s="893"/>
      <c r="H82" s="894">
        <v>4.0999999999999996</v>
      </c>
      <c r="I82" s="893"/>
      <c r="J82" s="894">
        <v>-4.0999999999999996</v>
      </c>
      <c r="K82" s="1535"/>
      <c r="L82" s="894">
        <v>2.5</v>
      </c>
      <c r="M82" s="1535"/>
      <c r="N82" s="894">
        <v>25.4</v>
      </c>
      <c r="O82" s="1535"/>
      <c r="P82" s="894">
        <f>$AD82-$D82-$F82-$H82-$J82-$L82-$N82</f>
        <v>12.899999999999999</v>
      </c>
      <c r="Q82" s="1997"/>
      <c r="R82" s="1788"/>
      <c r="S82" s="1997"/>
      <c r="T82" s="1788"/>
      <c r="U82" s="1997"/>
      <c r="V82" s="1788"/>
      <c r="W82" s="1997"/>
      <c r="X82" s="1788"/>
      <c r="Y82" s="1997"/>
      <c r="Z82" s="1788"/>
      <c r="AA82" s="1998"/>
      <c r="AB82" s="1999"/>
      <c r="AC82" s="2001"/>
      <c r="AD82" s="1788">
        <v>40.799999999999997</v>
      </c>
      <c r="AE82" s="2031"/>
      <c r="AF82" s="3174"/>
      <c r="AG82" s="1788">
        <v>17.600000000000001</v>
      </c>
      <c r="AH82" s="1071"/>
      <c r="AI82" s="65"/>
      <c r="AJ82" s="1022">
        <f>ROUND(SUM(+AD82-AG82),1)</f>
        <v>23.2</v>
      </c>
      <c r="AK82" s="893"/>
      <c r="AL82" s="1728">
        <f>ROUND(IF(AG82=0,0,AJ82/ABS(AG82)),3)</f>
        <v>1.3180000000000001</v>
      </c>
      <c r="AM82" s="1818"/>
    </row>
    <row r="83" spans="1:39" ht="15" customHeight="1">
      <c r="A83" s="147"/>
      <c r="B83" s="31"/>
      <c r="C83" s="31"/>
      <c r="D83" s="686"/>
      <c r="E83" s="1529"/>
      <c r="F83" s="686"/>
      <c r="G83" s="1529"/>
      <c r="H83" s="686"/>
      <c r="I83" s="1529"/>
      <c r="J83" s="686"/>
      <c r="K83" s="64"/>
      <c r="L83" s="86"/>
      <c r="M83" s="64"/>
      <c r="N83" s="86"/>
      <c r="O83" s="64"/>
      <c r="P83" s="2004"/>
      <c r="Q83" s="2005"/>
      <c r="R83" s="2004"/>
      <c r="S83" s="2005"/>
      <c r="T83" s="2004"/>
      <c r="U83" s="2005"/>
      <c r="V83" s="2004"/>
      <c r="W83" s="2005"/>
      <c r="X83" s="2004"/>
      <c r="Y83" s="2005"/>
      <c r="Z83" s="2004"/>
      <c r="AA83" s="2006"/>
      <c r="AB83" s="2005"/>
      <c r="AC83" s="2036"/>
      <c r="AD83" s="2050"/>
      <c r="AE83" s="1976"/>
      <c r="AF83" s="1996"/>
      <c r="AG83" s="2050"/>
      <c r="AH83" s="272"/>
      <c r="AI83" s="54"/>
      <c r="AJ83" s="1403"/>
      <c r="AK83" s="918"/>
      <c r="AL83" s="1444"/>
      <c r="AM83" s="782"/>
    </row>
    <row r="84" spans="1:39" ht="15" customHeight="1">
      <c r="A84" s="147"/>
      <c r="B84" s="29" t="s">
        <v>150</v>
      </c>
      <c r="C84" s="31"/>
      <c r="D84" s="920">
        <f>ROUND(SUM(D37+D80+D82),1)</f>
        <v>1600.6</v>
      </c>
      <c r="E84" s="920"/>
      <c r="F84" s="920">
        <f>ROUND(SUM(F37+F80+F82),1)</f>
        <v>1168.2</v>
      </c>
      <c r="G84" s="920"/>
      <c r="H84" s="920">
        <f>ROUND(SUM(H37+H80+H82),1)</f>
        <v>1710.2</v>
      </c>
      <c r="I84" s="920"/>
      <c r="J84" s="920">
        <f>ROUND(SUM(J37+J80+J82),1)</f>
        <v>1536.8</v>
      </c>
      <c r="K84" s="920"/>
      <c r="L84" s="920">
        <f>ROUND(SUM(L37+L80+L82),1)</f>
        <v>1390.8</v>
      </c>
      <c r="M84" s="920"/>
      <c r="N84" s="920">
        <f>ROUND(SUM(N37+N80+N82),1)</f>
        <v>2259.9</v>
      </c>
      <c r="O84" s="920"/>
      <c r="P84" s="1459">
        <f>ROUND(SUM(P37+P80+P82),1)</f>
        <v>1875.6</v>
      </c>
      <c r="Q84" s="1459"/>
      <c r="R84" s="1459">
        <f>ROUND(SUM(R37+R80+R82),1)</f>
        <v>0</v>
      </c>
      <c r="S84" s="1459"/>
      <c r="T84" s="1459">
        <f>ROUND(SUM(T37+T80+T82),1)</f>
        <v>0</v>
      </c>
      <c r="U84" s="1459"/>
      <c r="V84" s="1459">
        <f>ROUND(SUM(V37+V80+V82),1)</f>
        <v>0</v>
      </c>
      <c r="W84" s="1459"/>
      <c r="X84" s="1459">
        <f>ROUND(SUM(X37+X80+X82),1)</f>
        <v>0</v>
      </c>
      <c r="Y84" s="1459"/>
      <c r="Z84" s="1459">
        <f>ROUND(SUM(Z37+Z80+Z82),1)</f>
        <v>0</v>
      </c>
      <c r="AA84" s="1459"/>
      <c r="AB84" s="1459"/>
      <c r="AC84" s="2039"/>
      <c r="AD84" s="2049">
        <f>ROUND(SUM(AD37+AD80+AD82),1)</f>
        <v>11542.1</v>
      </c>
      <c r="AE84" s="1460"/>
      <c r="AF84" s="3158"/>
      <c r="AG84" s="2049">
        <f>ROUND(SUM(AG37+AG80+AG82),1)</f>
        <v>13130.5</v>
      </c>
      <c r="AH84" s="279"/>
      <c r="AI84" s="74"/>
      <c r="AJ84" s="827">
        <f>ROUND(SUM(AJ37+AJ80+AJ82),1)</f>
        <v>-1588.4</v>
      </c>
      <c r="AK84" s="281"/>
      <c r="AL84" s="1433">
        <f>ROUND(SUM((AD84-AG84)/ABS(AG84)),3)</f>
        <v>-0.121</v>
      </c>
      <c r="AM84" s="782"/>
    </row>
    <row r="85" spans="1:39" ht="15" customHeight="1">
      <c r="A85" s="147"/>
      <c r="B85" s="31"/>
      <c r="C85" s="31"/>
      <c r="D85" s="686"/>
      <c r="E85" s="1529"/>
      <c r="F85" s="686"/>
      <c r="G85" s="1529"/>
      <c r="H85" s="686"/>
      <c r="I85" s="1529"/>
      <c r="J85" s="686"/>
      <c r="K85" s="64"/>
      <c r="L85" s="86"/>
      <c r="M85" s="64"/>
      <c r="N85" s="86"/>
      <c r="O85" s="64"/>
      <c r="P85" s="2004"/>
      <c r="Q85" s="2005"/>
      <c r="R85" s="2004"/>
      <c r="S85" s="2005"/>
      <c r="T85" s="2004"/>
      <c r="U85" s="2005"/>
      <c r="V85" s="2004"/>
      <c r="W85" s="2005"/>
      <c r="X85" s="2004"/>
      <c r="Y85" s="2005"/>
      <c r="Z85" s="2004"/>
      <c r="AA85" s="2006"/>
      <c r="AB85" s="2005"/>
      <c r="AC85" s="2036"/>
      <c r="AD85" s="2050"/>
      <c r="AE85" s="1976"/>
      <c r="AF85" s="1996"/>
      <c r="AG85" s="2050"/>
      <c r="AH85" s="272"/>
      <c r="AI85" s="54"/>
      <c r="AJ85" s="641"/>
      <c r="AK85" s="918"/>
      <c r="AL85" s="1430"/>
      <c r="AM85" s="782"/>
    </row>
    <row r="86" spans="1:39" ht="15" customHeight="1">
      <c r="A86" s="147"/>
      <c r="B86" s="170" t="s">
        <v>23</v>
      </c>
      <c r="C86" s="31"/>
      <c r="D86" s="1529"/>
      <c r="E86" s="1529"/>
      <c r="F86" s="1529"/>
      <c r="G86" s="1529"/>
      <c r="H86" s="1529"/>
      <c r="I86" s="1529"/>
      <c r="J86" s="1529"/>
      <c r="K86" s="64"/>
      <c r="L86" s="64"/>
      <c r="M86" s="64"/>
      <c r="N86" s="64"/>
      <c r="O86" s="64"/>
      <c r="P86" s="2005"/>
      <c r="Q86" s="2005"/>
      <c r="R86" s="2005"/>
      <c r="S86" s="2005"/>
      <c r="T86" s="2005"/>
      <c r="U86" s="2005"/>
      <c r="V86" s="2005"/>
      <c r="W86" s="2005"/>
      <c r="X86" s="2005"/>
      <c r="Y86" s="2005"/>
      <c r="Z86" s="2005"/>
      <c r="AA86" s="2005"/>
      <c r="AB86" s="2005"/>
      <c r="AC86" s="2036"/>
      <c r="AD86" s="1994"/>
      <c r="AE86" s="1976"/>
      <c r="AF86" s="1996"/>
      <c r="AG86" s="1994"/>
      <c r="AH86" s="272"/>
      <c r="AI86" s="54"/>
      <c r="AJ86" s="641"/>
      <c r="AK86" s="918"/>
      <c r="AL86" s="1430"/>
      <c r="AM86" s="782"/>
    </row>
    <row r="87" spans="1:39" ht="12.75" customHeight="1">
      <c r="A87" s="147"/>
      <c r="B87" s="688" t="s">
        <v>151</v>
      </c>
      <c r="C87" s="31"/>
      <c r="D87" s="679"/>
      <c r="E87" s="1529"/>
      <c r="F87" s="679"/>
      <c r="G87" s="1529"/>
      <c r="H87" s="1529"/>
      <c r="I87" s="1529"/>
      <c r="J87" s="894"/>
      <c r="K87" s="64"/>
      <c r="L87" s="75"/>
      <c r="M87" s="64"/>
      <c r="N87" s="75"/>
      <c r="O87" s="64"/>
      <c r="P87" s="2014"/>
      <c r="Q87" s="2005"/>
      <c r="R87" s="2014"/>
      <c r="S87" s="2005"/>
      <c r="T87" s="2014"/>
      <c r="U87" s="2005"/>
      <c r="V87" s="2005"/>
      <c r="W87" s="2005"/>
      <c r="X87" s="2014"/>
      <c r="Y87" s="2005"/>
      <c r="Z87" s="2005"/>
      <c r="AA87" s="2005"/>
      <c r="AB87" s="2005"/>
      <c r="AC87" s="2036"/>
      <c r="AD87" s="1992"/>
      <c r="AE87" s="1994"/>
      <c r="AF87" s="1996"/>
      <c r="AG87" s="1992"/>
      <c r="AH87" s="272"/>
      <c r="AI87" s="54"/>
      <c r="AJ87" s="641"/>
      <c r="AK87" s="918"/>
      <c r="AL87" s="1445"/>
      <c r="AM87" s="782"/>
    </row>
    <row r="88" spans="1:39" s="885" customFormat="1" ht="15" customHeight="1">
      <c r="A88" s="1068"/>
      <c r="B88" s="1812" t="s">
        <v>25</v>
      </c>
      <c r="C88" s="104"/>
      <c r="D88" s="894">
        <v>0.1</v>
      </c>
      <c r="E88" s="1529"/>
      <c r="F88" s="894">
        <v>35</v>
      </c>
      <c r="G88" s="1529"/>
      <c r="H88" s="894">
        <v>297</v>
      </c>
      <c r="I88" s="1529"/>
      <c r="J88" s="894">
        <v>0.29999999999995453</v>
      </c>
      <c r="K88" s="1535"/>
      <c r="L88" s="894">
        <v>-9.9999999999965894E-2</v>
      </c>
      <c r="M88" s="1535"/>
      <c r="N88" s="894">
        <v>2290.2999999999997</v>
      </c>
      <c r="O88" s="1535"/>
      <c r="P88" s="894">
        <f>$AD88-$D88-$F88-$H88-$J88-$L88-$N88</f>
        <v>149</v>
      </c>
      <c r="Q88" s="1997"/>
      <c r="R88" s="1788"/>
      <c r="S88" s="1997"/>
      <c r="T88" s="1788"/>
      <c r="U88" s="1997"/>
      <c r="V88" s="1788"/>
      <c r="W88" s="1997"/>
      <c r="X88" s="1788"/>
      <c r="Y88" s="1997"/>
      <c r="Z88" s="1788"/>
      <c r="AA88" s="1998"/>
      <c r="AB88" s="1999"/>
      <c r="AC88" s="2001"/>
      <c r="AD88" s="1788">
        <v>2771.6</v>
      </c>
      <c r="AE88" s="2031"/>
      <c r="AF88" s="3174"/>
      <c r="AG88" s="1788">
        <v>3011</v>
      </c>
      <c r="AH88" s="1071"/>
      <c r="AI88" s="65"/>
      <c r="AJ88" s="893">
        <f>ROUND(SUM(+AD88-AG88),1)</f>
        <v>-239.4</v>
      </c>
      <c r="AK88" s="893"/>
      <c r="AL88" s="1728">
        <f>ROUND(IF(AG88=0,1,AJ88/ABS(AG88)),3)</f>
        <v>-0.08</v>
      </c>
      <c r="AM88" s="1818"/>
    </row>
    <row r="89" spans="1:39" s="885" customFormat="1" ht="15" customHeight="1">
      <c r="A89" s="1068"/>
      <c r="B89" s="1812" t="s">
        <v>26</v>
      </c>
      <c r="C89" s="104"/>
      <c r="D89" s="894">
        <v>0</v>
      </c>
      <c r="E89" s="1529"/>
      <c r="F89" s="894">
        <v>0.3</v>
      </c>
      <c r="G89" s="1529"/>
      <c r="H89" s="894">
        <v>0</v>
      </c>
      <c r="I89" s="1529"/>
      <c r="J89" s="894">
        <v>0.2</v>
      </c>
      <c r="K89" s="1535"/>
      <c r="L89" s="894">
        <v>0</v>
      </c>
      <c r="M89" s="1535"/>
      <c r="N89" s="894">
        <v>0.40000000000000008</v>
      </c>
      <c r="O89" s="1535"/>
      <c r="P89" s="894">
        <f t="shared" ref="P89:P97" si="12">$AD89-$D89-$F89-$H89-$J89-$L89-$N89</f>
        <v>0.7</v>
      </c>
      <c r="Q89" s="1997"/>
      <c r="R89" s="1788"/>
      <c r="S89" s="1997"/>
      <c r="T89" s="1788"/>
      <c r="U89" s="1997"/>
      <c r="V89" s="1788"/>
      <c r="W89" s="1997"/>
      <c r="X89" s="1788"/>
      <c r="Y89" s="1997"/>
      <c r="Z89" s="1788"/>
      <c r="AA89" s="1998"/>
      <c r="AB89" s="1999"/>
      <c r="AC89" s="2001"/>
      <c r="AD89" s="1788">
        <v>1.6</v>
      </c>
      <c r="AE89" s="2031"/>
      <c r="AF89" s="3174"/>
      <c r="AG89" s="1788">
        <v>0.8</v>
      </c>
      <c r="AH89" s="1071"/>
      <c r="AI89" s="65"/>
      <c r="AJ89" s="893">
        <f>ROUND(SUM(+AD89-AG89),1)</f>
        <v>0.8</v>
      </c>
      <c r="AK89" s="893"/>
      <c r="AL89" s="1817">
        <f>ROUND(IF(AG89=0,1,AJ89/ABS(AG89)),3)</f>
        <v>1</v>
      </c>
      <c r="AM89" s="1818"/>
    </row>
    <row r="90" spans="1:39" s="885" customFormat="1" ht="15" customHeight="1">
      <c r="A90" s="1068"/>
      <c r="B90" s="1812" t="s">
        <v>27</v>
      </c>
      <c r="C90" s="104"/>
      <c r="D90" s="894">
        <v>9.3000000000000007</v>
      </c>
      <c r="E90" s="1529"/>
      <c r="F90" s="894">
        <v>3.8999999999999986</v>
      </c>
      <c r="G90" s="1529"/>
      <c r="H90" s="894">
        <v>6.3000000000000007</v>
      </c>
      <c r="I90" s="1529"/>
      <c r="J90" s="894">
        <v>8</v>
      </c>
      <c r="K90" s="1535"/>
      <c r="L90" s="894">
        <v>33</v>
      </c>
      <c r="M90" s="1535"/>
      <c r="N90" s="894">
        <v>10.799999999999997</v>
      </c>
      <c r="O90" s="1535"/>
      <c r="P90" s="894">
        <f t="shared" si="12"/>
        <v>15.300000000000011</v>
      </c>
      <c r="Q90" s="1997"/>
      <c r="R90" s="1788"/>
      <c r="S90" s="1997"/>
      <c r="T90" s="1788"/>
      <c r="U90" s="1997"/>
      <c r="V90" s="1788"/>
      <c r="W90" s="1997"/>
      <c r="X90" s="1788"/>
      <c r="Y90" s="1997"/>
      <c r="Z90" s="1788"/>
      <c r="AA90" s="1998"/>
      <c r="AB90" s="1999"/>
      <c r="AC90" s="2001"/>
      <c r="AD90" s="1788">
        <v>86.6</v>
      </c>
      <c r="AE90" s="2031"/>
      <c r="AF90" s="3174"/>
      <c r="AG90" s="1788">
        <v>115.6</v>
      </c>
      <c r="AH90" s="1071"/>
      <c r="AI90" s="65"/>
      <c r="AJ90" s="893">
        <f>ROUND(SUM(+AD90-AG90),1)</f>
        <v>-29</v>
      </c>
      <c r="AK90" s="893"/>
      <c r="AL90" s="1817">
        <f>ROUND(IF(AG90=0,0,AJ90/ABS(AG90)),3)</f>
        <v>-0.251</v>
      </c>
      <c r="AM90" s="1818"/>
    </row>
    <row r="91" spans="1:39" s="885" customFormat="1" ht="15" customHeight="1">
      <c r="A91" s="1068"/>
      <c r="B91" s="688" t="s">
        <v>1285</v>
      </c>
      <c r="C91" s="104"/>
      <c r="D91" s="894" t="s">
        <v>15</v>
      </c>
      <c r="E91" s="1529"/>
      <c r="F91" s="894"/>
      <c r="G91" s="1529"/>
      <c r="H91" s="894"/>
      <c r="I91" s="1529"/>
      <c r="J91" s="894"/>
      <c r="K91" s="1535"/>
      <c r="L91" s="894"/>
      <c r="M91" s="1535"/>
      <c r="N91" s="894"/>
      <c r="O91" s="1535"/>
      <c r="P91" s="894"/>
      <c r="Q91" s="1997"/>
      <c r="R91" s="1788"/>
      <c r="S91" s="1997"/>
      <c r="T91" s="1788"/>
      <c r="U91" s="1997"/>
      <c r="V91" s="1788"/>
      <c r="W91" s="1997"/>
      <c r="X91" s="1788"/>
      <c r="Y91" s="1997"/>
      <c r="Z91" s="1788"/>
      <c r="AA91" s="1998"/>
      <c r="AB91" s="1999"/>
      <c r="AC91" s="2001"/>
      <c r="AD91" s="1788"/>
      <c r="AE91" s="2031"/>
      <c r="AF91" s="3174"/>
      <c r="AG91" s="1788"/>
      <c r="AH91" s="1071"/>
      <c r="AI91" s="65"/>
      <c r="AJ91" s="893"/>
      <c r="AK91" s="889"/>
      <c r="AL91" s="1817"/>
      <c r="AM91" s="1818"/>
    </row>
    <row r="92" spans="1:39" s="885" customFormat="1" ht="15" customHeight="1">
      <c r="A92" s="1068"/>
      <c r="B92" s="1813" t="s">
        <v>29</v>
      </c>
      <c r="C92" s="104"/>
      <c r="D92" s="894">
        <v>528.29999999999995</v>
      </c>
      <c r="E92" s="1529"/>
      <c r="F92" s="894">
        <v>474.20000000000005</v>
      </c>
      <c r="G92" s="1529"/>
      <c r="H92" s="894">
        <v>30.5</v>
      </c>
      <c r="I92" s="1529"/>
      <c r="J92" s="894">
        <v>823.09999999999991</v>
      </c>
      <c r="K92" s="1535"/>
      <c r="L92" s="894">
        <v>424.70000000000027</v>
      </c>
      <c r="M92" s="1535"/>
      <c r="N92" s="894">
        <v>520.99999999999977</v>
      </c>
      <c r="O92" s="1535"/>
      <c r="P92" s="894">
        <f t="shared" si="12"/>
        <v>417.00000000000023</v>
      </c>
      <c r="Q92" s="1997"/>
      <c r="R92" s="1788"/>
      <c r="S92" s="1997"/>
      <c r="T92" s="1788"/>
      <c r="U92" s="1997"/>
      <c r="V92" s="1788"/>
      <c r="W92" s="1997"/>
      <c r="X92" s="1788"/>
      <c r="Y92" s="1997"/>
      <c r="Z92" s="1788"/>
      <c r="AA92" s="1998"/>
      <c r="AB92" s="1999"/>
      <c r="AC92" s="2001"/>
      <c r="AD92" s="1788">
        <v>3218.8</v>
      </c>
      <c r="AE92" s="2031"/>
      <c r="AF92" s="3174"/>
      <c r="AG92" s="1788">
        <v>3592.3</v>
      </c>
      <c r="AH92" s="1071"/>
      <c r="AI92" s="65"/>
      <c r="AJ92" s="893">
        <f t="shared" ref="AJ92:AJ97" si="13">ROUND(SUM(+AD92-AG92),1)</f>
        <v>-373.5</v>
      </c>
      <c r="AK92" s="893"/>
      <c r="AL92" s="1828">
        <f t="shared" ref="AL92:AL97" si="14">ROUND(IF(AG92=0,0,AJ92/ABS(AG92)),3)</f>
        <v>-0.104</v>
      </c>
      <c r="AM92" s="1818"/>
    </row>
    <row r="93" spans="1:39" s="885" customFormat="1" ht="15" customHeight="1">
      <c r="A93" s="1068"/>
      <c r="B93" s="1812" t="s">
        <v>30</v>
      </c>
      <c r="C93" s="104"/>
      <c r="D93" s="894">
        <v>29.6</v>
      </c>
      <c r="E93" s="1529"/>
      <c r="F93" s="894">
        <v>25.5</v>
      </c>
      <c r="G93" s="1529"/>
      <c r="H93" s="894">
        <v>67.400000000000006</v>
      </c>
      <c r="I93" s="1529"/>
      <c r="J93" s="894">
        <v>52.200000000000017</v>
      </c>
      <c r="K93" s="1535"/>
      <c r="L93" s="894">
        <v>45.299999999999983</v>
      </c>
      <c r="M93" s="1535"/>
      <c r="N93" s="894">
        <v>190.79999999999995</v>
      </c>
      <c r="O93" s="1535"/>
      <c r="P93" s="894">
        <f t="shared" si="12"/>
        <v>55.399999999999949</v>
      </c>
      <c r="Q93" s="1997"/>
      <c r="R93" s="1788"/>
      <c r="S93" s="1997"/>
      <c r="T93" s="1788"/>
      <c r="U93" s="1997"/>
      <c r="V93" s="1788"/>
      <c r="W93" s="1997"/>
      <c r="X93" s="1788"/>
      <c r="Y93" s="1997"/>
      <c r="Z93" s="1788"/>
      <c r="AA93" s="1998"/>
      <c r="AB93" s="1999"/>
      <c r="AC93" s="2001"/>
      <c r="AD93" s="1788">
        <v>466.2</v>
      </c>
      <c r="AE93" s="2031"/>
      <c r="AF93" s="3174"/>
      <c r="AG93" s="1788">
        <v>516.6</v>
      </c>
      <c r="AH93" s="1071"/>
      <c r="AI93" s="65"/>
      <c r="AJ93" s="893">
        <f t="shared" si="13"/>
        <v>-50.4</v>
      </c>
      <c r="AK93" s="893"/>
      <c r="AL93" s="1817">
        <f t="shared" si="14"/>
        <v>-9.8000000000000004E-2</v>
      </c>
      <c r="AM93" s="1818"/>
    </row>
    <row r="94" spans="1:39" s="885" customFormat="1" ht="15" customHeight="1">
      <c r="A94" s="1068"/>
      <c r="B94" s="1812" t="s">
        <v>31</v>
      </c>
      <c r="C94" s="104"/>
      <c r="D94" s="894">
        <v>18</v>
      </c>
      <c r="E94" s="1529"/>
      <c r="F94" s="894">
        <v>9.6999999999999993</v>
      </c>
      <c r="G94" s="1529"/>
      <c r="H94" s="894">
        <v>4.1999999999999993</v>
      </c>
      <c r="I94" s="1529"/>
      <c r="J94" s="894">
        <v>14.200000000000003</v>
      </c>
      <c r="K94" s="1535"/>
      <c r="L94" s="894">
        <v>21.499999999999986</v>
      </c>
      <c r="M94" s="1535"/>
      <c r="N94" s="894">
        <v>20.5</v>
      </c>
      <c r="O94" s="1535"/>
      <c r="P94" s="894">
        <f t="shared" si="12"/>
        <v>10</v>
      </c>
      <c r="Q94" s="1997"/>
      <c r="R94" s="1788"/>
      <c r="S94" s="1997"/>
      <c r="T94" s="1788"/>
      <c r="U94" s="1997"/>
      <c r="V94" s="1788"/>
      <c r="W94" s="1997"/>
      <c r="X94" s="1788"/>
      <c r="Y94" s="1997"/>
      <c r="Z94" s="1788"/>
      <c r="AA94" s="1998"/>
      <c r="AB94" s="1999"/>
      <c r="AC94" s="2001"/>
      <c r="AD94" s="1788">
        <v>98.1</v>
      </c>
      <c r="AE94" s="2031"/>
      <c r="AF94" s="3174"/>
      <c r="AG94" s="1788">
        <v>113.5</v>
      </c>
      <c r="AH94" s="1071"/>
      <c r="AI94" s="65"/>
      <c r="AJ94" s="893">
        <f t="shared" si="13"/>
        <v>-15.4</v>
      </c>
      <c r="AK94" s="893"/>
      <c r="AL94" s="1817">
        <f t="shared" si="14"/>
        <v>-0.13600000000000001</v>
      </c>
      <c r="AM94" s="1818"/>
    </row>
    <row r="95" spans="1:39" s="885" customFormat="1" ht="15" customHeight="1">
      <c r="A95" s="1068"/>
      <c r="B95" s="1812" t="s">
        <v>32</v>
      </c>
      <c r="C95" s="104"/>
      <c r="D95" s="894">
        <v>0.1</v>
      </c>
      <c r="E95" s="1529"/>
      <c r="F95" s="894">
        <v>0.19999999999999998</v>
      </c>
      <c r="G95" s="1529"/>
      <c r="H95" s="894">
        <v>0</v>
      </c>
      <c r="I95" s="1529"/>
      <c r="J95" s="894">
        <v>0.60000000000000009</v>
      </c>
      <c r="K95" s="1535"/>
      <c r="L95" s="894">
        <v>0</v>
      </c>
      <c r="M95" s="1535"/>
      <c r="N95" s="894">
        <v>9.9999999999999978E-2</v>
      </c>
      <c r="O95" s="1535"/>
      <c r="P95" s="894">
        <f t="shared" si="12"/>
        <v>0</v>
      </c>
      <c r="Q95" s="1997"/>
      <c r="R95" s="1788"/>
      <c r="S95" s="1997"/>
      <c r="T95" s="1788"/>
      <c r="U95" s="1997"/>
      <c r="V95" s="1788"/>
      <c r="W95" s="1997"/>
      <c r="X95" s="1788"/>
      <c r="Y95" s="1997"/>
      <c r="Z95" s="1788"/>
      <c r="AA95" s="1998"/>
      <c r="AB95" s="1999"/>
      <c r="AC95" s="2001"/>
      <c r="AD95" s="1788">
        <v>1</v>
      </c>
      <c r="AE95" s="2031"/>
      <c r="AF95" s="3174"/>
      <c r="AG95" s="1788">
        <v>3.3</v>
      </c>
      <c r="AH95" s="1071"/>
      <c r="AI95" s="65"/>
      <c r="AJ95" s="893">
        <f t="shared" si="13"/>
        <v>-2.2999999999999998</v>
      </c>
      <c r="AK95" s="893"/>
      <c r="AL95" s="1817">
        <f t="shared" si="14"/>
        <v>-0.69699999999999995</v>
      </c>
      <c r="AM95" s="1818"/>
    </row>
    <row r="96" spans="1:39" s="885" customFormat="1" ht="15" customHeight="1">
      <c r="A96" s="1068"/>
      <c r="B96" s="1812" t="s">
        <v>33</v>
      </c>
      <c r="C96" s="104"/>
      <c r="D96" s="894">
        <v>0</v>
      </c>
      <c r="E96" s="1529"/>
      <c r="F96" s="894">
        <v>0.4</v>
      </c>
      <c r="G96" s="1529"/>
      <c r="H96" s="894">
        <v>4.3999999999999995</v>
      </c>
      <c r="I96" s="1529"/>
      <c r="J96" s="894">
        <v>0.60000000000000053</v>
      </c>
      <c r="K96" s="1535"/>
      <c r="L96" s="894">
        <v>6.6999999999999993</v>
      </c>
      <c r="M96" s="1535"/>
      <c r="N96" s="894">
        <v>5.3000000000000007</v>
      </c>
      <c r="O96" s="1535"/>
      <c r="P96" s="894">
        <f t="shared" si="12"/>
        <v>0.70000000000000284</v>
      </c>
      <c r="Q96" s="1997"/>
      <c r="R96" s="1788"/>
      <c r="S96" s="1997"/>
      <c r="T96" s="1788"/>
      <c r="U96" s="1997"/>
      <c r="V96" s="1788"/>
      <c r="W96" s="1997"/>
      <c r="X96" s="1788"/>
      <c r="Y96" s="1997"/>
      <c r="Z96" s="1788"/>
      <c r="AA96" s="1998"/>
      <c r="AB96" s="1999"/>
      <c r="AC96" s="2001"/>
      <c r="AD96" s="1788">
        <v>18.100000000000001</v>
      </c>
      <c r="AE96" s="2031"/>
      <c r="AF96" s="3174"/>
      <c r="AG96" s="1788">
        <v>24.2</v>
      </c>
      <c r="AH96" s="1071"/>
      <c r="AI96" s="65"/>
      <c r="AJ96" s="893">
        <f t="shared" si="13"/>
        <v>-6.1</v>
      </c>
      <c r="AK96" s="893"/>
      <c r="AL96" s="1828">
        <f>ROUND(IF(AG96=0,0,AJ96/ABS(AG96)),3)</f>
        <v>-0.252</v>
      </c>
      <c r="AM96" s="1818"/>
    </row>
    <row r="97" spans="1:39" s="885" customFormat="1" ht="15" customHeight="1">
      <c r="A97" s="1068"/>
      <c r="B97" s="1812" t="s">
        <v>34</v>
      </c>
      <c r="C97" s="104"/>
      <c r="D97" s="894">
        <v>61.6</v>
      </c>
      <c r="E97" s="1529"/>
      <c r="F97" s="894">
        <v>41.699999999999996</v>
      </c>
      <c r="G97" s="1529"/>
      <c r="H97" s="894">
        <v>18.5</v>
      </c>
      <c r="I97" s="1529"/>
      <c r="J97" s="894">
        <v>701.8</v>
      </c>
      <c r="K97" s="1535"/>
      <c r="L97" s="894">
        <v>345.20000000000005</v>
      </c>
      <c r="M97" s="1535"/>
      <c r="N97" s="894">
        <v>241.10000000000014</v>
      </c>
      <c r="O97" s="1535"/>
      <c r="P97" s="894">
        <f t="shared" si="12"/>
        <v>253.5</v>
      </c>
      <c r="Q97" s="1997"/>
      <c r="R97" s="1788"/>
      <c r="S97" s="1997"/>
      <c r="T97" s="1788"/>
      <c r="U97" s="1997"/>
      <c r="V97" s="1788"/>
      <c r="W97" s="1997"/>
      <c r="X97" s="1788"/>
      <c r="Y97" s="1997"/>
      <c r="Z97" s="1788"/>
      <c r="AA97" s="1998"/>
      <c r="AB97" s="1999"/>
      <c r="AC97" s="2001"/>
      <c r="AD97" s="1788">
        <v>1663.4</v>
      </c>
      <c r="AE97" s="2031"/>
      <c r="AF97" s="3174"/>
      <c r="AG97" s="1788">
        <v>1981.9</v>
      </c>
      <c r="AH97" s="1071"/>
      <c r="AI97" s="65"/>
      <c r="AJ97" s="893">
        <f t="shared" si="13"/>
        <v>-318.5</v>
      </c>
      <c r="AK97" s="893"/>
      <c r="AL97" s="1817">
        <f t="shared" si="14"/>
        <v>-0.161</v>
      </c>
      <c r="AM97" s="1818"/>
    </row>
    <row r="98" spans="1:39" ht="15" customHeight="1">
      <c r="A98" s="147"/>
      <c r="B98" s="29" t="s">
        <v>1179</v>
      </c>
      <c r="C98" s="31"/>
      <c r="D98" s="291">
        <f>ROUND(SUM(D88:D97),1)</f>
        <v>647</v>
      </c>
      <c r="E98" s="920"/>
      <c r="F98" s="291">
        <f>ROUND(SUM(F88:F97),1)</f>
        <v>590.9</v>
      </c>
      <c r="G98" s="920"/>
      <c r="H98" s="291">
        <f>ROUND(SUM(H88:H97),1)</f>
        <v>428.3</v>
      </c>
      <c r="I98" s="920"/>
      <c r="J98" s="291">
        <f>ROUND(SUM(J88:J97),1)</f>
        <v>1601</v>
      </c>
      <c r="K98" s="920"/>
      <c r="L98" s="291">
        <f>ROUND(SUM(L88:L97),1)</f>
        <v>876.3</v>
      </c>
      <c r="M98" s="920"/>
      <c r="N98" s="291">
        <f>ROUND(SUM(N88:N97),1)</f>
        <v>3280.3</v>
      </c>
      <c r="O98" s="920"/>
      <c r="P98" s="2015">
        <f>ROUND(SUM(P88:P97),1)</f>
        <v>901.6</v>
      </c>
      <c r="Q98" s="1459"/>
      <c r="R98" s="2015">
        <f>ROUND(SUM(R88:R97),1)</f>
        <v>0</v>
      </c>
      <c r="S98" s="1459"/>
      <c r="T98" s="2015">
        <f>ROUND(SUM(T88:T97),1)</f>
        <v>0</v>
      </c>
      <c r="U98" s="1459"/>
      <c r="V98" s="2015">
        <f>ROUND(SUM(V88:V97),1)</f>
        <v>0</v>
      </c>
      <c r="W98" s="1459"/>
      <c r="X98" s="2015">
        <f>ROUND(SUM(X88:X97),1)</f>
        <v>0</v>
      </c>
      <c r="Y98" s="1459"/>
      <c r="Z98" s="2015">
        <f>ROUND(SUM(Z88:Z97),1)</f>
        <v>0</v>
      </c>
      <c r="AA98" s="1442"/>
      <c r="AB98" s="1459"/>
      <c r="AC98" s="2039"/>
      <c r="AD98" s="2016">
        <f>ROUND(SUM(AD88:AD97),1)</f>
        <v>8325.4</v>
      </c>
      <c r="AE98" s="1460"/>
      <c r="AF98" s="3158"/>
      <c r="AG98" s="2016">
        <f>ROUND(SUM(AG88:AG97),1)</f>
        <v>9359.2000000000007</v>
      </c>
      <c r="AH98" s="279"/>
      <c r="AI98" s="74"/>
      <c r="AJ98" s="59">
        <f>ROUND(SUM(AD98-AG98),1)</f>
        <v>-1033.8</v>
      </c>
      <c r="AK98" s="163"/>
      <c r="AL98" s="1432">
        <f>ROUND(SUM((AD98-AG98)/ABS(AG98)),3)</f>
        <v>-0.11</v>
      </c>
      <c r="AM98" s="782"/>
    </row>
    <row r="99" spans="1:39" ht="15" customHeight="1">
      <c r="A99" s="147"/>
      <c r="B99" s="31" t="s">
        <v>169</v>
      </c>
      <c r="C99" s="31"/>
      <c r="D99" s="1529"/>
      <c r="E99" s="1529"/>
      <c r="F99" s="1529"/>
      <c r="G99" s="1529"/>
      <c r="H99" s="1529"/>
      <c r="I99" s="1529"/>
      <c r="J99" s="1529"/>
      <c r="K99" s="64"/>
      <c r="L99" s="64"/>
      <c r="M99" s="64"/>
      <c r="N99" s="64"/>
      <c r="O99" s="64"/>
      <c r="P99" s="2005"/>
      <c r="Q99" s="2005"/>
      <c r="R99" s="2005"/>
      <c r="S99" s="2005"/>
      <c r="T99" s="2005"/>
      <c r="U99" s="2005"/>
      <c r="V99" s="2005"/>
      <c r="W99" s="2005"/>
      <c r="X99" s="2005"/>
      <c r="Y99" s="2005"/>
      <c r="Z99" s="2005"/>
      <c r="AA99" s="2005"/>
      <c r="AB99" s="2005"/>
      <c r="AC99" s="2036"/>
      <c r="AD99" s="1994"/>
      <c r="AE99" s="1994"/>
      <c r="AF99" s="1996"/>
      <c r="AG99" s="1994"/>
      <c r="AH99" s="272"/>
      <c r="AI99" s="54"/>
      <c r="AJ99" s="641"/>
      <c r="AK99" s="918"/>
      <c r="AL99" s="1430"/>
      <c r="AM99" s="782"/>
    </row>
    <row r="100" spans="1:39" s="885" customFormat="1" ht="15" customHeight="1">
      <c r="A100" s="1068"/>
      <c r="B100" s="104" t="s">
        <v>153</v>
      </c>
      <c r="C100" s="104"/>
      <c r="D100" s="894">
        <v>601.1</v>
      </c>
      <c r="E100" s="1529"/>
      <c r="F100" s="894">
        <v>393.6</v>
      </c>
      <c r="G100" s="1529"/>
      <c r="H100" s="894">
        <v>390.89999999999986</v>
      </c>
      <c r="I100" s="1529"/>
      <c r="J100" s="894">
        <v>375.19999999999993</v>
      </c>
      <c r="K100" s="1535"/>
      <c r="L100" s="894">
        <v>326.9000000000002</v>
      </c>
      <c r="M100" s="1535"/>
      <c r="N100" s="894">
        <v>607.20000000000027</v>
      </c>
      <c r="O100" s="1535"/>
      <c r="P100" s="894">
        <f>$AD100-$D100-$F100-$H100-$J100-$L100-$N100</f>
        <v>389.4</v>
      </c>
      <c r="Q100" s="1997"/>
      <c r="R100" s="1788"/>
      <c r="S100" s="1997"/>
      <c r="T100" s="1788"/>
      <c r="U100" s="1997"/>
      <c r="V100" s="1788"/>
      <c r="W100" s="1997"/>
      <c r="X100" s="1788"/>
      <c r="Y100" s="1997"/>
      <c r="Z100" s="1788"/>
      <c r="AA100" s="1998"/>
      <c r="AB100" s="1999"/>
      <c r="AC100" s="2001"/>
      <c r="AD100" s="1788">
        <v>3084.3</v>
      </c>
      <c r="AE100" s="2031"/>
      <c r="AF100" s="3174"/>
      <c r="AG100" s="1788">
        <v>3124.5</v>
      </c>
      <c r="AH100" s="1071"/>
      <c r="AI100" s="65"/>
      <c r="AJ100" s="893">
        <f>ROUND(SUM(+AD100-AG100),1)</f>
        <v>-40.200000000000003</v>
      </c>
      <c r="AK100" s="893"/>
      <c r="AL100" s="1817">
        <f>ROUND(IF(AG100=0,0,AJ100/ABS(AG100)),3)</f>
        <v>-1.2999999999999999E-2</v>
      </c>
      <c r="AM100" s="1818"/>
    </row>
    <row r="101" spans="1:39" s="885" customFormat="1" ht="15" customHeight="1">
      <c r="A101" s="1068"/>
      <c r="B101" s="104" t="s">
        <v>170</v>
      </c>
      <c r="C101" s="104"/>
      <c r="D101" s="894">
        <v>230.1</v>
      </c>
      <c r="E101" s="1529"/>
      <c r="F101" s="894">
        <v>176.79999999999998</v>
      </c>
      <c r="G101" s="1529"/>
      <c r="H101" s="894">
        <v>158.70000000000002</v>
      </c>
      <c r="I101" s="1529"/>
      <c r="J101" s="894">
        <v>192.69999999999996</v>
      </c>
      <c r="K101" s="1535"/>
      <c r="L101" s="894">
        <v>159.20000000000002</v>
      </c>
      <c r="M101" s="1535"/>
      <c r="N101" s="894">
        <v>260.09999999999991</v>
      </c>
      <c r="O101" s="1535"/>
      <c r="P101" s="894">
        <f t="shared" ref="P101:P103" si="15">$AD101-$D101-$F101-$H101-$J101-$L101-$N101</f>
        <v>248.4000000000002</v>
      </c>
      <c r="Q101" s="1997"/>
      <c r="R101" s="1788"/>
      <c r="S101" s="1997"/>
      <c r="T101" s="1788"/>
      <c r="U101" s="1997"/>
      <c r="V101" s="1788"/>
      <c r="W101" s="1997"/>
      <c r="X101" s="1788"/>
      <c r="Y101" s="1997"/>
      <c r="Z101" s="1788"/>
      <c r="AA101" s="1998"/>
      <c r="AB101" s="1999"/>
      <c r="AC101" s="2001"/>
      <c r="AD101" s="1788">
        <v>1426</v>
      </c>
      <c r="AE101" s="2031"/>
      <c r="AF101" s="3174"/>
      <c r="AG101" s="1788">
        <v>1647.2</v>
      </c>
      <c r="AH101" s="1071"/>
      <c r="AI101" s="65"/>
      <c r="AJ101" s="893">
        <f>ROUND(SUM(+AD101-AG101),1)</f>
        <v>-221.2</v>
      </c>
      <c r="AK101" s="893"/>
      <c r="AL101" s="1817">
        <f>ROUND(IF(AG101=0,0,AJ101/ABS(AG101)),3)</f>
        <v>-0.13400000000000001</v>
      </c>
      <c r="AM101" s="1818"/>
    </row>
    <row r="102" spans="1:39" s="885" customFormat="1" ht="15" customHeight="1">
      <c r="A102" s="1068"/>
      <c r="B102" s="104" t="s">
        <v>171</v>
      </c>
      <c r="C102" s="104"/>
      <c r="D102" s="894">
        <v>52.3</v>
      </c>
      <c r="E102" s="1529"/>
      <c r="F102" s="894">
        <v>39.799999999999997</v>
      </c>
      <c r="G102" s="1529"/>
      <c r="H102" s="894">
        <v>70.700000000000017</v>
      </c>
      <c r="I102" s="1529"/>
      <c r="J102" s="894">
        <v>52.3</v>
      </c>
      <c r="K102" s="1535"/>
      <c r="L102" s="894">
        <v>72.199999999999974</v>
      </c>
      <c r="M102" s="1535"/>
      <c r="N102" s="894">
        <v>116.30000000000003</v>
      </c>
      <c r="O102" s="1535"/>
      <c r="P102" s="894">
        <f t="shared" si="15"/>
        <v>46.599999999999952</v>
      </c>
      <c r="Q102" s="1997"/>
      <c r="R102" s="1788"/>
      <c r="S102" s="1997"/>
      <c r="T102" s="1788"/>
      <c r="U102" s="1997"/>
      <c r="V102" s="1788"/>
      <c r="W102" s="1997"/>
      <c r="X102" s="1788"/>
      <c r="Y102" s="1997"/>
      <c r="Z102" s="1788"/>
      <c r="AA102" s="1998"/>
      <c r="AB102" s="1999"/>
      <c r="AC102" s="2001"/>
      <c r="AD102" s="1788">
        <v>450.2</v>
      </c>
      <c r="AE102" s="2031"/>
      <c r="AF102" s="3174"/>
      <c r="AG102" s="1788">
        <v>519.1</v>
      </c>
      <c r="AH102" s="1071"/>
      <c r="AI102" s="65"/>
      <c r="AJ102" s="893">
        <f>ROUND(SUM(+AD102-AG102),1)</f>
        <v>-68.900000000000006</v>
      </c>
      <c r="AK102" s="893"/>
      <c r="AL102" s="1817">
        <f>ROUND(IF(AG102=0,0,AJ102/ABS(AG102)),3)</f>
        <v>-0.13300000000000001</v>
      </c>
      <c r="AM102" s="1818"/>
    </row>
    <row r="103" spans="1:39" s="885" customFormat="1" ht="15" customHeight="1">
      <c r="A103" s="1068"/>
      <c r="B103" s="104" t="s">
        <v>172</v>
      </c>
      <c r="C103" s="104"/>
      <c r="D103" s="894">
        <v>0</v>
      </c>
      <c r="E103" s="1529"/>
      <c r="F103" s="894">
        <v>0</v>
      </c>
      <c r="G103" s="1529"/>
      <c r="H103" s="894">
        <v>0</v>
      </c>
      <c r="I103" s="1529"/>
      <c r="J103" s="894">
        <v>0</v>
      </c>
      <c r="K103" s="1535"/>
      <c r="L103" s="894">
        <v>0</v>
      </c>
      <c r="M103" s="1535"/>
      <c r="N103" s="894">
        <v>0</v>
      </c>
      <c r="O103" s="1535"/>
      <c r="P103" s="894">
        <f t="shared" si="15"/>
        <v>0</v>
      </c>
      <c r="Q103" s="1997"/>
      <c r="R103" s="1788"/>
      <c r="S103" s="1997"/>
      <c r="T103" s="1788"/>
      <c r="U103" s="1997"/>
      <c r="V103" s="1788"/>
      <c r="W103" s="1997"/>
      <c r="X103" s="1788"/>
      <c r="Y103" s="1997"/>
      <c r="Z103" s="1788"/>
      <c r="AA103" s="1998"/>
      <c r="AB103" s="1999"/>
      <c r="AC103" s="2001"/>
      <c r="AD103" s="1788">
        <v>0</v>
      </c>
      <c r="AE103" s="2031"/>
      <c r="AF103" s="3174"/>
      <c r="AG103" s="1788">
        <v>0</v>
      </c>
      <c r="AH103" s="1071"/>
      <c r="AI103" s="65"/>
      <c r="AJ103" s="893">
        <f>ROUND(SUM(+AD103-AG103),1)</f>
        <v>0</v>
      </c>
      <c r="AK103" s="893"/>
      <c r="AL103" s="1723">
        <f>ROUND(IF(AG103=0,0,AJ103/ABS(AG103)),3)</f>
        <v>0</v>
      </c>
      <c r="AM103" s="1818"/>
    </row>
    <row r="104" spans="1:39" ht="15" customHeight="1">
      <c r="A104" s="147"/>
      <c r="B104" s="31"/>
      <c r="C104" s="31"/>
      <c r="D104" s="686"/>
      <c r="E104" s="1529"/>
      <c r="F104" s="686"/>
      <c r="G104" s="1529"/>
      <c r="H104" s="686"/>
      <c r="I104" s="1529"/>
      <c r="J104" s="686"/>
      <c r="K104" s="64"/>
      <c r="L104" s="86"/>
      <c r="M104" s="64"/>
      <c r="N104" s="86"/>
      <c r="O104" s="64"/>
      <c r="P104" s="2004"/>
      <c r="Q104" s="2005"/>
      <c r="R104" s="2004"/>
      <c r="S104" s="2005"/>
      <c r="T104" s="2004"/>
      <c r="U104" s="2005"/>
      <c r="V104" s="2004"/>
      <c r="W104" s="2005"/>
      <c r="X104" s="2004"/>
      <c r="Y104" s="2005"/>
      <c r="Z104" s="2004"/>
      <c r="AA104" s="2006"/>
      <c r="AB104" s="2005"/>
      <c r="AC104" s="2036"/>
      <c r="AD104" s="2050"/>
      <c r="AE104" s="1976"/>
      <c r="AF104" s="1996"/>
      <c r="AG104" s="2050"/>
      <c r="AH104" s="272"/>
      <c r="AI104" s="54"/>
      <c r="AJ104" s="1403"/>
      <c r="AK104" s="918"/>
      <c r="AL104" s="1444"/>
      <c r="AM104" s="782"/>
    </row>
    <row r="105" spans="1:39" ht="15" customHeight="1">
      <c r="A105" s="147"/>
      <c r="B105" s="29" t="s">
        <v>156</v>
      </c>
      <c r="C105" s="31"/>
      <c r="D105" s="920">
        <f>ROUND(SUM(D98:D103),1)</f>
        <v>1530.5</v>
      </c>
      <c r="E105" s="920"/>
      <c r="F105" s="920">
        <f>ROUND(SUM(F98:F103),1)</f>
        <v>1201.0999999999999</v>
      </c>
      <c r="G105" s="920"/>
      <c r="H105" s="920">
        <f>ROUND(SUM(H98:H103),1)</f>
        <v>1048.5999999999999</v>
      </c>
      <c r="I105" s="920"/>
      <c r="J105" s="920">
        <f>ROUND(SUM(J98:J103),1)</f>
        <v>2221.1999999999998</v>
      </c>
      <c r="K105" s="920"/>
      <c r="L105" s="920">
        <f>ROUND(SUM(L98:L103),1)</f>
        <v>1434.6</v>
      </c>
      <c r="M105" s="920"/>
      <c r="N105" s="920">
        <f>ROUND(SUM(N98:N103),1)</f>
        <v>4263.8999999999996</v>
      </c>
      <c r="O105" s="920"/>
      <c r="P105" s="1459">
        <f>ROUND(SUM(P98:P103),1)</f>
        <v>1586</v>
      </c>
      <c r="Q105" s="1459"/>
      <c r="R105" s="1459">
        <f>ROUND(SUM(R98:R103),1)</f>
        <v>0</v>
      </c>
      <c r="S105" s="1459"/>
      <c r="T105" s="1459">
        <f>ROUND(SUM(T98:T103),1)</f>
        <v>0</v>
      </c>
      <c r="U105" s="1459"/>
      <c r="V105" s="1459">
        <f>ROUND(SUM(V98:V103),1)</f>
        <v>0</v>
      </c>
      <c r="W105" s="1459"/>
      <c r="X105" s="1459">
        <f>ROUND(SUM(X98:X103),1)</f>
        <v>0</v>
      </c>
      <c r="Y105" s="1459"/>
      <c r="Z105" s="1459">
        <f>ROUND(SUM(Z98:Z103),1)</f>
        <v>0</v>
      </c>
      <c r="AA105" s="1459"/>
      <c r="AB105" s="1459"/>
      <c r="AC105" s="2039"/>
      <c r="AD105" s="2049">
        <f>ROUND(SUM(AD98:AD103),1)</f>
        <v>13285.9</v>
      </c>
      <c r="AE105" s="1460"/>
      <c r="AF105" s="3158"/>
      <c r="AG105" s="2049">
        <f>ROUND(SUM(AG98:AG103),1)</f>
        <v>14650</v>
      </c>
      <c r="AH105" s="279"/>
      <c r="AI105" s="74"/>
      <c r="AJ105" s="72">
        <f>ROUND(SUM(AD105-AG105),1)</f>
        <v>-1364.1</v>
      </c>
      <c r="AK105" s="207"/>
      <c r="AL105" s="1433">
        <f>ROUND(SUM((AD105-AG105)/ABS(AG105)),3)</f>
        <v>-9.2999999999999999E-2</v>
      </c>
      <c r="AM105" s="782"/>
    </row>
    <row r="106" spans="1:39" ht="15" customHeight="1">
      <c r="A106" s="147"/>
      <c r="B106" s="31"/>
      <c r="C106" s="31"/>
      <c r="D106" s="686"/>
      <c r="E106" s="1529"/>
      <c r="F106" s="686"/>
      <c r="G106" s="1529"/>
      <c r="H106" s="686"/>
      <c r="I106" s="1529"/>
      <c r="J106" s="686"/>
      <c r="K106" s="64"/>
      <c r="L106" s="86"/>
      <c r="M106" s="64"/>
      <c r="N106" s="86"/>
      <c r="O106" s="64"/>
      <c r="P106" s="2004"/>
      <c r="Q106" s="2005"/>
      <c r="R106" s="2004"/>
      <c r="S106" s="2005"/>
      <c r="T106" s="2004"/>
      <c r="U106" s="2005"/>
      <c r="V106" s="2004"/>
      <c r="W106" s="2005"/>
      <c r="X106" s="2004"/>
      <c r="Y106" s="2005"/>
      <c r="Z106" s="2004"/>
      <c r="AA106" s="2006"/>
      <c r="AB106" s="2005"/>
      <c r="AC106" s="2036"/>
      <c r="AD106" s="2050"/>
      <c r="AE106" s="1976"/>
      <c r="AF106" s="1996"/>
      <c r="AG106" s="2050"/>
      <c r="AH106" s="272"/>
      <c r="AI106" s="54"/>
      <c r="AJ106" s="641"/>
      <c r="AK106" s="918"/>
      <c r="AL106" s="1430"/>
      <c r="AM106" s="782"/>
    </row>
    <row r="107" spans="1:39" ht="15" customHeight="1">
      <c r="A107" s="147"/>
      <c r="B107" s="29" t="s">
        <v>157</v>
      </c>
      <c r="C107" s="31"/>
      <c r="D107" s="1529"/>
      <c r="E107" s="1529"/>
      <c r="F107" s="1529"/>
      <c r="G107" s="1529"/>
      <c r="H107" s="1529"/>
      <c r="I107" s="1529"/>
      <c r="J107" s="1529"/>
      <c r="K107" s="64"/>
      <c r="L107" s="64"/>
      <c r="M107" s="64"/>
      <c r="N107" s="64"/>
      <c r="O107" s="64"/>
      <c r="P107" s="2005"/>
      <c r="Q107" s="2005"/>
      <c r="R107" s="2005"/>
      <c r="S107" s="2005"/>
      <c r="T107" s="2005"/>
      <c r="U107" s="2005"/>
      <c r="V107" s="2005"/>
      <c r="W107" s="2005"/>
      <c r="X107" s="2005"/>
      <c r="Y107" s="2005"/>
      <c r="Z107" s="2005"/>
      <c r="AA107" s="2005"/>
      <c r="AB107" s="2005"/>
      <c r="AC107" s="2036"/>
      <c r="AD107" s="1994"/>
      <c r="AE107" s="1976"/>
      <c r="AF107" s="1996"/>
      <c r="AG107" s="1994"/>
      <c r="AH107" s="272"/>
      <c r="AI107" s="54"/>
      <c r="AJ107" s="941"/>
      <c r="AK107" s="918"/>
      <c r="AL107" s="1430"/>
      <c r="AM107" s="782"/>
    </row>
    <row r="108" spans="1:39" ht="15" customHeight="1">
      <c r="A108" s="147"/>
      <c r="B108" s="29" t="s">
        <v>45</v>
      </c>
      <c r="C108" s="31"/>
      <c r="D108" s="920">
        <f>ROUND(SUM(D84-D105),1)</f>
        <v>70.099999999999994</v>
      </c>
      <c r="E108" s="920"/>
      <c r="F108" s="920">
        <f>ROUND(SUM(F84-F105),1)</f>
        <v>-32.9</v>
      </c>
      <c r="G108" s="920"/>
      <c r="H108" s="920">
        <f>ROUND(SUM(H84-H105),1)</f>
        <v>661.6</v>
      </c>
      <c r="I108" s="920"/>
      <c r="J108" s="920">
        <f>ROUND(SUM(J84-J105),1)</f>
        <v>-684.4</v>
      </c>
      <c r="K108" s="920"/>
      <c r="L108" s="920">
        <f>ROUND(SUM(L84-L105),1)</f>
        <v>-43.8</v>
      </c>
      <c r="M108" s="920"/>
      <c r="N108" s="920">
        <f>ROUND(SUM(N84-N105),1)</f>
        <v>-2004</v>
      </c>
      <c r="O108" s="920"/>
      <c r="P108" s="1459">
        <f>ROUND(SUM(P84-P105),1)</f>
        <v>289.60000000000002</v>
      </c>
      <c r="Q108" s="1459"/>
      <c r="R108" s="1459">
        <f>ROUND(SUM(R84-R105),1)</f>
        <v>0</v>
      </c>
      <c r="S108" s="1459"/>
      <c r="T108" s="1459">
        <f>ROUND(SUM(T84-T105),1)</f>
        <v>0</v>
      </c>
      <c r="U108" s="1459"/>
      <c r="V108" s="1459">
        <f>ROUND(SUM(V84-V105),1)</f>
        <v>0</v>
      </c>
      <c r="W108" s="1459"/>
      <c r="X108" s="1459">
        <f>ROUND(SUM(X84-X105),1)</f>
        <v>0</v>
      </c>
      <c r="Y108" s="1459"/>
      <c r="Z108" s="1459">
        <f>ROUND(SUM(Z84-Z105),1)</f>
        <v>0</v>
      </c>
      <c r="AA108" s="1459"/>
      <c r="AB108" s="1459"/>
      <c r="AC108" s="2039"/>
      <c r="AD108" s="2049">
        <f>ROUND(SUM(AD84-AD105),1)</f>
        <v>-1743.8</v>
      </c>
      <c r="AE108" s="1460"/>
      <c r="AF108" s="3158"/>
      <c r="AG108" s="2049">
        <f>ROUND(SUM(AG84-AG105),1)</f>
        <v>-1519.5</v>
      </c>
      <c r="AH108" s="279"/>
      <c r="AI108" s="74"/>
      <c r="AJ108" s="72">
        <f>ROUND(SUM(AD108-AG108),1)</f>
        <v>-224.3</v>
      </c>
      <c r="AK108" s="206"/>
      <c r="AL108" s="3586">
        <f>ROUND(IF(AG108=0,0,AJ108/ABS(AG108)),3)</f>
        <v>-0.14799999999999999</v>
      </c>
      <c r="AM108" s="782"/>
    </row>
    <row r="109" spans="1:39" ht="15" customHeight="1">
      <c r="A109" s="147"/>
      <c r="B109" s="31"/>
      <c r="C109" s="31"/>
      <c r="D109" s="686"/>
      <c r="E109" s="1529"/>
      <c r="F109" s="686"/>
      <c r="G109" s="1529"/>
      <c r="H109" s="686"/>
      <c r="I109" s="1529"/>
      <c r="J109" s="686"/>
      <c r="K109" s="64"/>
      <c r="L109" s="86"/>
      <c r="M109" s="64"/>
      <c r="N109" s="86"/>
      <c r="O109" s="64"/>
      <c r="P109" s="2004"/>
      <c r="Q109" s="2005"/>
      <c r="R109" s="2004"/>
      <c r="S109" s="2005"/>
      <c r="T109" s="2004"/>
      <c r="U109" s="2005"/>
      <c r="V109" s="2004"/>
      <c r="W109" s="2005"/>
      <c r="X109" s="2004"/>
      <c r="Y109" s="2005"/>
      <c r="Z109" s="2004"/>
      <c r="AA109" s="2006"/>
      <c r="AB109" s="2005"/>
      <c r="AC109" s="2036"/>
      <c r="AD109" s="2050"/>
      <c r="AE109" s="1976"/>
      <c r="AF109" s="1996"/>
      <c r="AG109" s="2050"/>
      <c r="AH109" s="272"/>
      <c r="AI109" s="54"/>
      <c r="AJ109" s="641"/>
      <c r="AK109" s="918"/>
      <c r="AL109" s="1430"/>
      <c r="AM109" s="782"/>
    </row>
    <row r="110" spans="1:39" ht="15" customHeight="1">
      <c r="A110" s="147"/>
      <c r="B110" s="29" t="s">
        <v>46</v>
      </c>
      <c r="C110" s="31"/>
      <c r="D110" s="1529"/>
      <c r="E110" s="1529"/>
      <c r="F110" s="1529"/>
      <c r="G110" s="1529"/>
      <c r="H110" s="1529"/>
      <c r="I110" s="1529"/>
      <c r="J110" s="1529"/>
      <c r="K110" s="64"/>
      <c r="L110" s="64"/>
      <c r="M110" s="64"/>
      <c r="N110" s="64"/>
      <c r="O110" s="64"/>
      <c r="P110" s="2005"/>
      <c r="Q110" s="2005"/>
      <c r="R110" s="2005"/>
      <c r="S110" s="2005"/>
      <c r="T110" s="2005"/>
      <c r="U110" s="2005"/>
      <c r="V110" s="2005"/>
      <c r="W110" s="2005"/>
      <c r="X110" s="2005"/>
      <c r="Y110" s="2005"/>
      <c r="Z110" s="2005"/>
      <c r="AA110" s="2005"/>
      <c r="AB110" s="2005"/>
      <c r="AC110" s="2036"/>
      <c r="AD110" s="1994"/>
      <c r="AE110" s="1976"/>
      <c r="AF110" s="1996"/>
      <c r="AG110" s="1994"/>
      <c r="AH110" s="272"/>
      <c r="AI110" s="54"/>
      <c r="AJ110" s="641"/>
      <c r="AK110" s="918"/>
      <c r="AL110" s="1430"/>
      <c r="AM110" s="782"/>
    </row>
    <row r="111" spans="1:39" s="885" customFormat="1" ht="15" customHeight="1">
      <c r="A111" s="1068"/>
      <c r="B111" s="104" t="s">
        <v>176</v>
      </c>
      <c r="C111" s="104"/>
      <c r="D111" s="894">
        <v>222.7</v>
      </c>
      <c r="E111" s="1529"/>
      <c r="F111" s="894">
        <v>41.5</v>
      </c>
      <c r="G111" s="1529"/>
      <c r="H111" s="894">
        <v>897.40000000000009</v>
      </c>
      <c r="I111" s="1529"/>
      <c r="J111" s="894">
        <v>135.59999999999991</v>
      </c>
      <c r="K111" s="1535"/>
      <c r="L111" s="894">
        <v>116</v>
      </c>
      <c r="M111" s="1535"/>
      <c r="N111" s="894">
        <v>206.09999999999991</v>
      </c>
      <c r="O111" s="1535"/>
      <c r="P111" s="1788">
        <f>$AD111-$D111-$F111-$H111-$J111-$L111-$N111</f>
        <v>505.89999999999986</v>
      </c>
      <c r="Q111" s="1997"/>
      <c r="R111" s="1788"/>
      <c r="S111" s="1997"/>
      <c r="T111" s="1788"/>
      <c r="U111" s="1997"/>
      <c r="V111" s="1788"/>
      <c r="W111" s="1997"/>
      <c r="X111" s="1788"/>
      <c r="Y111" s="1997"/>
      <c r="Z111" s="1788"/>
      <c r="AA111" s="1998"/>
      <c r="AB111" s="1999"/>
      <c r="AC111" s="2001"/>
      <c r="AD111" s="1788">
        <v>2125.1999999999998</v>
      </c>
      <c r="AE111" s="2031"/>
      <c r="AF111" s="3174"/>
      <c r="AG111" s="1788">
        <v>2123.8000000000002</v>
      </c>
      <c r="AH111" s="1071"/>
      <c r="AI111" s="65"/>
      <c r="AJ111" s="893">
        <f>ROUND(SUM(+AD111-AG111),1)</f>
        <v>1.4</v>
      </c>
      <c r="AK111" s="893"/>
      <c r="AL111" s="1817">
        <f>ROUND(IF(AG111=0,0,AJ111/ABS(AG111)),3)</f>
        <v>1E-3</v>
      </c>
      <c r="AM111" s="1818"/>
    </row>
    <row r="112" spans="1:39" s="885" customFormat="1" ht="15" customHeight="1">
      <c r="A112" s="1068"/>
      <c r="B112" s="104" t="s">
        <v>174</v>
      </c>
      <c r="C112" s="104"/>
      <c r="D112" s="894">
        <v>2.7</v>
      </c>
      <c r="E112" s="1529"/>
      <c r="F112" s="894">
        <v>5.6000000000000005</v>
      </c>
      <c r="G112" s="1529"/>
      <c r="H112" s="894">
        <v>-23</v>
      </c>
      <c r="I112" s="1529"/>
      <c r="J112" s="894">
        <v>-17.700000000000003</v>
      </c>
      <c r="K112" s="1535"/>
      <c r="L112" s="894">
        <v>-3.3000000000000043</v>
      </c>
      <c r="M112" s="1535"/>
      <c r="N112" s="894">
        <v>-146.99999999999994</v>
      </c>
      <c r="O112" s="1535"/>
      <c r="P112" s="1788">
        <f>$AD112-$D112-$F112-$H112-$J112-$L112-$N112</f>
        <v>-5.3000000000000114</v>
      </c>
      <c r="Q112" s="1997"/>
      <c r="R112" s="1788"/>
      <c r="S112" s="1997"/>
      <c r="T112" s="1788"/>
      <c r="U112" s="1997"/>
      <c r="V112" s="1788"/>
      <c r="W112" s="1997"/>
      <c r="X112" s="1788"/>
      <c r="Y112" s="1997"/>
      <c r="Z112" s="1788"/>
      <c r="AA112" s="1998"/>
      <c r="AB112" s="1999"/>
      <c r="AC112" s="2001"/>
      <c r="AD112" s="1788">
        <v>-188</v>
      </c>
      <c r="AE112" s="2031"/>
      <c r="AF112" s="3174"/>
      <c r="AG112" s="3423">
        <v>-344.6</v>
      </c>
      <c r="AH112" s="1071"/>
      <c r="AI112" s="65"/>
      <c r="AJ112" s="1022">
        <f>ROUND(SUM(+AD112-AG112)*-1,1)</f>
        <v>-156.6</v>
      </c>
      <c r="AK112" s="1022"/>
      <c r="AL112" s="2126">
        <f>ROUND(IF(AG112=0,0,AJ112/ABS(AG112)),3)</f>
        <v>-0.45400000000000001</v>
      </c>
      <c r="AM112" s="1818"/>
    </row>
    <row r="113" spans="1:52" ht="15" customHeight="1">
      <c r="A113" s="147"/>
      <c r="B113" s="31"/>
      <c r="C113" s="31"/>
      <c r="D113" s="86"/>
      <c r="E113" s="64"/>
      <c r="F113" s="86"/>
      <c r="G113" s="64"/>
      <c r="H113" s="86"/>
      <c r="I113" s="64"/>
      <c r="J113" s="86"/>
      <c r="K113" s="64"/>
      <c r="L113" s="86"/>
      <c r="M113" s="64"/>
      <c r="N113" s="86"/>
      <c r="O113" s="64"/>
      <c r="P113" s="86"/>
      <c r="Q113" s="64"/>
      <c r="R113" s="86"/>
      <c r="S113" s="64"/>
      <c r="T113" s="86"/>
      <c r="U113" s="64"/>
      <c r="V113" s="86"/>
      <c r="W113" s="64"/>
      <c r="X113" s="86"/>
      <c r="Y113" s="64"/>
      <c r="Z113" s="86"/>
      <c r="AA113" s="54"/>
      <c r="AB113" s="64"/>
      <c r="AC113" s="55"/>
      <c r="AD113" s="123"/>
      <c r="AE113" s="65"/>
      <c r="AF113" s="1070"/>
      <c r="AG113" s="65"/>
      <c r="AH113" s="272"/>
      <c r="AI113" s="54"/>
      <c r="AJ113" s="1403"/>
      <c r="AK113" s="918"/>
      <c r="AL113" s="1444"/>
      <c r="AM113" s="782"/>
    </row>
    <row r="114" spans="1:52" ht="15" customHeight="1">
      <c r="A114" s="147"/>
      <c r="B114" s="29" t="s">
        <v>1180</v>
      </c>
      <c r="C114" s="31"/>
      <c r="D114" s="920">
        <f>ROUND(SUM(D111:D113),1)</f>
        <v>225.4</v>
      </c>
      <c r="E114" s="920"/>
      <c r="F114" s="920">
        <f>ROUND(SUM(F111:F113),1)</f>
        <v>47.1</v>
      </c>
      <c r="G114" s="920"/>
      <c r="H114" s="920">
        <f>ROUND(SUM(H111:H113),1)</f>
        <v>874.4</v>
      </c>
      <c r="I114" s="920"/>
      <c r="J114" s="920">
        <f>ROUND(SUM(J111:J113),1)</f>
        <v>117.9</v>
      </c>
      <c r="K114" s="920"/>
      <c r="L114" s="920">
        <f>ROUND(SUM(L111:L113),1)</f>
        <v>112.7</v>
      </c>
      <c r="M114" s="920"/>
      <c r="N114" s="920">
        <f>ROUND(SUM(N111:N113),1)</f>
        <v>59.1</v>
      </c>
      <c r="O114" s="920"/>
      <c r="P114" s="920">
        <f>ROUND(SUM(P111:P113),1)</f>
        <v>500.6</v>
      </c>
      <c r="Q114" s="920"/>
      <c r="R114" s="920">
        <f>ROUND(SUM(R111:R113),1)</f>
        <v>0</v>
      </c>
      <c r="S114" s="920"/>
      <c r="T114" s="920">
        <f>ROUND(SUM(T111:T113),1)</f>
        <v>0</v>
      </c>
      <c r="U114" s="920"/>
      <c r="V114" s="920">
        <f>ROUND(SUM(V111:V113),1)</f>
        <v>0</v>
      </c>
      <c r="W114" s="920"/>
      <c r="X114" s="920">
        <f>ROUND(SUM(X111:X113),1)</f>
        <v>0</v>
      </c>
      <c r="Y114" s="920"/>
      <c r="Z114" s="920">
        <f>ROUND(SUM(Z111:Z113),1)</f>
        <v>0</v>
      </c>
      <c r="AA114" s="920"/>
      <c r="AB114" s="920"/>
      <c r="AC114" s="62"/>
      <c r="AD114" s="109">
        <f>ROUND(SUM(AD111:AD113),1)</f>
        <v>1937.2</v>
      </c>
      <c r="AE114" s="112"/>
      <c r="AF114" s="3177"/>
      <c r="AG114" s="109">
        <f>ROUND(SUM(AG111:AG113),1)</f>
        <v>1779.2</v>
      </c>
      <c r="AH114" s="279"/>
      <c r="AI114" s="74"/>
      <c r="AJ114" s="72">
        <f>ROUND(SUM(AD114-AG114),1)</f>
        <v>158</v>
      </c>
      <c r="AK114" s="163"/>
      <c r="AL114" s="1433">
        <f>ROUND(SUM((AD114-AG114)/ABS(AG114)),3)</f>
        <v>8.8999999999999996E-2</v>
      </c>
      <c r="AM114" s="1368"/>
    </row>
    <row r="115" spans="1:52" ht="15" customHeight="1">
      <c r="A115" s="147"/>
      <c r="B115" s="31"/>
      <c r="C115" s="31"/>
      <c r="D115" s="86"/>
      <c r="E115" s="64"/>
      <c r="F115" s="86"/>
      <c r="G115" s="64"/>
      <c r="H115" s="86"/>
      <c r="I115" s="64"/>
      <c r="J115" s="86"/>
      <c r="K115" s="64"/>
      <c r="L115" s="86"/>
      <c r="M115" s="64"/>
      <c r="N115" s="86"/>
      <c r="O115" s="64"/>
      <c r="P115" s="86"/>
      <c r="Q115" s="64"/>
      <c r="R115" s="86"/>
      <c r="S115" s="64"/>
      <c r="T115" s="86"/>
      <c r="U115" s="64"/>
      <c r="V115" s="86"/>
      <c r="W115" s="64"/>
      <c r="X115" s="86"/>
      <c r="Y115" s="64"/>
      <c r="Z115" s="86"/>
      <c r="AA115" s="54"/>
      <c r="AB115" s="64"/>
      <c r="AC115" s="55"/>
      <c r="AD115" s="123"/>
      <c r="AE115" s="65"/>
      <c r="AF115" s="1070"/>
      <c r="AG115" s="123"/>
      <c r="AH115" s="272"/>
      <c r="AI115" s="54"/>
      <c r="AJ115" s="641"/>
      <c r="AK115" s="918"/>
      <c r="AL115" s="1430"/>
      <c r="AM115" s="782"/>
    </row>
    <row r="116" spans="1:52" ht="15" customHeight="1">
      <c r="A116" s="147"/>
      <c r="B116" s="29" t="s">
        <v>165</v>
      </c>
      <c r="C116" s="31"/>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55"/>
      <c r="AD116" s="115"/>
      <c r="AE116" s="65"/>
      <c r="AF116" s="1070"/>
      <c r="AG116" s="115"/>
      <c r="AH116" s="272"/>
      <c r="AI116" s="54"/>
      <c r="AJ116" s="641"/>
      <c r="AK116" s="918"/>
      <c r="AL116" s="1430"/>
      <c r="AM116" s="782"/>
    </row>
    <row r="117" spans="1:52" ht="15" customHeight="1">
      <c r="A117" s="147"/>
      <c r="B117" s="29" t="s">
        <v>1229</v>
      </c>
      <c r="C117" s="31"/>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55"/>
      <c r="AD117" s="115"/>
      <c r="AE117" s="65"/>
      <c r="AF117" s="1070"/>
      <c r="AG117" s="136"/>
      <c r="AH117" s="272"/>
      <c r="AI117" s="54"/>
      <c r="AJ117" s="641"/>
      <c r="AK117" s="918"/>
      <c r="AL117" s="1430"/>
      <c r="AM117" s="782"/>
    </row>
    <row r="118" spans="1:52" ht="15" customHeight="1">
      <c r="A118" s="147"/>
      <c r="B118" s="29" t="s">
        <v>1176</v>
      </c>
      <c r="C118" s="31"/>
      <c r="D118" s="827">
        <f>ROUND(SUM(D108+D114),1)</f>
        <v>295.5</v>
      </c>
      <c r="E118" s="1530"/>
      <c r="F118" s="827">
        <f>ROUND(SUM(F108+F114),1)</f>
        <v>14.2</v>
      </c>
      <c r="G118" s="1530"/>
      <c r="H118" s="827">
        <f>ROUND(SUM(H108+H114),1)</f>
        <v>1536</v>
      </c>
      <c r="I118" s="1530"/>
      <c r="J118" s="827">
        <f>ROUND(SUM(J108+J114),1)</f>
        <v>-566.5</v>
      </c>
      <c r="K118" s="1530"/>
      <c r="L118" s="827">
        <f>ROUND(SUM(L108+L114),1)</f>
        <v>68.900000000000006</v>
      </c>
      <c r="M118" s="1530"/>
      <c r="N118" s="827">
        <f>ROUND(SUM(N108+N114),1)</f>
        <v>-1944.9</v>
      </c>
      <c r="O118" s="1530"/>
      <c r="P118" s="827">
        <f>ROUND(SUM(P108+P114),1)</f>
        <v>790.2</v>
      </c>
      <c r="Q118" s="1530"/>
      <c r="R118" s="827">
        <f>ROUND(SUM(R108+R114),1)</f>
        <v>0</v>
      </c>
      <c r="S118" s="1530"/>
      <c r="T118" s="827">
        <f>ROUND(SUM(T108+T114),1)</f>
        <v>0</v>
      </c>
      <c r="U118" s="1530"/>
      <c r="V118" s="827">
        <f>ROUND(SUM(V108+V114),1)</f>
        <v>0</v>
      </c>
      <c r="W118" s="1530"/>
      <c r="X118" s="827">
        <f>ROUND(SUM(X108+X114),1)</f>
        <v>0</v>
      </c>
      <c r="Y118" s="1530"/>
      <c r="Z118" s="827">
        <f>ROUND(SUM(Z108+Z114),1)</f>
        <v>0</v>
      </c>
      <c r="AA118" s="1530"/>
      <c r="AB118" s="1858"/>
      <c r="AC118" s="1530"/>
      <c r="AD118" s="1105">
        <f>ROUND(SUM(AD108+AD114),1)</f>
        <v>193.4</v>
      </c>
      <c r="AE118" s="3167"/>
      <c r="AF118" s="112"/>
      <c r="AG118" s="1105">
        <f>ROUND(SUM(AG108+AG114),1)</f>
        <v>259.7</v>
      </c>
      <c r="AH118" s="272"/>
      <c r="AI118" s="1530"/>
      <c r="AJ118" s="827">
        <f>ROUND(SUM(AJ108+AJ114),1)</f>
        <v>-66.3</v>
      </c>
      <c r="AK118" s="1530"/>
      <c r="AL118" s="1857">
        <f>ROUND(IF(AG118=0,0,AJ118/ABS(AG118)),3)</f>
        <v>-0.255</v>
      </c>
      <c r="AM118" s="782"/>
    </row>
    <row r="119" spans="1:52" ht="15" customHeight="1">
      <c r="A119" s="147"/>
      <c r="B119" s="29"/>
      <c r="C119" s="31"/>
      <c r="D119" s="162"/>
      <c r="E119" s="162"/>
      <c r="F119" s="162"/>
      <c r="G119" s="162"/>
      <c r="H119" s="162"/>
      <c r="I119" s="162"/>
      <c r="J119" s="162"/>
      <c r="K119" s="162"/>
      <c r="L119" s="162"/>
      <c r="M119" s="162"/>
      <c r="N119" s="162"/>
      <c r="O119" s="162"/>
      <c r="P119" s="162"/>
      <c r="Q119" s="162"/>
      <c r="R119" s="162"/>
      <c r="S119" s="162"/>
      <c r="T119" s="216"/>
      <c r="U119" s="162"/>
      <c r="V119" s="162"/>
      <c r="W119" s="162"/>
      <c r="X119" s="162"/>
      <c r="Y119" s="162"/>
      <c r="Z119" s="162"/>
      <c r="AA119" s="162"/>
      <c r="AB119" s="162"/>
      <c r="AC119" s="1975"/>
      <c r="AD119" s="114"/>
      <c r="AE119" s="114"/>
      <c r="AF119" s="3178"/>
      <c r="AG119" s="114"/>
      <c r="AH119" s="57"/>
      <c r="AI119" s="268"/>
      <c r="AJ119" s="1405"/>
      <c r="AK119" s="1405"/>
      <c r="AL119" s="1445"/>
      <c r="AM119" s="782"/>
    </row>
    <row r="120" spans="1:52" ht="17.25" customHeight="1" thickBot="1">
      <c r="A120" s="147"/>
      <c r="B120" s="29" t="s">
        <v>1186</v>
      </c>
      <c r="C120" s="31"/>
      <c r="D120" s="264">
        <f>ROUND(SUM(+D118+D13),1)</f>
        <v>5696.2</v>
      </c>
      <c r="E120" s="162"/>
      <c r="F120" s="264">
        <f>ROUND(SUM(+F118+F13),1)</f>
        <v>5710.4</v>
      </c>
      <c r="G120" s="162"/>
      <c r="H120" s="264">
        <f>ROUND(SUM(+H118+H13),1)</f>
        <v>7246.4</v>
      </c>
      <c r="I120" s="162"/>
      <c r="J120" s="264">
        <f>ROUND(SUM(+J118+J13),1)</f>
        <v>6679.9</v>
      </c>
      <c r="K120" s="162"/>
      <c r="L120" s="264">
        <f>ROUND(SUM(+L118+L13),1)</f>
        <v>6748.8</v>
      </c>
      <c r="M120" s="162"/>
      <c r="N120" s="264">
        <f>ROUND(SUM(+N118+N13),1)</f>
        <v>4803.8999999999996</v>
      </c>
      <c r="O120" s="162"/>
      <c r="P120" s="264">
        <f>ROUND(SUM(+P118+P13),1)</f>
        <v>5594.1</v>
      </c>
      <c r="Q120" s="162"/>
      <c r="R120" s="264">
        <f>ROUND(SUM(+R118+R13),1)</f>
        <v>0</v>
      </c>
      <c r="S120" s="162"/>
      <c r="T120" s="264">
        <f>ROUND(SUM(+T118+T13),1)</f>
        <v>0</v>
      </c>
      <c r="U120" s="162"/>
      <c r="V120" s="264">
        <f>ROUND(SUM(+V118+V13),1)</f>
        <v>0</v>
      </c>
      <c r="W120" s="162"/>
      <c r="X120" s="264">
        <f>ROUND(SUM(+X118+X13),1)</f>
        <v>0</v>
      </c>
      <c r="Y120" s="162"/>
      <c r="Z120" s="264">
        <f>ROUND(SUM(+Z118+Z13),1)</f>
        <v>0</v>
      </c>
      <c r="AA120" s="162"/>
      <c r="AB120" s="162"/>
      <c r="AC120" s="1975"/>
      <c r="AD120" s="259">
        <f>ROUND(SUM(+AD118+AD13),1)</f>
        <v>5594.1</v>
      </c>
      <c r="AE120" s="114"/>
      <c r="AF120" s="3178"/>
      <c r="AG120" s="259">
        <f>ROUND(SUM(+AG118+AG13),1)</f>
        <v>5350.5</v>
      </c>
      <c r="AH120" s="57"/>
      <c r="AI120" s="268"/>
      <c r="AJ120" s="264">
        <f>ROUND(SUM(+AJ118+AJ13),1)</f>
        <v>243.6</v>
      </c>
      <c r="AK120" s="1405"/>
      <c r="AL120" s="1855">
        <f>ROUND(IF(AG120=0,0,AJ120/ABS(AG120)),3)</f>
        <v>4.5999999999999999E-2</v>
      </c>
      <c r="AM120" s="782"/>
    </row>
    <row r="121" spans="1:52" ht="15" customHeight="1" thickTop="1">
      <c r="A121" s="147"/>
      <c r="B121" s="29"/>
      <c r="C121" s="31"/>
      <c r="D121" s="162"/>
      <c r="E121" s="162"/>
      <c r="F121" s="162"/>
      <c r="G121" s="162"/>
      <c r="H121" s="162"/>
      <c r="I121" s="162"/>
      <c r="J121" s="162"/>
      <c r="K121" s="162"/>
      <c r="L121" s="162"/>
      <c r="M121" s="162"/>
      <c r="N121" s="162"/>
      <c r="O121" s="162"/>
      <c r="P121" s="216"/>
      <c r="Q121" s="162"/>
      <c r="R121" s="162"/>
      <c r="S121" s="162"/>
      <c r="T121" s="162"/>
      <c r="U121" s="162"/>
      <c r="V121" s="162"/>
      <c r="W121" s="162"/>
      <c r="X121" s="162"/>
      <c r="Y121" s="162"/>
      <c r="Z121" s="162"/>
      <c r="AA121" s="162"/>
      <c r="AB121" s="162"/>
      <c r="AC121" s="57"/>
      <c r="AD121" s="114"/>
      <c r="AE121" s="114"/>
      <c r="AF121" s="114"/>
      <c r="AG121" s="114"/>
      <c r="AH121" s="57"/>
      <c r="AI121" s="37"/>
      <c r="AJ121" s="1405"/>
      <c r="AK121" s="1405"/>
      <c r="AL121" s="1445"/>
      <c r="AM121" s="782"/>
    </row>
    <row r="122" spans="1:52" ht="15" customHeight="1">
      <c r="A122" s="147"/>
      <c r="B122" s="29"/>
      <c r="C122" s="31"/>
      <c r="D122" s="162"/>
      <c r="E122" s="162"/>
      <c r="F122" s="162"/>
      <c r="G122" s="162"/>
      <c r="H122" s="162"/>
      <c r="I122" s="162"/>
      <c r="J122" s="162"/>
      <c r="K122" s="162"/>
      <c r="L122" s="162"/>
      <c r="M122" s="162"/>
      <c r="N122" s="162"/>
      <c r="O122" s="162"/>
      <c r="P122" s="57"/>
      <c r="Q122" s="162"/>
      <c r="R122" s="162"/>
      <c r="S122" s="162"/>
      <c r="T122" s="162"/>
      <c r="U122" s="162"/>
      <c r="V122" s="162"/>
      <c r="W122" s="162"/>
      <c r="X122" s="162"/>
      <c r="Y122" s="162"/>
      <c r="Z122" s="162"/>
      <c r="AA122" s="162"/>
      <c r="AB122" s="162"/>
      <c r="AC122" s="57"/>
      <c r="AD122" s="114"/>
      <c r="AE122" s="114"/>
      <c r="AF122" s="114"/>
      <c r="AG122" s="114"/>
      <c r="AH122" s="57"/>
      <c r="AI122" s="37"/>
      <c r="AJ122" s="1405"/>
      <c r="AK122" s="1405"/>
      <c r="AL122" s="1445"/>
      <c r="AM122" s="782"/>
    </row>
    <row r="123" spans="1:52" ht="15" customHeight="1">
      <c r="B123" s="918"/>
      <c r="C123" s="30"/>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20"/>
      <c r="AE123" s="2120"/>
      <c r="AF123" s="2120"/>
      <c r="AG123" s="2120"/>
      <c r="AH123" s="265"/>
      <c r="AI123" s="265"/>
      <c r="AJ123" s="1404"/>
      <c r="AK123" s="1404"/>
      <c r="AL123" s="1430"/>
      <c r="AM123" s="782"/>
      <c r="AN123" s="292"/>
      <c r="AO123" s="292"/>
      <c r="AP123" s="292"/>
      <c r="AQ123" s="292"/>
      <c r="AR123" s="292"/>
      <c r="AS123" s="292"/>
      <c r="AT123" s="292"/>
      <c r="AU123" s="292"/>
      <c r="AV123" s="292"/>
      <c r="AW123" s="292"/>
      <c r="AX123" s="292"/>
      <c r="AY123" s="292"/>
      <c r="AZ123" s="292"/>
    </row>
    <row r="124" spans="1:52" ht="15" customHeight="1">
      <c r="B124" s="30"/>
      <c r="AL124" s="1447"/>
      <c r="AM124" s="782"/>
    </row>
    <row r="125" spans="1:52" ht="15" customHeight="1">
      <c r="B125" s="30"/>
      <c r="AL125" s="1447"/>
      <c r="AM125" s="782"/>
    </row>
    <row r="126" spans="1:52">
      <c r="AL126" s="1447"/>
      <c r="AM126" s="782"/>
    </row>
    <row r="127" spans="1:52" ht="15" customHeight="1">
      <c r="AL127" s="1447"/>
      <c r="AM127" s="782"/>
    </row>
    <row r="128" spans="1:52" ht="15" customHeight="1">
      <c r="D128" s="918"/>
      <c r="F128" s="918"/>
      <c r="H128" s="918"/>
      <c r="AJ128" s="1856"/>
      <c r="AL128" s="1447"/>
      <c r="AM128" s="782"/>
    </row>
    <row r="129" spans="38:39" ht="15" customHeight="1">
      <c r="AL129" s="782"/>
      <c r="AM129" s="782"/>
    </row>
    <row r="130" spans="38:39" ht="15" customHeight="1">
      <c r="AL130" s="782"/>
      <c r="AM130" s="782"/>
    </row>
    <row r="131" spans="38:39" ht="15" customHeight="1">
      <c r="AL131" s="782"/>
      <c r="AM131" s="782"/>
    </row>
    <row r="132" spans="38:39" ht="15" customHeight="1">
      <c r="AL132" s="782"/>
      <c r="AM132" s="782"/>
    </row>
    <row r="133" spans="38:39" ht="15" customHeight="1">
      <c r="AL133" s="782"/>
      <c r="AM133" s="782"/>
    </row>
    <row r="134" spans="38:39" ht="15" customHeight="1">
      <c r="AL134" s="782"/>
      <c r="AM134" s="782"/>
    </row>
    <row r="135" spans="38:39" ht="15" customHeight="1">
      <c r="AL135" s="782"/>
      <c r="AM135" s="782"/>
    </row>
    <row r="136" spans="38:39" ht="15" customHeight="1">
      <c r="AL136" s="782"/>
      <c r="AM136" s="782"/>
    </row>
    <row r="137" spans="38:39" ht="15" customHeight="1">
      <c r="AL137" s="782"/>
      <c r="AM137" s="782"/>
    </row>
    <row r="138" spans="38:39" ht="15" customHeight="1">
      <c r="AL138" s="782"/>
      <c r="AM138" s="782"/>
    </row>
    <row r="139" spans="38:39" ht="15" customHeight="1">
      <c r="AL139" s="782"/>
      <c r="AM139" s="782"/>
    </row>
    <row r="140" spans="38:39" ht="15" customHeight="1">
      <c r="AL140" s="782"/>
      <c r="AM140" s="782"/>
    </row>
    <row r="141" spans="38:39" ht="15" customHeight="1">
      <c r="AL141" s="782"/>
      <c r="AM141" s="782"/>
    </row>
    <row r="142" spans="38:39" ht="15" customHeight="1">
      <c r="AL142" s="782"/>
      <c r="AM142" s="782"/>
    </row>
    <row r="143" spans="38:39" ht="15" customHeight="1">
      <c r="AL143" s="782"/>
      <c r="AM143" s="782"/>
    </row>
    <row r="144" spans="38:39" ht="15" customHeight="1">
      <c r="AL144" s="782"/>
      <c r="AM144" s="782"/>
    </row>
    <row r="145" spans="38:39" ht="15" customHeight="1">
      <c r="AL145" s="782"/>
      <c r="AM145" s="782"/>
    </row>
    <row r="146" spans="38:39" ht="15" customHeight="1">
      <c r="AL146" s="782"/>
      <c r="AM146" s="782"/>
    </row>
    <row r="147" spans="38:39" ht="15" customHeight="1">
      <c r="AL147" s="782"/>
      <c r="AM147" s="782"/>
    </row>
    <row r="148" spans="38:39" ht="15" customHeight="1">
      <c r="AL148" s="782"/>
      <c r="AM148" s="782"/>
    </row>
    <row r="149" spans="38:39" ht="15" customHeight="1">
      <c r="AL149" s="782"/>
      <c r="AM149" s="782"/>
    </row>
    <row r="150" spans="38:39" ht="15" customHeight="1">
      <c r="AL150" s="782"/>
      <c r="AM150" s="782"/>
    </row>
    <row r="151" spans="38:39" ht="15" customHeight="1">
      <c r="AL151" s="782"/>
      <c r="AM151" s="782"/>
    </row>
    <row r="152" spans="38:39" ht="15" customHeight="1">
      <c r="AL152" s="782"/>
      <c r="AM152" s="782"/>
    </row>
    <row r="153" spans="38:39" ht="15" customHeight="1">
      <c r="AL153" s="782"/>
      <c r="AM153" s="782"/>
    </row>
    <row r="154" spans="38:39" ht="15" customHeight="1">
      <c r="AL154" s="782"/>
      <c r="AM154" s="782"/>
    </row>
    <row r="155" spans="38:39" ht="11.25" customHeight="1">
      <c r="AL155" s="782"/>
      <c r="AM155" s="782"/>
    </row>
    <row r="156" spans="38:39" ht="15" customHeight="1">
      <c r="AL156" s="782"/>
      <c r="AM156" s="782"/>
    </row>
    <row r="157" spans="38:39" ht="15" customHeight="1">
      <c r="AL157" s="782"/>
      <c r="AM157" s="782"/>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0 AL28:AL35" unlockedFormula="1"/>
    <ignoredError sqref="AL80" evalError="1"/>
    <ignoredError sqref="AL73:AL75 AL51 AL69 AJ70:AM71 AJ73:AK73 AM73 AJ72:AK72 AM72 AL23 AL26:AL27" formula="1"/>
    <ignoredError sqref="AL22 AL24:AL25"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69140625" defaultRowHeight="12.5"/>
  <cols>
    <col min="1" max="1" width="1.69140625" style="244" customWidth="1"/>
    <col min="2" max="2" width="44.69140625" style="244" customWidth="1"/>
    <col min="3" max="3" width="1.69140625" style="244" customWidth="1"/>
    <col min="4" max="4" width="15.07421875" style="244" bestFit="1" customWidth="1"/>
    <col min="5" max="5" width="1.69140625" style="244" customWidth="1"/>
    <col min="6" max="6" width="12" style="244" customWidth="1"/>
    <col min="7" max="7" width="1.69140625" style="244" customWidth="1"/>
    <col min="8" max="8" width="11.07421875" style="244" bestFit="1" customWidth="1"/>
    <col min="9" max="9" width="1.69140625" style="244" customWidth="1"/>
    <col min="10" max="10" width="11" style="244" customWidth="1"/>
    <col min="11" max="11" width="1.69140625" style="244" customWidth="1"/>
    <col min="12" max="12" width="11.07421875" style="244" customWidth="1"/>
    <col min="13" max="13" width="1.69140625" style="244" customWidth="1"/>
    <col min="14" max="14" width="12.07421875" style="244" customWidth="1"/>
    <col min="15" max="15" width="1.69140625" style="244" customWidth="1"/>
    <col min="16" max="16" width="11" style="244" bestFit="1" customWidth="1"/>
    <col min="17" max="17" width="1.69140625" style="244" customWidth="1"/>
    <col min="18" max="18" width="11.53515625" style="244" bestFit="1" customWidth="1"/>
    <col min="19" max="19" width="1.69140625" style="244" customWidth="1"/>
    <col min="20" max="20" width="11.4609375" style="244" customWidth="1"/>
    <col min="21" max="21" width="1.69140625" style="244" customWidth="1"/>
    <col min="22" max="22" width="11.07421875" style="244" customWidth="1"/>
    <col min="23" max="23" width="1.69140625" style="244" customWidth="1"/>
    <col min="24" max="24" width="11.07421875" style="244" bestFit="1" customWidth="1"/>
    <col min="25" max="25" width="1.69140625" style="244" customWidth="1"/>
    <col min="26" max="26" width="10.69140625" style="244" bestFit="1" customWidth="1"/>
    <col min="27" max="27" width="1" style="244" customWidth="1"/>
    <col min="28" max="29" width="1.69140625" style="244" customWidth="1"/>
    <col min="30" max="30" width="12.07421875" style="885" customWidth="1"/>
    <col min="31" max="32" width="1.07421875" style="885" customWidth="1"/>
    <col min="33" max="33" width="11.69140625" style="885" customWidth="1"/>
    <col min="34" max="34" width="1.4609375" style="244" customWidth="1"/>
    <col min="35" max="35" width="0.69140625" style="244" customWidth="1"/>
    <col min="36" max="36" width="13.07421875" style="244" bestFit="1" customWidth="1"/>
    <col min="37" max="37" width="0.69140625" style="244" customWidth="1"/>
    <col min="38" max="38" width="13.69140625" style="782" bestFit="1" customWidth="1"/>
    <col min="39" max="16384" width="8.69140625" style="244"/>
  </cols>
  <sheetData>
    <row r="1" spans="1:41" ht="15.5">
      <c r="B1" s="642" t="s">
        <v>963</v>
      </c>
    </row>
    <row r="2" spans="1:41" ht="15.5">
      <c r="A2" s="243"/>
      <c r="M2" s="29"/>
      <c r="N2" s="29"/>
      <c r="O2" s="262"/>
    </row>
    <row r="3" spans="1:41" ht="18">
      <c r="A3" s="243"/>
      <c r="B3" s="246" t="s">
        <v>0</v>
      </c>
      <c r="M3" s="29"/>
      <c r="N3" s="29"/>
      <c r="O3" s="262"/>
      <c r="AF3" s="3105"/>
      <c r="AG3" s="3452"/>
      <c r="AH3" s="285"/>
      <c r="AI3" s="285"/>
      <c r="AJ3" s="285"/>
      <c r="AK3" s="285"/>
      <c r="AL3" s="247" t="s">
        <v>168</v>
      </c>
    </row>
    <row r="4" spans="1:41" ht="18">
      <c r="A4" s="243"/>
      <c r="B4" s="246" t="s">
        <v>177</v>
      </c>
      <c r="L4" s="29"/>
      <c r="M4" s="29"/>
      <c r="O4" s="262"/>
    </row>
    <row r="5" spans="1:41" ht="18">
      <c r="A5" s="243"/>
      <c r="B5" s="1532" t="s">
        <v>148</v>
      </c>
      <c r="L5" s="262"/>
      <c r="M5" s="262"/>
      <c r="O5" s="262"/>
      <c r="X5" s="286"/>
    </row>
    <row r="6" spans="1:41" ht="20">
      <c r="A6" s="243"/>
      <c r="B6" s="1532" t="str">
        <f>'Cashflow Governmental'!A6</f>
        <v xml:space="preserve">FISCAL YEAR 2020-2021   </v>
      </c>
      <c r="L6" s="262"/>
      <c r="M6" s="262"/>
      <c r="O6" s="262"/>
      <c r="AL6" s="783"/>
    </row>
    <row r="7" spans="1:41" ht="18">
      <c r="A7" s="243"/>
      <c r="B7" s="246" t="s">
        <v>1368</v>
      </c>
      <c r="AI7" s="147"/>
      <c r="AJ7" s="147"/>
      <c r="AK7" s="147"/>
      <c r="AL7" s="784"/>
    </row>
    <row r="8" spans="1:41" ht="13.5" customHeight="1">
      <c r="A8" s="243"/>
      <c r="B8" s="293"/>
      <c r="AI8" s="147"/>
      <c r="AJ8" s="147"/>
      <c r="AK8" s="147"/>
      <c r="AL8" s="784"/>
    </row>
    <row r="9" spans="1:41" ht="15.5">
      <c r="A9" s="243"/>
      <c r="L9" s="262"/>
      <c r="M9" s="262"/>
      <c r="N9" s="262"/>
      <c r="O9" s="262"/>
      <c r="AC9" s="3933" t="str">
        <f>'Exhibit G'!AC9:AL9</f>
        <v>7 Months Ended October 31</v>
      </c>
      <c r="AD9" s="3933"/>
      <c r="AE9" s="3933"/>
      <c r="AF9" s="3933"/>
      <c r="AG9" s="3933"/>
      <c r="AH9" s="3933"/>
      <c r="AI9" s="3933"/>
      <c r="AJ9" s="3933"/>
      <c r="AK9" s="3933"/>
      <c r="AL9" s="3933"/>
    </row>
    <row r="10" spans="1:41" ht="15.5">
      <c r="A10" s="243"/>
      <c r="B10" s="30"/>
      <c r="C10" s="30"/>
      <c r="D10" s="744" t="str">
        <f>'Cashflow Governmental'!C13</f>
        <v>2020</v>
      </c>
      <c r="E10" s="29"/>
      <c r="F10" s="29"/>
      <c r="G10" s="29"/>
      <c r="H10" s="29"/>
      <c r="I10" s="29"/>
      <c r="J10" s="29"/>
      <c r="K10" s="29"/>
      <c r="L10" s="29"/>
      <c r="M10" s="29"/>
      <c r="N10" s="29"/>
      <c r="O10" s="29"/>
      <c r="P10" s="29"/>
      <c r="Q10" s="29"/>
      <c r="R10" s="29"/>
      <c r="S10" s="29"/>
      <c r="T10" s="29"/>
      <c r="U10" s="29"/>
      <c r="V10" s="744" t="str">
        <f>'Cashflow Governmental'!U13</f>
        <v>2021</v>
      </c>
      <c r="W10" s="29"/>
      <c r="X10" s="29"/>
      <c r="Y10" s="29"/>
      <c r="Z10" s="29"/>
      <c r="AA10" s="29"/>
      <c r="AB10" s="29"/>
      <c r="AC10" s="29"/>
      <c r="AD10" s="3162"/>
      <c r="AE10" s="3162"/>
      <c r="AF10" s="3162"/>
      <c r="AG10" s="3162"/>
      <c r="AH10" s="207"/>
      <c r="AI10" s="206"/>
      <c r="AJ10" s="748" t="s">
        <v>8</v>
      </c>
      <c r="AK10" s="748"/>
      <c r="AL10" s="785" t="s">
        <v>9</v>
      </c>
      <c r="AM10" s="751"/>
      <c r="AN10" s="751"/>
      <c r="AO10" s="751"/>
    </row>
    <row r="11" spans="1:41" ht="15.5">
      <c r="A11" s="243"/>
      <c r="B11" s="30"/>
      <c r="C11" s="30"/>
      <c r="D11" s="735" t="s">
        <v>124</v>
      </c>
      <c r="E11" s="29"/>
      <c r="F11" s="735" t="s">
        <v>125</v>
      </c>
      <c r="G11" s="29"/>
      <c r="H11" s="735" t="s">
        <v>126</v>
      </c>
      <c r="I11" s="29"/>
      <c r="J11" s="735" t="s">
        <v>127</v>
      </c>
      <c r="K11" s="29"/>
      <c r="L11" s="735" t="s">
        <v>128</v>
      </c>
      <c r="M11" s="29"/>
      <c r="N11" s="735" t="s">
        <v>143</v>
      </c>
      <c r="O11" s="29"/>
      <c r="P11" s="735" t="s">
        <v>144</v>
      </c>
      <c r="Q11" s="29"/>
      <c r="R11" s="735" t="s">
        <v>131</v>
      </c>
      <c r="S11" s="29"/>
      <c r="T11" s="735" t="s">
        <v>132</v>
      </c>
      <c r="U11" s="29"/>
      <c r="V11" s="735" t="s">
        <v>133</v>
      </c>
      <c r="W11" s="29"/>
      <c r="X11" s="735" t="s">
        <v>134</v>
      </c>
      <c r="Y11" s="29"/>
      <c r="Z11" s="735" t="s">
        <v>185</v>
      </c>
      <c r="AA11" s="735"/>
      <c r="AB11" s="29"/>
      <c r="AC11" s="29"/>
      <c r="AD11" s="739">
        <f>'Cashflow Governmental'!AB14</f>
        <v>2020</v>
      </c>
      <c r="AE11" s="739"/>
      <c r="AF11" s="102" t="s">
        <v>15</v>
      </c>
      <c r="AG11" s="739">
        <f>'Cashflow Governmental'!AE14</f>
        <v>2019</v>
      </c>
      <c r="AH11" s="734"/>
      <c r="AI11" s="206"/>
      <c r="AJ11" s="753" t="s">
        <v>12</v>
      </c>
      <c r="AK11" s="747"/>
      <c r="AL11" s="786" t="s">
        <v>13</v>
      </c>
      <c r="AM11" s="751"/>
      <c r="AN11" s="751"/>
      <c r="AO11" s="751"/>
    </row>
    <row r="12" spans="1:41" ht="6.75" customHeight="1">
      <c r="A12" s="243"/>
      <c r="B12" s="30"/>
      <c r="C12" s="30"/>
      <c r="D12" s="43"/>
      <c r="E12" s="30"/>
      <c r="F12" s="43"/>
      <c r="G12" s="30"/>
      <c r="H12" s="43"/>
      <c r="I12" s="30"/>
      <c r="J12" s="43"/>
      <c r="K12" s="30"/>
      <c r="L12" s="43"/>
      <c r="M12" s="30"/>
      <c r="N12" s="267"/>
      <c r="O12" s="30"/>
      <c r="P12" s="43"/>
      <c r="Q12" s="30"/>
      <c r="R12" s="43"/>
      <c r="S12" s="30"/>
      <c r="T12" s="43"/>
      <c r="U12" s="30"/>
      <c r="V12" s="43"/>
      <c r="W12" s="30"/>
      <c r="X12" s="43"/>
      <c r="Y12" s="30"/>
      <c r="Z12" s="43"/>
      <c r="AA12" s="37"/>
      <c r="AB12" s="30"/>
      <c r="AC12" s="1057"/>
      <c r="AD12" s="3179"/>
      <c r="AE12" s="3179"/>
      <c r="AF12" s="3169"/>
      <c r="AG12" s="3179"/>
      <c r="AH12" s="37"/>
      <c r="AI12" s="268"/>
      <c r="AJ12" s="30"/>
      <c r="AK12" s="30"/>
      <c r="AL12" s="261"/>
    </row>
    <row r="13" spans="1:41" ht="15.5">
      <c r="A13" s="243"/>
      <c r="B13" s="1850" t="s">
        <v>1254</v>
      </c>
      <c r="C13" s="30"/>
      <c r="D13" s="303">
        <v>911.4</v>
      </c>
      <c r="E13" s="30"/>
      <c r="F13" s="216">
        <f>D92</f>
        <v>5527.8</v>
      </c>
      <c r="G13" s="30"/>
      <c r="H13" s="216">
        <f>F92</f>
        <v>5429.8</v>
      </c>
      <c r="I13" s="30"/>
      <c r="J13" s="216">
        <f>H92</f>
        <v>7226.3</v>
      </c>
      <c r="K13" s="30"/>
      <c r="L13" s="216">
        <f>J92</f>
        <v>6552.8</v>
      </c>
      <c r="M13" s="30"/>
      <c r="N13" s="216">
        <f>L92</f>
        <v>6121.4</v>
      </c>
      <c r="O13" s="30"/>
      <c r="P13" s="216">
        <f>N92</f>
        <v>4706.3999999999996</v>
      </c>
      <c r="Q13" s="30"/>
      <c r="R13" s="216"/>
      <c r="S13" s="30"/>
      <c r="T13" s="216"/>
      <c r="U13" s="30"/>
      <c r="V13" s="216"/>
      <c r="W13" s="30"/>
      <c r="X13" s="216"/>
      <c r="Y13" s="30"/>
      <c r="Z13" s="216"/>
      <c r="AA13" s="37"/>
      <c r="AB13" s="30"/>
      <c r="AC13" s="1057"/>
      <c r="AD13" s="136">
        <f>D13</f>
        <v>911.4</v>
      </c>
      <c r="AE13" s="1087"/>
      <c r="AF13" s="3169"/>
      <c r="AG13" s="136">
        <v>-1248.3999999999999</v>
      </c>
      <c r="AH13" s="37"/>
      <c r="AI13" s="268"/>
      <c r="AJ13" s="91">
        <f>+AD13-AG13</f>
        <v>2159.7999999999997</v>
      </c>
      <c r="AK13" s="30"/>
      <c r="AL13" s="270">
        <f>-AJ13/AG13</f>
        <v>1.7300544697212432</v>
      </c>
    </row>
    <row r="14" spans="1:41" ht="15.5">
      <c r="A14" s="243"/>
      <c r="B14" s="1850"/>
      <c r="C14" s="30"/>
      <c r="D14" s="37"/>
      <c r="E14" s="30"/>
      <c r="F14" s="37"/>
      <c r="G14" s="30"/>
      <c r="H14" s="37"/>
      <c r="I14" s="30"/>
      <c r="J14" s="37"/>
      <c r="K14" s="30"/>
      <c r="L14" s="37"/>
      <c r="M14" s="30"/>
      <c r="N14" s="1056"/>
      <c r="O14" s="30"/>
      <c r="P14" s="37"/>
      <c r="Q14" s="30"/>
      <c r="R14" s="37"/>
      <c r="S14" s="30"/>
      <c r="T14" s="37"/>
      <c r="U14" s="30"/>
      <c r="V14" s="37"/>
      <c r="W14" s="30"/>
      <c r="X14" s="37"/>
      <c r="Y14" s="30"/>
      <c r="Z14" s="37"/>
      <c r="AA14" s="37"/>
      <c r="AB14" s="1860"/>
      <c r="AC14" s="37"/>
      <c r="AD14" s="1087"/>
      <c r="AE14" s="1087"/>
      <c r="AF14" s="3169"/>
      <c r="AG14" s="1087"/>
      <c r="AH14" s="271"/>
      <c r="AI14" s="37"/>
      <c r="AJ14" s="30"/>
      <c r="AK14" s="30"/>
      <c r="AL14" s="261"/>
    </row>
    <row r="15" spans="1:41" ht="15" customHeight="1">
      <c r="A15" s="147"/>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09"/>
      <c r="AD15" s="103"/>
      <c r="AE15" s="103"/>
      <c r="AF15" s="3170"/>
      <c r="AG15" s="103"/>
      <c r="AH15" s="290"/>
      <c r="AI15" s="37"/>
      <c r="AJ15" s="289"/>
      <c r="AK15" s="289"/>
      <c r="AL15" s="295"/>
    </row>
    <row r="16" spans="1:41" ht="7.5" customHeight="1">
      <c r="A16" s="147"/>
      <c r="B16" s="31"/>
      <c r="C16" s="31"/>
      <c r="D16" s="167"/>
      <c r="E16" s="162"/>
      <c r="F16" s="167"/>
      <c r="G16" s="162"/>
      <c r="H16" s="167"/>
      <c r="I16" s="162"/>
      <c r="J16" s="167"/>
      <c r="K16" s="162"/>
      <c r="L16" s="167"/>
      <c r="M16" s="162"/>
      <c r="N16" s="167"/>
      <c r="O16" s="162"/>
      <c r="P16" s="167"/>
      <c r="Q16" s="162"/>
      <c r="R16" s="167"/>
      <c r="S16" s="162"/>
      <c r="T16" s="167"/>
      <c r="U16" s="162"/>
      <c r="V16" s="167"/>
      <c r="W16" s="64"/>
      <c r="X16" s="167"/>
      <c r="Y16" s="64"/>
      <c r="Z16" s="167"/>
      <c r="AA16" s="167"/>
      <c r="AB16" s="162"/>
      <c r="AC16" s="249"/>
      <c r="AD16" s="115"/>
      <c r="AE16" s="3180"/>
      <c r="AF16" s="3183"/>
      <c r="AG16" s="354"/>
      <c r="AH16" s="290"/>
      <c r="AI16" s="37"/>
      <c r="AJ16" s="941"/>
      <c r="AK16" s="641"/>
      <c r="AL16" s="908"/>
    </row>
    <row r="17" spans="1:39" ht="15" customHeight="1">
      <c r="A17" s="147"/>
      <c r="B17" s="258" t="s">
        <v>1014</v>
      </c>
      <c r="C17" s="31"/>
      <c r="D17" s="75"/>
      <c r="E17" s="162"/>
      <c r="F17" s="167"/>
      <c r="G17" s="162"/>
      <c r="H17" s="137"/>
      <c r="I17" s="162"/>
      <c r="J17" s="137"/>
      <c r="K17" s="162"/>
      <c r="L17" s="137"/>
      <c r="M17" s="162"/>
      <c r="N17" s="137"/>
      <c r="O17" s="162"/>
      <c r="P17" s="294"/>
      <c r="Q17" s="162"/>
      <c r="R17" s="166"/>
      <c r="S17" s="162"/>
      <c r="T17" s="167"/>
      <c r="U17" s="162"/>
      <c r="V17" s="75"/>
      <c r="W17" s="64"/>
      <c r="X17" s="75"/>
      <c r="Y17" s="64"/>
      <c r="Z17" s="75"/>
      <c r="AA17" s="75"/>
      <c r="AB17" s="162"/>
      <c r="AC17" s="249"/>
      <c r="AD17" s="115"/>
      <c r="AE17" s="115"/>
      <c r="AF17" s="1070"/>
      <c r="AG17" s="115"/>
      <c r="AH17" s="272"/>
      <c r="AI17" s="54"/>
      <c r="AJ17" s="941"/>
      <c r="AK17" s="941"/>
      <c r="AL17" s="667"/>
    </row>
    <row r="18" spans="1:39" ht="15" customHeight="1">
      <c r="A18" s="147"/>
      <c r="B18" s="890" t="s">
        <v>1133</v>
      </c>
      <c r="C18" s="31"/>
      <c r="D18" s="679" t="s">
        <v>15</v>
      </c>
      <c r="E18" s="162"/>
      <c r="F18" s="167"/>
      <c r="G18" s="162"/>
      <c r="H18" s="137"/>
      <c r="I18" s="162"/>
      <c r="J18" s="137"/>
      <c r="K18" s="162"/>
      <c r="L18" s="137"/>
      <c r="M18" s="162"/>
      <c r="N18" s="137"/>
      <c r="O18" s="162"/>
      <c r="P18" s="294"/>
      <c r="Q18" s="162"/>
      <c r="R18" s="166"/>
      <c r="S18" s="162"/>
      <c r="T18" s="167"/>
      <c r="U18" s="162"/>
      <c r="V18" s="75"/>
      <c r="W18" s="64"/>
      <c r="X18" s="75"/>
      <c r="Y18" s="64"/>
      <c r="Z18" s="75"/>
      <c r="AA18" s="75"/>
      <c r="AB18" s="162"/>
      <c r="AC18" s="249"/>
      <c r="AD18" s="115"/>
      <c r="AE18" s="115"/>
      <c r="AF18" s="1070"/>
      <c r="AG18" s="115"/>
      <c r="AH18" s="272"/>
      <c r="AI18" s="54"/>
      <c r="AJ18" s="941"/>
      <c r="AK18" s="941"/>
      <c r="AL18" s="667"/>
    </row>
    <row r="19" spans="1:39" ht="15" customHeight="1">
      <c r="A19" s="147"/>
      <c r="B19" s="890" t="s">
        <v>1047</v>
      </c>
      <c r="C19" s="31"/>
      <c r="D19" s="682">
        <v>0</v>
      </c>
      <c r="E19" s="892"/>
      <c r="F19" s="682">
        <v>0</v>
      </c>
      <c r="G19" s="893"/>
      <c r="H19" s="682">
        <v>0</v>
      </c>
      <c r="I19" s="893"/>
      <c r="J19" s="682">
        <v>0</v>
      </c>
      <c r="K19" s="1535"/>
      <c r="L19" s="682">
        <v>0</v>
      </c>
      <c r="M19" s="1535"/>
      <c r="N19" s="682">
        <v>0</v>
      </c>
      <c r="O19" s="1795"/>
      <c r="P19" s="1788">
        <f>$AD19-$D19-$F19-$H19-$J19-$L19-$N19</f>
        <v>0</v>
      </c>
      <c r="Q19" s="1986"/>
      <c r="R19" s="1788"/>
      <c r="S19" s="1986"/>
      <c r="T19" s="1788"/>
      <c r="U19" s="1986"/>
      <c r="V19" s="1788"/>
      <c r="W19" s="1986"/>
      <c r="X19" s="1788"/>
      <c r="Y19" s="1986"/>
      <c r="Z19" s="1788"/>
      <c r="AA19" s="1987"/>
      <c r="AB19" s="1841"/>
      <c r="AC19" s="1988"/>
      <c r="AD19" s="1788">
        <v>0</v>
      </c>
      <c r="AE19" s="1999"/>
      <c r="AF19" s="2001"/>
      <c r="AG19" s="1788">
        <v>0</v>
      </c>
      <c r="AH19" s="1375"/>
      <c r="AI19" s="941"/>
      <c r="AJ19" s="893">
        <f>ROUND(SUM(+AD19-AG19),1)</f>
        <v>0</v>
      </c>
      <c r="AK19" s="941"/>
      <c r="AL19" s="1436">
        <f>ROUND(IF(AG19=0,0,AJ19/ABS(AG19)),3)</f>
        <v>0</v>
      </c>
    </row>
    <row r="20" spans="1:39" s="885" customFormat="1" ht="15" customHeight="1">
      <c r="A20" s="1068"/>
      <c r="B20" s="890" t="s">
        <v>1134</v>
      </c>
      <c r="C20" s="104"/>
      <c r="D20" s="682" t="s">
        <v>15</v>
      </c>
      <c r="E20" s="813"/>
      <c r="F20" s="682"/>
      <c r="G20" s="813"/>
      <c r="H20" s="682"/>
      <c r="I20" s="813"/>
      <c r="J20" s="682"/>
      <c r="K20" s="137"/>
      <c r="L20" s="682"/>
      <c r="M20" s="137"/>
      <c r="N20" s="682"/>
      <c r="O20" s="137"/>
      <c r="P20" s="1788"/>
      <c r="Q20" s="1990"/>
      <c r="R20" s="1788"/>
      <c r="S20" s="1990"/>
      <c r="T20" s="1788"/>
      <c r="U20" s="1990"/>
      <c r="V20" s="1788"/>
      <c r="W20" s="1994"/>
      <c r="X20" s="1788"/>
      <c r="Y20" s="1994"/>
      <c r="Z20" s="1788"/>
      <c r="AA20" s="1993"/>
      <c r="AB20" s="1990"/>
      <c r="AC20" s="1995"/>
      <c r="AD20" s="1994"/>
      <c r="AE20" s="1994"/>
      <c r="AF20" s="1996"/>
      <c r="AG20" s="1994"/>
      <c r="AH20" s="1071"/>
      <c r="AI20" s="65"/>
      <c r="AJ20" s="1022"/>
      <c r="AK20" s="1022"/>
      <c r="AL20" s="1446"/>
    </row>
    <row r="21" spans="1:39" s="885" customFormat="1" ht="15" customHeight="1">
      <c r="A21" s="1068"/>
      <c r="B21" s="890" t="s">
        <v>1049</v>
      </c>
      <c r="C21" s="104"/>
      <c r="D21" s="682">
        <v>4</v>
      </c>
      <c r="E21" s="813"/>
      <c r="F21" s="682">
        <v>40.6</v>
      </c>
      <c r="G21" s="813"/>
      <c r="H21" s="682">
        <v>0.19999999999999574</v>
      </c>
      <c r="I21" s="813"/>
      <c r="J21" s="682">
        <v>1.7000000000000028</v>
      </c>
      <c r="K21" s="1535"/>
      <c r="L21" s="682">
        <v>7.6000000000000014</v>
      </c>
      <c r="M21" s="1535"/>
      <c r="N21" s="682">
        <v>0.10000000000000142</v>
      </c>
      <c r="O21" s="1535"/>
      <c r="P21" s="1788">
        <f t="shared" ref="P21:P51" si="0">$AD21-$D21-$F21-$H21-$J21-$L21-$N21</f>
        <v>1.3999999999999986</v>
      </c>
      <c r="Q21" s="1997"/>
      <c r="R21" s="1788"/>
      <c r="S21" s="1997"/>
      <c r="T21" s="1788"/>
      <c r="U21" s="1997"/>
      <c r="V21" s="1788"/>
      <c r="W21" s="1997"/>
      <c r="X21" s="1788"/>
      <c r="Y21" s="1997"/>
      <c r="Z21" s="1788"/>
      <c r="AA21" s="1998"/>
      <c r="AB21" s="1999"/>
      <c r="AC21" s="2000"/>
      <c r="AD21" s="1788">
        <v>55.6</v>
      </c>
      <c r="AE21" s="1999"/>
      <c r="AF21" s="2001"/>
      <c r="AG21" s="1788">
        <v>59.8</v>
      </c>
      <c r="AH21" s="1071"/>
      <c r="AI21" s="65"/>
      <c r="AJ21" s="1022">
        <f t="shared" ref="AJ21:AJ51" si="1">ROUND(SUM(+AD21-AG21),1)</f>
        <v>-4.2</v>
      </c>
      <c r="AK21" s="1022"/>
      <c r="AL21" s="1723">
        <f>ROUND(IF(AG21=0,0,AJ21/ABS(AG21)),3)</f>
        <v>-7.0000000000000007E-2</v>
      </c>
      <c r="AM21" s="1807"/>
    </row>
    <row r="22" spans="1:39" ht="15" customHeight="1">
      <c r="A22" s="147"/>
      <c r="B22" s="890" t="s">
        <v>1050</v>
      </c>
      <c r="C22" s="31"/>
      <c r="D22" s="682">
        <v>0</v>
      </c>
      <c r="E22" s="813"/>
      <c r="F22" s="682">
        <v>0</v>
      </c>
      <c r="G22" s="813"/>
      <c r="H22" s="682">
        <v>0</v>
      </c>
      <c r="I22" s="813"/>
      <c r="J22" s="682">
        <v>0</v>
      </c>
      <c r="K22" s="1535"/>
      <c r="L22" s="682">
        <v>0</v>
      </c>
      <c r="M22" s="1535"/>
      <c r="N22" s="682">
        <v>0</v>
      </c>
      <c r="O22" s="1535"/>
      <c r="P22" s="1788">
        <f t="shared" si="0"/>
        <v>0</v>
      </c>
      <c r="Q22" s="1997"/>
      <c r="R22" s="1788"/>
      <c r="S22" s="1997"/>
      <c r="T22" s="1788"/>
      <c r="U22" s="1997"/>
      <c r="V22" s="1788"/>
      <c r="W22" s="1997"/>
      <c r="X22" s="1788"/>
      <c r="Y22" s="1997"/>
      <c r="Z22" s="1788"/>
      <c r="AA22" s="1998"/>
      <c r="AB22" s="1999"/>
      <c r="AC22" s="2000"/>
      <c r="AD22" s="1788">
        <v>0</v>
      </c>
      <c r="AE22" s="1999"/>
      <c r="AF22" s="2001"/>
      <c r="AG22" s="1788">
        <v>0</v>
      </c>
      <c r="AH22" s="272"/>
      <c r="AI22" s="54"/>
      <c r="AJ22" s="941">
        <f t="shared" si="1"/>
        <v>0</v>
      </c>
      <c r="AK22" s="941"/>
      <c r="AL22" s="1436">
        <f>ROUND(IF(AG22=0,0,AJ22/ABS(AG22)),3)</f>
        <v>0</v>
      </c>
    </row>
    <row r="23" spans="1:39" ht="15" customHeight="1">
      <c r="A23" s="147"/>
      <c r="B23" s="890" t="s">
        <v>1051</v>
      </c>
      <c r="C23" s="31"/>
      <c r="D23" s="682">
        <v>0</v>
      </c>
      <c r="E23" s="813"/>
      <c r="F23" s="682">
        <v>0</v>
      </c>
      <c r="G23" s="813"/>
      <c r="H23" s="682">
        <v>0</v>
      </c>
      <c r="I23" s="813"/>
      <c r="J23" s="682">
        <v>0</v>
      </c>
      <c r="K23" s="1535"/>
      <c r="L23" s="682">
        <v>0</v>
      </c>
      <c r="M23" s="1535"/>
      <c r="N23" s="682">
        <v>0</v>
      </c>
      <c r="O23" s="1535"/>
      <c r="P23" s="1788">
        <f t="shared" si="0"/>
        <v>0</v>
      </c>
      <c r="Q23" s="1997"/>
      <c r="R23" s="1788"/>
      <c r="S23" s="1997"/>
      <c r="T23" s="1788"/>
      <c r="U23" s="1997"/>
      <c r="V23" s="1788"/>
      <c r="W23" s="1997"/>
      <c r="X23" s="1788"/>
      <c r="Y23" s="1997"/>
      <c r="Z23" s="1788"/>
      <c r="AA23" s="1998"/>
      <c r="AB23" s="1999"/>
      <c r="AC23" s="2000"/>
      <c r="AD23" s="1788">
        <v>0</v>
      </c>
      <c r="AE23" s="1999"/>
      <c r="AF23" s="2001"/>
      <c r="AG23" s="1788">
        <v>0</v>
      </c>
      <c r="AH23" s="272"/>
      <c r="AI23" s="54"/>
      <c r="AJ23" s="941">
        <f t="shared" si="1"/>
        <v>0</v>
      </c>
      <c r="AK23" s="941"/>
      <c r="AL23" s="1436">
        <f>ROUND(IF(AG23=0,0,AJ23/ABS(AG23)),3)</f>
        <v>0</v>
      </c>
    </row>
    <row r="24" spans="1:39" ht="15" customHeight="1">
      <c r="A24" s="147"/>
      <c r="B24" s="890" t="s">
        <v>1052</v>
      </c>
      <c r="C24" s="31"/>
      <c r="D24" s="682">
        <v>0</v>
      </c>
      <c r="E24" s="813"/>
      <c r="F24" s="682">
        <v>0</v>
      </c>
      <c r="G24" s="813"/>
      <c r="H24" s="682">
        <v>0</v>
      </c>
      <c r="I24" s="813"/>
      <c r="J24" s="682">
        <v>0</v>
      </c>
      <c r="K24" s="1535"/>
      <c r="L24" s="682">
        <v>0</v>
      </c>
      <c r="M24" s="1535"/>
      <c r="N24" s="682">
        <v>0</v>
      </c>
      <c r="O24" s="1535"/>
      <c r="P24" s="1788">
        <f t="shared" si="0"/>
        <v>0</v>
      </c>
      <c r="Q24" s="1997"/>
      <c r="R24" s="1788"/>
      <c r="S24" s="1997"/>
      <c r="T24" s="1788"/>
      <c r="U24" s="1997"/>
      <c r="V24" s="1788"/>
      <c r="W24" s="1997"/>
      <c r="X24" s="1788"/>
      <c r="Y24" s="1997"/>
      <c r="Z24" s="1788"/>
      <c r="AA24" s="1998"/>
      <c r="AB24" s="1999"/>
      <c r="AC24" s="2000"/>
      <c r="AD24" s="1788">
        <v>0</v>
      </c>
      <c r="AE24" s="1999"/>
      <c r="AF24" s="2001"/>
      <c r="AG24" s="1788">
        <v>0</v>
      </c>
      <c r="AH24" s="272"/>
      <c r="AI24" s="54"/>
      <c r="AJ24" s="941">
        <f t="shared" si="1"/>
        <v>0</v>
      </c>
      <c r="AK24" s="941"/>
      <c r="AL24" s="1436">
        <f>ROUND(IF(AG24=0,0,AJ24/ABS(AG24)),3)</f>
        <v>0</v>
      </c>
    </row>
    <row r="25" spans="1:39" ht="15" customHeight="1">
      <c r="A25" s="147"/>
      <c r="B25" s="890" t="s">
        <v>1139</v>
      </c>
      <c r="C25" s="31"/>
      <c r="D25" s="682" t="s">
        <v>15</v>
      </c>
      <c r="E25" s="813"/>
      <c r="F25" s="682"/>
      <c r="G25" s="813"/>
      <c r="H25" s="682"/>
      <c r="I25" s="813"/>
      <c r="J25" s="682"/>
      <c r="K25" s="137"/>
      <c r="L25" s="682"/>
      <c r="M25" s="137"/>
      <c r="N25" s="682"/>
      <c r="O25" s="137"/>
      <c r="P25" s="1788"/>
      <c r="Q25" s="1990"/>
      <c r="R25" s="1788"/>
      <c r="S25" s="1990"/>
      <c r="T25" s="1788"/>
      <c r="U25" s="1990"/>
      <c r="V25" s="1788"/>
      <c r="W25" s="1994"/>
      <c r="X25" s="1788"/>
      <c r="Y25" s="1994"/>
      <c r="Z25" s="1788"/>
      <c r="AA25" s="1993"/>
      <c r="AB25" s="1990"/>
      <c r="AC25" s="1995"/>
      <c r="AD25" s="1994"/>
      <c r="AE25" s="1994"/>
      <c r="AF25" s="1996"/>
      <c r="AG25" s="1994"/>
      <c r="AH25" s="272"/>
      <c r="AI25" s="54"/>
      <c r="AJ25" s="941"/>
      <c r="AK25" s="941"/>
      <c r="AL25" s="1436"/>
    </row>
    <row r="26" spans="1:39" ht="15" customHeight="1">
      <c r="A26" s="147"/>
      <c r="B26" s="890" t="s">
        <v>1053</v>
      </c>
      <c r="C26" s="31"/>
      <c r="D26" s="682">
        <v>0</v>
      </c>
      <c r="E26" s="813"/>
      <c r="F26" s="682">
        <v>0</v>
      </c>
      <c r="G26" s="813"/>
      <c r="H26" s="682">
        <v>0</v>
      </c>
      <c r="I26" s="813"/>
      <c r="J26" s="682">
        <v>0</v>
      </c>
      <c r="K26" s="1535"/>
      <c r="L26" s="682">
        <v>0</v>
      </c>
      <c r="M26" s="1535"/>
      <c r="N26" s="682">
        <v>0</v>
      </c>
      <c r="O26" s="1535"/>
      <c r="P26" s="1788">
        <f t="shared" si="0"/>
        <v>0</v>
      </c>
      <c r="Q26" s="1997"/>
      <c r="R26" s="1788"/>
      <c r="S26" s="1997"/>
      <c r="T26" s="1788"/>
      <c r="U26" s="1997"/>
      <c r="V26" s="1788"/>
      <c r="W26" s="1997"/>
      <c r="X26" s="1788"/>
      <c r="Y26" s="1997"/>
      <c r="Z26" s="1788"/>
      <c r="AA26" s="1998"/>
      <c r="AB26" s="1999"/>
      <c r="AC26" s="2000"/>
      <c r="AD26" s="1788">
        <v>0</v>
      </c>
      <c r="AE26" s="1999"/>
      <c r="AF26" s="2001"/>
      <c r="AG26" s="1788">
        <v>0</v>
      </c>
      <c r="AH26" s="272"/>
      <c r="AI26" s="54"/>
      <c r="AJ26" s="941">
        <f t="shared" si="1"/>
        <v>0</v>
      </c>
      <c r="AK26" s="941"/>
      <c r="AL26" s="1436">
        <f t="shared" ref="AL26:AL31" si="2">ROUND(IF(AG26=0,0,AJ26/ABS(AG26)),3)</f>
        <v>0</v>
      </c>
    </row>
    <row r="27" spans="1:39" ht="15" customHeight="1">
      <c r="A27" s="147"/>
      <c r="B27" s="890" t="s">
        <v>1054</v>
      </c>
      <c r="C27" s="31"/>
      <c r="D27" s="682">
        <v>0</v>
      </c>
      <c r="E27" s="813"/>
      <c r="F27" s="682">
        <v>0</v>
      </c>
      <c r="G27" s="813"/>
      <c r="H27" s="682">
        <v>0</v>
      </c>
      <c r="I27" s="813"/>
      <c r="J27" s="682">
        <v>0</v>
      </c>
      <c r="K27" s="1535"/>
      <c r="L27" s="682">
        <v>0</v>
      </c>
      <c r="M27" s="1535"/>
      <c r="N27" s="682">
        <v>0</v>
      </c>
      <c r="O27" s="1535"/>
      <c r="P27" s="1788">
        <f t="shared" si="0"/>
        <v>0</v>
      </c>
      <c r="Q27" s="1997"/>
      <c r="R27" s="1788"/>
      <c r="S27" s="1997"/>
      <c r="T27" s="1788"/>
      <c r="U27" s="1997"/>
      <c r="V27" s="1788"/>
      <c r="W27" s="1997"/>
      <c r="X27" s="1788"/>
      <c r="Y27" s="1997"/>
      <c r="Z27" s="1788"/>
      <c r="AA27" s="1998"/>
      <c r="AB27" s="1999"/>
      <c r="AC27" s="2000"/>
      <c r="AD27" s="1788">
        <v>0</v>
      </c>
      <c r="AE27" s="1999"/>
      <c r="AF27" s="2001"/>
      <c r="AG27" s="1788">
        <v>0</v>
      </c>
      <c r="AH27" s="272"/>
      <c r="AI27" s="54"/>
      <c r="AJ27" s="941">
        <f t="shared" si="1"/>
        <v>0</v>
      </c>
      <c r="AK27" s="941"/>
      <c r="AL27" s="1436">
        <f t="shared" si="2"/>
        <v>0</v>
      </c>
    </row>
    <row r="28" spans="1:39" ht="15" customHeight="1">
      <c r="A28" s="147"/>
      <c r="B28" s="890" t="s">
        <v>1055</v>
      </c>
      <c r="C28" s="31"/>
      <c r="D28" s="682">
        <v>0</v>
      </c>
      <c r="E28" s="813"/>
      <c r="F28" s="682">
        <v>0</v>
      </c>
      <c r="G28" s="813"/>
      <c r="H28" s="682">
        <v>0</v>
      </c>
      <c r="I28" s="813"/>
      <c r="J28" s="682">
        <v>0</v>
      </c>
      <c r="K28" s="1535"/>
      <c r="L28" s="682">
        <v>0</v>
      </c>
      <c r="M28" s="1535"/>
      <c r="N28" s="682">
        <v>0</v>
      </c>
      <c r="O28" s="1535"/>
      <c r="P28" s="1788">
        <f t="shared" si="0"/>
        <v>0</v>
      </c>
      <c r="Q28" s="1997"/>
      <c r="R28" s="1788"/>
      <c r="S28" s="1997"/>
      <c r="T28" s="1788"/>
      <c r="U28" s="1997"/>
      <c r="V28" s="1788"/>
      <c r="W28" s="1997"/>
      <c r="X28" s="1788"/>
      <c r="Y28" s="1997"/>
      <c r="Z28" s="1788"/>
      <c r="AA28" s="1998"/>
      <c r="AB28" s="1999"/>
      <c r="AC28" s="2000"/>
      <c r="AD28" s="1788">
        <v>0</v>
      </c>
      <c r="AE28" s="1999"/>
      <c r="AF28" s="2001"/>
      <c r="AG28" s="1788">
        <v>0</v>
      </c>
      <c r="AH28" s="272"/>
      <c r="AI28" s="54"/>
      <c r="AJ28" s="941">
        <f t="shared" si="1"/>
        <v>0</v>
      </c>
      <c r="AK28" s="941"/>
      <c r="AL28" s="1436">
        <f t="shared" si="2"/>
        <v>0</v>
      </c>
    </row>
    <row r="29" spans="1:39" ht="15" customHeight="1">
      <c r="A29" s="147"/>
      <c r="B29" s="890" t="s">
        <v>1056</v>
      </c>
      <c r="C29" s="31"/>
      <c r="D29" s="682">
        <v>0</v>
      </c>
      <c r="E29" s="813"/>
      <c r="F29" s="682">
        <v>0</v>
      </c>
      <c r="G29" s="813"/>
      <c r="H29" s="682">
        <v>0</v>
      </c>
      <c r="I29" s="813"/>
      <c r="J29" s="682">
        <v>0</v>
      </c>
      <c r="K29" s="1535"/>
      <c r="L29" s="682">
        <v>0</v>
      </c>
      <c r="M29" s="1535"/>
      <c r="N29" s="682">
        <v>0</v>
      </c>
      <c r="O29" s="1535"/>
      <c r="P29" s="1788">
        <f t="shared" si="0"/>
        <v>0</v>
      </c>
      <c r="Q29" s="1997"/>
      <c r="R29" s="1788"/>
      <c r="S29" s="1997"/>
      <c r="T29" s="1788"/>
      <c r="U29" s="1997"/>
      <c r="V29" s="1788"/>
      <c r="W29" s="1997"/>
      <c r="X29" s="1788"/>
      <c r="Y29" s="1997"/>
      <c r="Z29" s="1788"/>
      <c r="AA29" s="1998"/>
      <c r="AB29" s="1999"/>
      <c r="AC29" s="2000"/>
      <c r="AD29" s="1788">
        <v>0</v>
      </c>
      <c r="AE29" s="1999"/>
      <c r="AF29" s="2001"/>
      <c r="AG29" s="1788">
        <v>0</v>
      </c>
      <c r="AH29" s="272"/>
      <c r="AI29" s="54"/>
      <c r="AJ29" s="941">
        <f t="shared" si="1"/>
        <v>0</v>
      </c>
      <c r="AK29" s="941"/>
      <c r="AL29" s="1436">
        <f t="shared" si="2"/>
        <v>0</v>
      </c>
    </row>
    <row r="30" spans="1:39" ht="15" customHeight="1">
      <c r="A30" s="147"/>
      <c r="B30" s="890" t="s">
        <v>1057</v>
      </c>
      <c r="C30" s="31"/>
      <c r="D30" s="682">
        <v>0</v>
      </c>
      <c r="E30" s="813"/>
      <c r="F30" s="682">
        <v>0</v>
      </c>
      <c r="G30" s="813"/>
      <c r="H30" s="682">
        <v>0</v>
      </c>
      <c r="I30" s="813"/>
      <c r="J30" s="682">
        <v>0</v>
      </c>
      <c r="K30" s="1535"/>
      <c r="L30" s="682">
        <v>0</v>
      </c>
      <c r="M30" s="1535"/>
      <c r="N30" s="682">
        <v>0</v>
      </c>
      <c r="O30" s="1535"/>
      <c r="P30" s="1788">
        <f t="shared" si="0"/>
        <v>0</v>
      </c>
      <c r="Q30" s="1997"/>
      <c r="R30" s="1788"/>
      <c r="S30" s="1997"/>
      <c r="T30" s="1788"/>
      <c r="U30" s="1997"/>
      <c r="V30" s="1788"/>
      <c r="W30" s="1997"/>
      <c r="X30" s="1788"/>
      <c r="Y30" s="1997"/>
      <c r="Z30" s="1788"/>
      <c r="AA30" s="1998"/>
      <c r="AB30" s="1999"/>
      <c r="AC30" s="2000"/>
      <c r="AD30" s="1788">
        <v>0</v>
      </c>
      <c r="AE30" s="1999"/>
      <c r="AF30" s="2001"/>
      <c r="AG30" s="1788">
        <v>0</v>
      </c>
      <c r="AH30" s="272"/>
      <c r="AI30" s="54"/>
      <c r="AJ30" s="941">
        <f t="shared" si="1"/>
        <v>0</v>
      </c>
      <c r="AK30" s="941"/>
      <c r="AL30" s="1436">
        <f t="shared" si="2"/>
        <v>0</v>
      </c>
    </row>
    <row r="31" spans="1:39" ht="15" customHeight="1">
      <c r="A31" s="147"/>
      <c r="B31" s="890" t="s">
        <v>1015</v>
      </c>
      <c r="C31" s="31"/>
      <c r="D31" s="682">
        <v>0.3</v>
      </c>
      <c r="E31" s="813"/>
      <c r="F31" s="682">
        <v>0.2</v>
      </c>
      <c r="G31" s="813"/>
      <c r="H31" s="682">
        <v>0.19999999999999996</v>
      </c>
      <c r="I31" s="813"/>
      <c r="J31" s="682">
        <v>0.20000000000000012</v>
      </c>
      <c r="K31" s="1535"/>
      <c r="L31" s="682">
        <v>0.2</v>
      </c>
      <c r="M31" s="1535"/>
      <c r="N31" s="682">
        <v>0.3</v>
      </c>
      <c r="O31" s="1535"/>
      <c r="P31" s="1788">
        <f t="shared" si="0"/>
        <v>9.9999999999999867E-2</v>
      </c>
      <c r="Q31" s="1997"/>
      <c r="R31" s="1788"/>
      <c r="S31" s="1997"/>
      <c r="T31" s="1788"/>
      <c r="U31" s="1997"/>
      <c r="V31" s="1788"/>
      <c r="W31" s="1997"/>
      <c r="X31" s="1788"/>
      <c r="Y31" s="1997"/>
      <c r="Z31" s="1788"/>
      <c r="AA31" s="1998"/>
      <c r="AB31" s="1999"/>
      <c r="AC31" s="2000"/>
      <c r="AD31" s="1788">
        <v>1.5</v>
      </c>
      <c r="AE31" s="1999"/>
      <c r="AF31" s="2001"/>
      <c r="AG31" s="1788">
        <v>3.9</v>
      </c>
      <c r="AH31" s="272"/>
      <c r="AI31" s="54"/>
      <c r="AJ31" s="941">
        <f>ROUND(SUM(+AD31-AG31),1)</f>
        <v>-2.4</v>
      </c>
      <c r="AK31" s="941"/>
      <c r="AL31" s="1436">
        <f t="shared" si="2"/>
        <v>-0.61499999999999999</v>
      </c>
    </row>
    <row r="32" spans="1:39" s="885" customFormat="1" ht="15" customHeight="1">
      <c r="A32" s="1068"/>
      <c r="B32" s="890" t="s">
        <v>1016</v>
      </c>
      <c r="C32" s="104"/>
      <c r="D32" s="682">
        <v>3</v>
      </c>
      <c r="E32" s="813"/>
      <c r="F32" s="682">
        <v>3.9</v>
      </c>
      <c r="G32" s="813"/>
      <c r="H32" s="682">
        <v>1.4000000000000008</v>
      </c>
      <c r="I32" s="813"/>
      <c r="J32" s="682">
        <v>0.89999999999999858</v>
      </c>
      <c r="K32" s="1535"/>
      <c r="L32" s="682">
        <v>1.2000000000000011</v>
      </c>
      <c r="M32" s="1535"/>
      <c r="N32" s="682">
        <v>0.79999999999999849</v>
      </c>
      <c r="O32" s="1535"/>
      <c r="P32" s="1788">
        <f t="shared" si="0"/>
        <v>0.80000000000000071</v>
      </c>
      <c r="Q32" s="1997"/>
      <c r="R32" s="1788"/>
      <c r="S32" s="1997"/>
      <c r="T32" s="1788"/>
      <c r="U32" s="1997"/>
      <c r="V32" s="1788"/>
      <c r="W32" s="1997"/>
      <c r="X32" s="1788"/>
      <c r="Y32" s="1997"/>
      <c r="Z32" s="1788"/>
      <c r="AA32" s="1998"/>
      <c r="AB32" s="1999"/>
      <c r="AC32" s="2000"/>
      <c r="AD32" s="1788">
        <v>12</v>
      </c>
      <c r="AE32" s="1999"/>
      <c r="AF32" s="2001"/>
      <c r="AG32" s="1788">
        <v>16.399999999999999</v>
      </c>
      <c r="AH32" s="1071"/>
      <c r="AI32" s="65"/>
      <c r="AJ32" s="1022">
        <f t="shared" si="1"/>
        <v>-4.4000000000000004</v>
      </c>
      <c r="AK32" s="1022"/>
      <c r="AL32" s="1723">
        <f>ROUND(IF(AG32=0,1,AJ32/ABS(AG32)),3)</f>
        <v>-0.26800000000000002</v>
      </c>
    </row>
    <row r="33" spans="1:38" s="885" customFormat="1" ht="15" customHeight="1">
      <c r="A33" s="1068"/>
      <c r="B33" s="890" t="s">
        <v>1137</v>
      </c>
      <c r="C33" s="104"/>
      <c r="D33" s="682" t="s">
        <v>15</v>
      </c>
      <c r="E33" s="813"/>
      <c r="F33" s="682"/>
      <c r="G33" s="813"/>
      <c r="H33" s="682"/>
      <c r="I33" s="813"/>
      <c r="J33" s="682"/>
      <c r="K33" s="137"/>
      <c r="L33" s="682"/>
      <c r="M33" s="137"/>
      <c r="N33" s="682"/>
      <c r="O33" s="137"/>
      <c r="P33" s="1788"/>
      <c r="Q33" s="1990"/>
      <c r="R33" s="1788"/>
      <c r="S33" s="1990"/>
      <c r="T33" s="1788"/>
      <c r="U33" s="1990"/>
      <c r="V33" s="1788"/>
      <c r="W33" s="1994"/>
      <c r="X33" s="1788"/>
      <c r="Y33" s="1994"/>
      <c r="Z33" s="1788"/>
      <c r="AA33" s="1993"/>
      <c r="AB33" s="1990"/>
      <c r="AC33" s="1995"/>
      <c r="AD33" s="1994"/>
      <c r="AE33" s="1994"/>
      <c r="AF33" s="1996"/>
      <c r="AG33" s="1994"/>
      <c r="AH33" s="1071"/>
      <c r="AI33" s="65"/>
      <c r="AJ33" s="1022"/>
      <c r="AK33" s="1022"/>
      <c r="AL33" s="1446"/>
    </row>
    <row r="34" spans="1:38" s="885" customFormat="1" ht="15" customHeight="1">
      <c r="A34" s="1068"/>
      <c r="B34" s="890" t="s">
        <v>1061</v>
      </c>
      <c r="C34" s="104"/>
      <c r="D34" s="682">
        <v>0</v>
      </c>
      <c r="E34" s="813"/>
      <c r="F34" s="682">
        <v>0</v>
      </c>
      <c r="G34" s="813"/>
      <c r="H34" s="682">
        <v>0</v>
      </c>
      <c r="I34" s="813"/>
      <c r="J34" s="682">
        <v>0</v>
      </c>
      <c r="K34" s="1535"/>
      <c r="L34" s="682">
        <v>0</v>
      </c>
      <c r="M34" s="1535"/>
      <c r="N34" s="682">
        <v>0</v>
      </c>
      <c r="O34" s="1535"/>
      <c r="P34" s="1788">
        <f t="shared" si="0"/>
        <v>0</v>
      </c>
      <c r="Q34" s="1997"/>
      <c r="R34" s="1788"/>
      <c r="S34" s="1997"/>
      <c r="T34" s="1788"/>
      <c r="U34" s="1997"/>
      <c r="V34" s="1788"/>
      <c r="W34" s="1997"/>
      <c r="X34" s="1788"/>
      <c r="Y34" s="1997"/>
      <c r="Z34" s="1788"/>
      <c r="AA34" s="1998"/>
      <c r="AB34" s="1999"/>
      <c r="AC34" s="2000"/>
      <c r="AD34" s="1788">
        <v>0</v>
      </c>
      <c r="AE34" s="1999"/>
      <c r="AF34" s="2001"/>
      <c r="AG34" s="1788">
        <v>0</v>
      </c>
      <c r="AH34" s="1071"/>
      <c r="AI34" s="65"/>
      <c r="AJ34" s="1022">
        <f t="shared" si="1"/>
        <v>0</v>
      </c>
      <c r="AK34" s="1022"/>
      <c r="AL34" s="1723">
        <f t="shared" ref="AL34:AL39" si="3">ROUND(IF(AG34=0,0,AJ34/ABS(AG34)),3)</f>
        <v>0</v>
      </c>
    </row>
    <row r="35" spans="1:38" s="885" customFormat="1" ht="15" customHeight="1">
      <c r="A35" s="1068"/>
      <c r="B35" s="890" t="s">
        <v>1062</v>
      </c>
      <c r="C35" s="104"/>
      <c r="D35" s="682">
        <v>0</v>
      </c>
      <c r="E35" s="813"/>
      <c r="F35" s="682">
        <v>0</v>
      </c>
      <c r="G35" s="813"/>
      <c r="H35" s="682">
        <v>0</v>
      </c>
      <c r="I35" s="813"/>
      <c r="J35" s="682">
        <v>0</v>
      </c>
      <c r="K35" s="1535"/>
      <c r="L35" s="682">
        <v>0</v>
      </c>
      <c r="M35" s="1535"/>
      <c r="N35" s="682">
        <v>0</v>
      </c>
      <c r="O35" s="1535"/>
      <c r="P35" s="1788">
        <f t="shared" si="0"/>
        <v>0</v>
      </c>
      <c r="Q35" s="1997"/>
      <c r="R35" s="1788"/>
      <c r="S35" s="1997"/>
      <c r="T35" s="1788"/>
      <c r="U35" s="1997"/>
      <c r="V35" s="1788"/>
      <c r="W35" s="1997"/>
      <c r="X35" s="1788"/>
      <c r="Y35" s="1997"/>
      <c r="Z35" s="1788"/>
      <c r="AA35" s="1998"/>
      <c r="AB35" s="1999"/>
      <c r="AC35" s="2000"/>
      <c r="AD35" s="1788">
        <v>0</v>
      </c>
      <c r="AE35" s="1999"/>
      <c r="AF35" s="2001"/>
      <c r="AG35" s="1788">
        <v>0</v>
      </c>
      <c r="AH35" s="1071"/>
      <c r="AI35" s="65"/>
      <c r="AJ35" s="1022">
        <f t="shared" si="1"/>
        <v>0</v>
      </c>
      <c r="AK35" s="1022"/>
      <c r="AL35" s="1723">
        <f t="shared" si="3"/>
        <v>0</v>
      </c>
    </row>
    <row r="36" spans="1:38" s="885" customFormat="1" ht="15" customHeight="1">
      <c r="A36" s="1068"/>
      <c r="B36" s="890" t="s">
        <v>1063</v>
      </c>
      <c r="C36" s="104"/>
      <c r="D36" s="682">
        <v>0</v>
      </c>
      <c r="E36" s="813"/>
      <c r="F36" s="682">
        <v>0</v>
      </c>
      <c r="G36" s="813"/>
      <c r="H36" s="682">
        <v>0</v>
      </c>
      <c r="I36" s="813"/>
      <c r="J36" s="682">
        <v>0</v>
      </c>
      <c r="K36" s="1535"/>
      <c r="L36" s="682">
        <v>0</v>
      </c>
      <c r="M36" s="1535"/>
      <c r="N36" s="682">
        <v>0</v>
      </c>
      <c r="O36" s="1535"/>
      <c r="P36" s="1788">
        <f t="shared" si="0"/>
        <v>0</v>
      </c>
      <c r="Q36" s="1997"/>
      <c r="R36" s="1788"/>
      <c r="S36" s="1997"/>
      <c r="T36" s="1788"/>
      <c r="U36" s="1997"/>
      <c r="V36" s="1788"/>
      <c r="W36" s="1997"/>
      <c r="X36" s="1788"/>
      <c r="Y36" s="1997"/>
      <c r="Z36" s="1788"/>
      <c r="AA36" s="1998"/>
      <c r="AB36" s="1999"/>
      <c r="AC36" s="2000"/>
      <c r="AD36" s="1788">
        <v>0</v>
      </c>
      <c r="AE36" s="1999"/>
      <c r="AF36" s="2001"/>
      <c r="AG36" s="1788">
        <v>0</v>
      </c>
      <c r="AH36" s="1071"/>
      <c r="AI36" s="65"/>
      <c r="AJ36" s="1022">
        <f t="shared" si="1"/>
        <v>0</v>
      </c>
      <c r="AK36" s="1022"/>
      <c r="AL36" s="1723">
        <f t="shared" si="3"/>
        <v>0</v>
      </c>
    </row>
    <row r="37" spans="1:38" s="885" customFormat="1" ht="15" customHeight="1">
      <c r="A37" s="1068"/>
      <c r="B37" s="890" t="s">
        <v>1064</v>
      </c>
      <c r="C37" s="104"/>
      <c r="D37" s="682">
        <v>0</v>
      </c>
      <c r="E37" s="813"/>
      <c r="F37" s="682">
        <v>0</v>
      </c>
      <c r="G37" s="813"/>
      <c r="H37" s="682">
        <v>0</v>
      </c>
      <c r="I37" s="813"/>
      <c r="J37" s="682">
        <v>0</v>
      </c>
      <c r="K37" s="1535"/>
      <c r="L37" s="682">
        <v>0</v>
      </c>
      <c r="M37" s="1535"/>
      <c r="N37" s="682">
        <v>0</v>
      </c>
      <c r="O37" s="1535"/>
      <c r="P37" s="1788">
        <f t="shared" si="0"/>
        <v>0</v>
      </c>
      <c r="Q37" s="1997"/>
      <c r="R37" s="1788"/>
      <c r="S37" s="1997"/>
      <c r="T37" s="1788"/>
      <c r="U37" s="1997"/>
      <c r="V37" s="1788"/>
      <c r="W37" s="1997"/>
      <c r="X37" s="1788"/>
      <c r="Y37" s="1997"/>
      <c r="Z37" s="1788"/>
      <c r="AA37" s="1998"/>
      <c r="AB37" s="1999"/>
      <c r="AC37" s="2000"/>
      <c r="AD37" s="1788">
        <v>0</v>
      </c>
      <c r="AE37" s="1999"/>
      <c r="AF37" s="2001"/>
      <c r="AG37" s="1788">
        <v>0</v>
      </c>
      <c r="AH37" s="1071"/>
      <c r="AI37" s="65"/>
      <c r="AJ37" s="1022">
        <f t="shared" si="1"/>
        <v>0</v>
      </c>
      <c r="AK37" s="1022"/>
      <c r="AL37" s="1723">
        <f t="shared" si="3"/>
        <v>0</v>
      </c>
    </row>
    <row r="38" spans="1:38" s="885" customFormat="1" ht="15" customHeight="1">
      <c r="A38" s="1068"/>
      <c r="B38" s="890" t="s">
        <v>1034</v>
      </c>
      <c r="C38" s="104"/>
      <c r="D38" s="682">
        <v>0</v>
      </c>
      <c r="E38" s="813"/>
      <c r="F38" s="682">
        <v>0</v>
      </c>
      <c r="G38" s="813"/>
      <c r="H38" s="682">
        <v>0</v>
      </c>
      <c r="I38" s="813"/>
      <c r="J38" s="682">
        <v>0</v>
      </c>
      <c r="K38" s="1535"/>
      <c r="L38" s="682">
        <v>0</v>
      </c>
      <c r="M38" s="1535"/>
      <c r="N38" s="682">
        <v>0</v>
      </c>
      <c r="O38" s="1535"/>
      <c r="P38" s="1788">
        <f t="shared" si="0"/>
        <v>0</v>
      </c>
      <c r="Q38" s="1997"/>
      <c r="R38" s="1788"/>
      <c r="S38" s="1997"/>
      <c r="T38" s="1788"/>
      <c r="U38" s="1997"/>
      <c r="V38" s="1788"/>
      <c r="W38" s="1997"/>
      <c r="X38" s="1788"/>
      <c r="Y38" s="1997"/>
      <c r="Z38" s="1788"/>
      <c r="AA38" s="1998"/>
      <c r="AB38" s="1999"/>
      <c r="AC38" s="2000"/>
      <c r="AD38" s="1788">
        <v>0</v>
      </c>
      <c r="AE38" s="1999"/>
      <c r="AF38" s="2001"/>
      <c r="AG38" s="1788">
        <v>0</v>
      </c>
      <c r="AH38" s="1071"/>
      <c r="AI38" s="65"/>
      <c r="AJ38" s="1022">
        <f t="shared" si="1"/>
        <v>0</v>
      </c>
      <c r="AK38" s="1022"/>
      <c r="AL38" s="1723">
        <f t="shared" si="3"/>
        <v>0</v>
      </c>
    </row>
    <row r="39" spans="1:38" s="885" customFormat="1" ht="15" customHeight="1">
      <c r="A39" s="1068"/>
      <c r="B39" s="890" t="s">
        <v>1035</v>
      </c>
      <c r="C39" s="104"/>
      <c r="D39" s="682">
        <v>0</v>
      </c>
      <c r="E39" s="813"/>
      <c r="F39" s="682">
        <v>0</v>
      </c>
      <c r="G39" s="813"/>
      <c r="H39" s="682">
        <v>0</v>
      </c>
      <c r="I39" s="813"/>
      <c r="J39" s="682">
        <v>0</v>
      </c>
      <c r="K39" s="1535"/>
      <c r="L39" s="682">
        <v>0</v>
      </c>
      <c r="M39" s="1535"/>
      <c r="N39" s="682">
        <v>0</v>
      </c>
      <c r="O39" s="1535"/>
      <c r="P39" s="1788">
        <f t="shared" si="0"/>
        <v>0</v>
      </c>
      <c r="Q39" s="1997"/>
      <c r="R39" s="1788"/>
      <c r="S39" s="1997"/>
      <c r="T39" s="1788"/>
      <c r="U39" s="1997"/>
      <c r="V39" s="1788"/>
      <c r="W39" s="1997"/>
      <c r="X39" s="1788"/>
      <c r="Y39" s="1997"/>
      <c r="Z39" s="1788"/>
      <c r="AA39" s="1998"/>
      <c r="AB39" s="1999"/>
      <c r="AC39" s="2000"/>
      <c r="AD39" s="1788">
        <v>0</v>
      </c>
      <c r="AE39" s="1999"/>
      <c r="AF39" s="2001"/>
      <c r="AG39" s="1788">
        <v>0</v>
      </c>
      <c r="AH39" s="1071"/>
      <c r="AI39" s="65"/>
      <c r="AJ39" s="1022">
        <f t="shared" si="1"/>
        <v>0</v>
      </c>
      <c r="AK39" s="1022"/>
      <c r="AL39" s="1723">
        <f t="shared" si="3"/>
        <v>0</v>
      </c>
    </row>
    <row r="40" spans="1:38" s="885" customFormat="1" ht="15" customHeight="1">
      <c r="A40" s="1068"/>
      <c r="B40" s="890" t="s">
        <v>1138</v>
      </c>
      <c r="C40" s="104"/>
      <c r="D40" s="682" t="s">
        <v>15</v>
      </c>
      <c r="E40" s="813"/>
      <c r="F40" s="682"/>
      <c r="G40" s="813"/>
      <c r="H40" s="682"/>
      <c r="I40" s="813"/>
      <c r="J40" s="682"/>
      <c r="K40" s="137"/>
      <c r="L40" s="682"/>
      <c r="M40" s="137"/>
      <c r="N40" s="682"/>
      <c r="O40" s="137"/>
      <c r="P40" s="1788"/>
      <c r="Q40" s="1990"/>
      <c r="R40" s="1788"/>
      <c r="S40" s="1990"/>
      <c r="T40" s="1788"/>
      <c r="U40" s="1990"/>
      <c r="V40" s="1788"/>
      <c r="W40" s="1994"/>
      <c r="X40" s="1788"/>
      <c r="Y40" s="1994"/>
      <c r="Z40" s="1788"/>
      <c r="AA40" s="1993"/>
      <c r="AB40" s="1990"/>
      <c r="AC40" s="1995"/>
      <c r="AD40" s="1994"/>
      <c r="AE40" s="1994"/>
      <c r="AF40" s="1996"/>
      <c r="AG40" s="1994"/>
      <c r="AH40" s="1071"/>
      <c r="AI40" s="65"/>
      <c r="AJ40" s="1022"/>
      <c r="AK40" s="1022"/>
      <c r="AL40" s="1446"/>
    </row>
    <row r="41" spans="1:38" s="885" customFormat="1" ht="15" customHeight="1">
      <c r="A41" s="1068"/>
      <c r="B41" s="890" t="s">
        <v>1065</v>
      </c>
      <c r="C41" s="104"/>
      <c r="D41" s="682">
        <v>0</v>
      </c>
      <c r="E41" s="813"/>
      <c r="F41" s="682">
        <v>0</v>
      </c>
      <c r="G41" s="813"/>
      <c r="H41" s="682">
        <v>0</v>
      </c>
      <c r="I41" s="813"/>
      <c r="J41" s="682">
        <v>0</v>
      </c>
      <c r="K41" s="1535"/>
      <c r="L41" s="682">
        <v>0</v>
      </c>
      <c r="M41" s="1535"/>
      <c r="N41" s="682">
        <v>0</v>
      </c>
      <c r="O41" s="1535"/>
      <c r="P41" s="1788">
        <f t="shared" si="0"/>
        <v>0</v>
      </c>
      <c r="Q41" s="1997"/>
      <c r="R41" s="1788"/>
      <c r="S41" s="1997"/>
      <c r="T41" s="1788"/>
      <c r="U41" s="1997"/>
      <c r="V41" s="1788"/>
      <c r="W41" s="1997"/>
      <c r="X41" s="1788"/>
      <c r="Y41" s="1997"/>
      <c r="Z41" s="1788"/>
      <c r="AA41" s="1998"/>
      <c r="AB41" s="1999"/>
      <c r="AC41" s="2000"/>
      <c r="AD41" s="1788">
        <v>0</v>
      </c>
      <c r="AE41" s="1999"/>
      <c r="AF41" s="2001"/>
      <c r="AG41" s="1788">
        <v>0</v>
      </c>
      <c r="AH41" s="1071"/>
      <c r="AI41" s="65"/>
      <c r="AJ41" s="1022">
        <f t="shared" si="1"/>
        <v>0</v>
      </c>
      <c r="AK41" s="1022"/>
      <c r="AL41" s="1723">
        <f t="shared" ref="AL41:AL48" si="4">ROUND(IF(AG41=0,0,AJ41/ABS(AG41)),3)</f>
        <v>0</v>
      </c>
    </row>
    <row r="42" spans="1:38" s="885" customFormat="1" ht="15" customHeight="1">
      <c r="A42" s="1068"/>
      <c r="B42" s="890" t="s">
        <v>1066</v>
      </c>
      <c r="C42" s="104"/>
      <c r="D42" s="682">
        <v>0</v>
      </c>
      <c r="E42" s="813"/>
      <c r="F42" s="682">
        <v>0</v>
      </c>
      <c r="G42" s="813"/>
      <c r="H42" s="682">
        <v>0</v>
      </c>
      <c r="I42" s="813"/>
      <c r="J42" s="682">
        <v>0</v>
      </c>
      <c r="K42" s="1535"/>
      <c r="L42" s="682">
        <v>0</v>
      </c>
      <c r="M42" s="1535"/>
      <c r="N42" s="682">
        <v>0</v>
      </c>
      <c r="O42" s="1535"/>
      <c r="P42" s="1788">
        <f t="shared" si="0"/>
        <v>0</v>
      </c>
      <c r="Q42" s="1997"/>
      <c r="R42" s="1788"/>
      <c r="S42" s="1997"/>
      <c r="T42" s="1788"/>
      <c r="U42" s="1997"/>
      <c r="V42" s="1788"/>
      <c r="W42" s="1997"/>
      <c r="X42" s="1788"/>
      <c r="Y42" s="1997"/>
      <c r="Z42" s="1788"/>
      <c r="AA42" s="1998"/>
      <c r="AB42" s="1999"/>
      <c r="AC42" s="2000"/>
      <c r="AD42" s="1788">
        <v>0</v>
      </c>
      <c r="AE42" s="1999"/>
      <c r="AF42" s="2001"/>
      <c r="AG42" s="1788">
        <v>0</v>
      </c>
      <c r="AH42" s="1071"/>
      <c r="AI42" s="65"/>
      <c r="AJ42" s="1022">
        <f t="shared" si="1"/>
        <v>0</v>
      </c>
      <c r="AK42" s="1022"/>
      <c r="AL42" s="1723">
        <f t="shared" si="4"/>
        <v>0</v>
      </c>
    </row>
    <row r="43" spans="1:38" s="885" customFormat="1" ht="15" customHeight="1">
      <c r="A43" s="1068"/>
      <c r="B43" s="890" t="s">
        <v>1067</v>
      </c>
      <c r="C43" s="104"/>
      <c r="D43" s="682">
        <v>0</v>
      </c>
      <c r="E43" s="813"/>
      <c r="F43" s="682">
        <v>0</v>
      </c>
      <c r="G43" s="813"/>
      <c r="H43" s="682">
        <v>0</v>
      </c>
      <c r="I43" s="813"/>
      <c r="J43" s="682">
        <v>0</v>
      </c>
      <c r="K43" s="1535"/>
      <c r="L43" s="682">
        <v>0</v>
      </c>
      <c r="M43" s="1535"/>
      <c r="N43" s="682">
        <v>0</v>
      </c>
      <c r="O43" s="1535"/>
      <c r="P43" s="1788">
        <f t="shared" si="0"/>
        <v>0</v>
      </c>
      <c r="Q43" s="1997"/>
      <c r="R43" s="1788"/>
      <c r="S43" s="1997"/>
      <c r="T43" s="1788"/>
      <c r="U43" s="1997"/>
      <c r="V43" s="1788"/>
      <c r="W43" s="1997"/>
      <c r="X43" s="1788"/>
      <c r="Y43" s="1997"/>
      <c r="Z43" s="1788"/>
      <c r="AA43" s="1998"/>
      <c r="AB43" s="1999"/>
      <c r="AC43" s="2000"/>
      <c r="AD43" s="1788">
        <v>0</v>
      </c>
      <c r="AE43" s="1999"/>
      <c r="AF43" s="2001"/>
      <c r="AG43" s="1788">
        <v>0</v>
      </c>
      <c r="AH43" s="1071"/>
      <c r="AI43" s="65"/>
      <c r="AJ43" s="1022">
        <f t="shared" si="1"/>
        <v>0</v>
      </c>
      <c r="AK43" s="1022"/>
      <c r="AL43" s="1723">
        <f t="shared" si="4"/>
        <v>0</v>
      </c>
    </row>
    <row r="44" spans="1:38" s="885" customFormat="1" ht="15" customHeight="1">
      <c r="A44" s="1068"/>
      <c r="B44" s="890" t="s">
        <v>1068</v>
      </c>
      <c r="C44" s="104"/>
      <c r="D44" s="682">
        <v>0</v>
      </c>
      <c r="E44" s="813"/>
      <c r="F44" s="682">
        <v>0</v>
      </c>
      <c r="G44" s="813"/>
      <c r="H44" s="682">
        <v>0</v>
      </c>
      <c r="I44" s="813"/>
      <c r="J44" s="682">
        <v>0</v>
      </c>
      <c r="K44" s="1535"/>
      <c r="L44" s="682">
        <v>0</v>
      </c>
      <c r="M44" s="1535"/>
      <c r="N44" s="682">
        <v>0</v>
      </c>
      <c r="O44" s="1535"/>
      <c r="P44" s="1788">
        <f t="shared" si="0"/>
        <v>0</v>
      </c>
      <c r="Q44" s="1997"/>
      <c r="R44" s="1788"/>
      <c r="S44" s="1997"/>
      <c r="T44" s="1788"/>
      <c r="U44" s="1997"/>
      <c r="V44" s="1788"/>
      <c r="W44" s="1997"/>
      <c r="X44" s="1788"/>
      <c r="Y44" s="1997"/>
      <c r="Z44" s="1788"/>
      <c r="AA44" s="1998"/>
      <c r="AB44" s="1999"/>
      <c r="AC44" s="2000"/>
      <c r="AD44" s="1788">
        <v>0</v>
      </c>
      <c r="AE44" s="1999"/>
      <c r="AF44" s="2001"/>
      <c r="AG44" s="1788">
        <v>0</v>
      </c>
      <c r="AH44" s="1071"/>
      <c r="AI44" s="65"/>
      <c r="AJ44" s="1022">
        <f t="shared" si="1"/>
        <v>0</v>
      </c>
      <c r="AK44" s="1022"/>
      <c r="AL44" s="1723">
        <f t="shared" si="4"/>
        <v>0</v>
      </c>
    </row>
    <row r="45" spans="1:38" s="885" customFormat="1" ht="15" customHeight="1">
      <c r="A45" s="1068"/>
      <c r="B45" s="890" t="s">
        <v>1069</v>
      </c>
      <c r="C45" s="104"/>
      <c r="D45" s="682">
        <v>0</v>
      </c>
      <c r="E45" s="813"/>
      <c r="F45" s="682">
        <v>0</v>
      </c>
      <c r="G45" s="813"/>
      <c r="H45" s="682">
        <v>0</v>
      </c>
      <c r="I45" s="813"/>
      <c r="J45" s="682">
        <v>0</v>
      </c>
      <c r="K45" s="1535"/>
      <c r="L45" s="682">
        <v>0</v>
      </c>
      <c r="M45" s="1535"/>
      <c r="N45" s="682">
        <v>0</v>
      </c>
      <c r="O45" s="1535"/>
      <c r="P45" s="1788">
        <f t="shared" si="0"/>
        <v>0</v>
      </c>
      <c r="Q45" s="1997"/>
      <c r="R45" s="1788"/>
      <c r="S45" s="1997"/>
      <c r="T45" s="1788"/>
      <c r="U45" s="1997"/>
      <c r="V45" s="1788"/>
      <c r="W45" s="1997"/>
      <c r="X45" s="1788"/>
      <c r="Y45" s="1997"/>
      <c r="Z45" s="1788"/>
      <c r="AA45" s="1998"/>
      <c r="AB45" s="1999"/>
      <c r="AC45" s="2000"/>
      <c r="AD45" s="1788">
        <v>0</v>
      </c>
      <c r="AE45" s="1999"/>
      <c r="AF45" s="2001"/>
      <c r="AG45" s="1788">
        <v>0</v>
      </c>
      <c r="AH45" s="1071"/>
      <c r="AI45" s="65"/>
      <c r="AJ45" s="1022">
        <f t="shared" si="1"/>
        <v>0</v>
      </c>
      <c r="AK45" s="1022"/>
      <c r="AL45" s="1723">
        <f t="shared" si="4"/>
        <v>0</v>
      </c>
    </row>
    <row r="46" spans="1:38" s="885" customFormat="1" ht="15" customHeight="1">
      <c r="A46" s="1068"/>
      <c r="B46" s="890" t="s">
        <v>1070</v>
      </c>
      <c r="C46" s="104"/>
      <c r="D46" s="682">
        <v>7.7</v>
      </c>
      <c r="E46" s="813"/>
      <c r="F46" s="682">
        <v>8.6999999999999993</v>
      </c>
      <c r="G46" s="813"/>
      <c r="H46" s="682">
        <v>7.5</v>
      </c>
      <c r="I46" s="813"/>
      <c r="J46" s="682">
        <v>7.5</v>
      </c>
      <c r="K46" s="1535"/>
      <c r="L46" s="682">
        <v>7.3999999999999986</v>
      </c>
      <c r="M46" s="1535"/>
      <c r="N46" s="682">
        <v>7.6999999999999993</v>
      </c>
      <c r="O46" s="1535"/>
      <c r="P46" s="1788">
        <f t="shared" si="0"/>
        <v>7.4999999999999964</v>
      </c>
      <c r="Q46" s="1997"/>
      <c r="R46" s="1788"/>
      <c r="S46" s="1997"/>
      <c r="T46" s="1788"/>
      <c r="U46" s="1997"/>
      <c r="V46" s="1788"/>
      <c r="W46" s="1997"/>
      <c r="X46" s="1788"/>
      <c r="Y46" s="1997"/>
      <c r="Z46" s="1788"/>
      <c r="AA46" s="1998"/>
      <c r="AB46" s="1999"/>
      <c r="AC46" s="2000"/>
      <c r="AD46" s="1788">
        <v>54</v>
      </c>
      <c r="AE46" s="1999"/>
      <c r="AF46" s="2001"/>
      <c r="AG46" s="1788">
        <v>58.1</v>
      </c>
      <c r="AH46" s="1071"/>
      <c r="AI46" s="65"/>
      <c r="AJ46" s="1022">
        <f t="shared" si="1"/>
        <v>-4.0999999999999996</v>
      </c>
      <c r="AK46" s="1022"/>
      <c r="AL46" s="1723">
        <f t="shared" si="4"/>
        <v>-7.0999999999999994E-2</v>
      </c>
    </row>
    <row r="47" spans="1:38" ht="15" customHeight="1">
      <c r="A47" s="147"/>
      <c r="B47" s="890" t="s">
        <v>1071</v>
      </c>
      <c r="C47" s="31"/>
      <c r="D47" s="682">
        <v>0</v>
      </c>
      <c r="E47" s="813"/>
      <c r="F47" s="682">
        <v>0</v>
      </c>
      <c r="G47" s="813"/>
      <c r="H47" s="682">
        <v>0</v>
      </c>
      <c r="I47" s="813"/>
      <c r="J47" s="682">
        <v>0</v>
      </c>
      <c r="K47" s="1535"/>
      <c r="L47" s="682">
        <v>0</v>
      </c>
      <c r="M47" s="1535"/>
      <c r="N47" s="682">
        <v>0</v>
      </c>
      <c r="O47" s="1535"/>
      <c r="P47" s="1788">
        <f t="shared" si="0"/>
        <v>0</v>
      </c>
      <c r="Q47" s="1997"/>
      <c r="R47" s="1788"/>
      <c r="S47" s="1997"/>
      <c r="T47" s="1788"/>
      <c r="U47" s="1997"/>
      <c r="V47" s="1788"/>
      <c r="W47" s="1997"/>
      <c r="X47" s="1788"/>
      <c r="Y47" s="1997"/>
      <c r="Z47" s="1788"/>
      <c r="AA47" s="1998"/>
      <c r="AB47" s="1999"/>
      <c r="AC47" s="2000"/>
      <c r="AD47" s="1788">
        <v>0</v>
      </c>
      <c r="AE47" s="1999"/>
      <c r="AF47" s="2001"/>
      <c r="AG47" s="1788">
        <v>0</v>
      </c>
      <c r="AH47" s="272"/>
      <c r="AI47" s="54"/>
      <c r="AJ47" s="941">
        <f t="shared" si="1"/>
        <v>0</v>
      </c>
      <c r="AK47" s="941"/>
      <c r="AL47" s="1436">
        <f t="shared" si="4"/>
        <v>0</v>
      </c>
    </row>
    <row r="48" spans="1:38" ht="15" customHeight="1">
      <c r="A48" s="147"/>
      <c r="B48" s="890" t="s">
        <v>1072</v>
      </c>
      <c r="C48" s="31"/>
      <c r="D48" s="682">
        <v>0</v>
      </c>
      <c r="E48" s="813"/>
      <c r="F48" s="682">
        <v>0</v>
      </c>
      <c r="G48" s="813"/>
      <c r="H48" s="682">
        <v>0</v>
      </c>
      <c r="I48" s="813"/>
      <c r="J48" s="682">
        <v>0</v>
      </c>
      <c r="K48" s="1535"/>
      <c r="L48" s="682">
        <v>0</v>
      </c>
      <c r="M48" s="1535"/>
      <c r="N48" s="682">
        <v>0</v>
      </c>
      <c r="O48" s="1535"/>
      <c r="P48" s="1788">
        <f t="shared" si="0"/>
        <v>0</v>
      </c>
      <c r="Q48" s="1997"/>
      <c r="R48" s="1788"/>
      <c r="S48" s="1997"/>
      <c r="T48" s="1788"/>
      <c r="U48" s="1997"/>
      <c r="V48" s="1788"/>
      <c r="W48" s="1997"/>
      <c r="X48" s="1788"/>
      <c r="Y48" s="1997"/>
      <c r="Z48" s="1788"/>
      <c r="AA48" s="1998"/>
      <c r="AB48" s="1999"/>
      <c r="AC48" s="2000"/>
      <c r="AD48" s="1788">
        <v>0</v>
      </c>
      <c r="AE48" s="1999"/>
      <c r="AF48" s="2001"/>
      <c r="AG48" s="1788">
        <v>0</v>
      </c>
      <c r="AH48" s="272"/>
      <c r="AI48" s="54"/>
      <c r="AJ48" s="941">
        <f t="shared" si="1"/>
        <v>0</v>
      </c>
      <c r="AK48" s="941"/>
      <c r="AL48" s="1436">
        <f t="shared" si="4"/>
        <v>0</v>
      </c>
    </row>
    <row r="49" spans="1:38" s="885" customFormat="1" ht="15" customHeight="1">
      <c r="A49" s="1068"/>
      <c r="B49" s="890" t="s">
        <v>1073</v>
      </c>
      <c r="C49" s="104"/>
      <c r="D49" s="682">
        <v>0.3</v>
      </c>
      <c r="E49" s="813"/>
      <c r="F49" s="682">
        <v>0.3</v>
      </c>
      <c r="G49" s="813"/>
      <c r="H49" s="682">
        <v>0</v>
      </c>
      <c r="I49" s="813"/>
      <c r="J49" s="682">
        <v>0.10000000000000009</v>
      </c>
      <c r="K49" s="1535"/>
      <c r="L49" s="682">
        <v>0.59999999999999987</v>
      </c>
      <c r="M49" s="1535"/>
      <c r="N49" s="682">
        <v>-0.10000000000000009</v>
      </c>
      <c r="O49" s="1535"/>
      <c r="P49" s="1788">
        <f t="shared" si="0"/>
        <v>0.10000000000000009</v>
      </c>
      <c r="Q49" s="1997"/>
      <c r="R49" s="1788"/>
      <c r="S49" s="1997"/>
      <c r="T49" s="1788"/>
      <c r="U49" s="1997"/>
      <c r="V49" s="1788"/>
      <c r="W49" s="1997"/>
      <c r="X49" s="1788"/>
      <c r="Y49" s="1997"/>
      <c r="Z49" s="1788"/>
      <c r="AA49" s="1998"/>
      <c r="AB49" s="1999"/>
      <c r="AC49" s="2000"/>
      <c r="AD49" s="1788">
        <v>1.3</v>
      </c>
      <c r="AE49" s="1999"/>
      <c r="AF49" s="2001"/>
      <c r="AG49" s="1788">
        <v>0.7</v>
      </c>
      <c r="AH49" s="1071"/>
      <c r="AI49" s="65"/>
      <c r="AJ49" s="1022">
        <f t="shared" si="1"/>
        <v>0.6</v>
      </c>
      <c r="AK49" s="1022"/>
      <c r="AL49" s="1723">
        <f>ROUND(IF(AG49=0,1,AJ49/ABS(AG49)),3)</f>
        <v>0.85699999999999998</v>
      </c>
    </row>
    <row r="50" spans="1:38" s="885" customFormat="1" ht="15" customHeight="1">
      <c r="A50" s="1068"/>
      <c r="B50" s="890" t="s">
        <v>1045</v>
      </c>
      <c r="C50" s="104"/>
      <c r="D50" s="682">
        <v>0</v>
      </c>
      <c r="E50" s="813"/>
      <c r="F50" s="682">
        <v>0</v>
      </c>
      <c r="G50" s="813"/>
      <c r="H50" s="682">
        <v>0</v>
      </c>
      <c r="I50" s="813"/>
      <c r="J50" s="682">
        <v>0</v>
      </c>
      <c r="K50" s="1535"/>
      <c r="L50" s="682">
        <v>0</v>
      </c>
      <c r="M50" s="1535"/>
      <c r="N50" s="682">
        <v>0</v>
      </c>
      <c r="O50" s="1535"/>
      <c r="P50" s="1788">
        <f t="shared" si="0"/>
        <v>0</v>
      </c>
      <c r="Q50" s="1997"/>
      <c r="R50" s="1788"/>
      <c r="S50" s="1997"/>
      <c r="T50" s="1788"/>
      <c r="U50" s="1997"/>
      <c r="V50" s="1788"/>
      <c r="W50" s="1997"/>
      <c r="X50" s="1788"/>
      <c r="Y50" s="1997"/>
      <c r="Z50" s="1788"/>
      <c r="AA50" s="1998"/>
      <c r="AB50" s="1999"/>
      <c r="AC50" s="2000"/>
      <c r="AD50" s="1788">
        <v>0</v>
      </c>
      <c r="AE50" s="1999"/>
      <c r="AF50" s="2001"/>
      <c r="AG50" s="1788">
        <v>0</v>
      </c>
      <c r="AH50" s="1071"/>
      <c r="AI50" s="65"/>
      <c r="AJ50" s="1022">
        <f t="shared" si="1"/>
        <v>0</v>
      </c>
      <c r="AK50" s="1022"/>
      <c r="AL50" s="1723">
        <f>ROUND(IF(AG50=0,0,AJ50/ABS(AG50)),3)</f>
        <v>0</v>
      </c>
    </row>
    <row r="51" spans="1:38" s="885" customFormat="1" ht="15" customHeight="1">
      <c r="A51" s="1068"/>
      <c r="B51" s="890" t="s">
        <v>1046</v>
      </c>
      <c r="C51" s="104"/>
      <c r="D51" s="682">
        <v>0</v>
      </c>
      <c r="E51" s="813"/>
      <c r="F51" s="682">
        <v>0</v>
      </c>
      <c r="G51" s="813"/>
      <c r="H51" s="682">
        <v>0</v>
      </c>
      <c r="I51" s="813"/>
      <c r="J51" s="682">
        <v>0</v>
      </c>
      <c r="K51" s="1535"/>
      <c r="L51" s="682">
        <v>0</v>
      </c>
      <c r="M51" s="1535"/>
      <c r="N51" s="682">
        <v>0</v>
      </c>
      <c r="O51" s="1535"/>
      <c r="P51" s="1788">
        <f t="shared" si="0"/>
        <v>0</v>
      </c>
      <c r="Q51" s="1997"/>
      <c r="R51" s="1788"/>
      <c r="S51" s="1997"/>
      <c r="T51" s="1788"/>
      <c r="U51" s="1997"/>
      <c r="V51" s="1788"/>
      <c r="W51" s="1997"/>
      <c r="X51" s="1788"/>
      <c r="Y51" s="1997"/>
      <c r="Z51" s="1788"/>
      <c r="AA51" s="1998"/>
      <c r="AB51" s="1999"/>
      <c r="AC51" s="2000"/>
      <c r="AD51" s="1788">
        <v>0</v>
      </c>
      <c r="AE51" s="1999"/>
      <c r="AF51" s="2001"/>
      <c r="AG51" s="1788">
        <v>0</v>
      </c>
      <c r="AH51" s="1071"/>
      <c r="AI51" s="65"/>
      <c r="AJ51" s="1022">
        <f t="shared" si="1"/>
        <v>0</v>
      </c>
      <c r="AK51" s="1022"/>
      <c r="AL51" s="1723">
        <f>ROUND(IF(AG51=0,0,AJ51/ABS(AG51)),3)</f>
        <v>0</v>
      </c>
    </row>
    <row r="52" spans="1:38" s="885" customFormat="1" ht="15" customHeight="1">
      <c r="A52" s="1068"/>
      <c r="B52" s="307" t="s">
        <v>1178</v>
      </c>
      <c r="C52" s="104"/>
      <c r="D52" s="1072">
        <f>ROUND(SUM(D19:D51),1)</f>
        <v>15.3</v>
      </c>
      <c r="E52" s="889"/>
      <c r="F52" s="1072">
        <f>ROUND(SUM(F19:F51),1)</f>
        <v>53.7</v>
      </c>
      <c r="G52" s="889"/>
      <c r="H52" s="1072">
        <f>ROUND(SUM(H19:H51),1)</f>
        <v>9.3000000000000007</v>
      </c>
      <c r="I52" s="889"/>
      <c r="J52" s="1072">
        <f>ROUND(SUM(J19:J51),1)</f>
        <v>10.4</v>
      </c>
      <c r="K52" s="137"/>
      <c r="L52" s="1072">
        <f>ROUND(SUM(L19:L51),1)</f>
        <v>17</v>
      </c>
      <c r="M52" s="137"/>
      <c r="N52" s="1072">
        <f>ROUND(SUM(N19:N51),1)</f>
        <v>8.8000000000000007</v>
      </c>
      <c r="O52" s="137"/>
      <c r="P52" s="2002">
        <f>ROUND(SUM(P19:P51),1)</f>
        <v>9.9</v>
      </c>
      <c r="Q52" s="1990"/>
      <c r="R52" s="2002">
        <f>ROUND(SUM(R19:R51),1)</f>
        <v>0</v>
      </c>
      <c r="S52" s="1990"/>
      <c r="T52" s="2002">
        <f>ROUND(SUM(T19:T51),1)</f>
        <v>0</v>
      </c>
      <c r="U52" s="1990"/>
      <c r="V52" s="2002">
        <f>ROUND(SUM(V19:V51),1)</f>
        <v>0</v>
      </c>
      <c r="W52" s="1994"/>
      <c r="X52" s="2002">
        <f>ROUND(SUM(X19:X51),1)</f>
        <v>0</v>
      </c>
      <c r="Y52" s="1994"/>
      <c r="Z52" s="2002">
        <f>ROUND(SUM(Z19:Z51),1)</f>
        <v>0</v>
      </c>
      <c r="AA52" s="2003"/>
      <c r="AB52" s="1990"/>
      <c r="AC52" s="1995"/>
      <c r="AD52" s="2002">
        <f>ROUND(SUM(AD19:AD51),1)</f>
        <v>124.4</v>
      </c>
      <c r="AE52" s="1994"/>
      <c r="AF52" s="1996"/>
      <c r="AG52" s="2002">
        <f>ROUND(SUM(AG19:AG51),1)</f>
        <v>138.9</v>
      </c>
      <c r="AH52" s="1071"/>
      <c r="AI52" s="65"/>
      <c r="AJ52" s="1072">
        <f>ROUND(SUM(AJ19:AJ51),1)</f>
        <v>-14.5</v>
      </c>
      <c r="AK52" s="1022"/>
      <c r="AL52" s="1448">
        <f>ROUND(SUM((AD52-AG52)/ABS(AG52)),3)</f>
        <v>-0.104</v>
      </c>
    </row>
    <row r="53" spans="1:38" s="885" customFormat="1" ht="15" customHeight="1">
      <c r="A53" s="1068"/>
      <c r="B53" s="890"/>
      <c r="C53" s="104"/>
      <c r="D53" s="682"/>
      <c r="E53" s="889"/>
      <c r="F53" s="1120"/>
      <c r="G53" s="889"/>
      <c r="H53" s="893"/>
      <c r="I53" s="889"/>
      <c r="J53" s="893"/>
      <c r="K53" s="137"/>
      <c r="L53" s="115"/>
      <c r="M53" s="137"/>
      <c r="N53" s="115"/>
      <c r="O53" s="137"/>
      <c r="P53" s="1989"/>
      <c r="Q53" s="1990"/>
      <c r="R53" s="1991"/>
      <c r="S53" s="1990"/>
      <c r="T53" s="1992"/>
      <c r="U53" s="1990"/>
      <c r="V53" s="1993"/>
      <c r="W53" s="1994"/>
      <c r="X53" s="1993"/>
      <c r="Y53" s="1994"/>
      <c r="Z53" s="1993"/>
      <c r="AA53" s="1993"/>
      <c r="AB53" s="1990"/>
      <c r="AC53" s="1995"/>
      <c r="AD53" s="1994"/>
      <c r="AE53" s="1994"/>
      <c r="AF53" s="1996"/>
      <c r="AG53" s="1994"/>
      <c r="AH53" s="1071"/>
      <c r="AI53" s="65"/>
      <c r="AJ53" s="1022"/>
      <c r="AK53" s="1022"/>
      <c r="AL53" s="1446"/>
    </row>
    <row r="54" spans="1:38" ht="15" customHeight="1">
      <c r="A54" s="147"/>
      <c r="B54" s="277" t="s">
        <v>149</v>
      </c>
      <c r="C54" s="31"/>
      <c r="D54" s="682">
        <v>10777.4</v>
      </c>
      <c r="E54" s="813"/>
      <c r="F54" s="682">
        <v>4104.3</v>
      </c>
      <c r="G54" s="813"/>
      <c r="H54" s="682">
        <v>7348.2</v>
      </c>
      <c r="I54" s="813"/>
      <c r="J54" s="682">
        <v>5218.199999999998</v>
      </c>
      <c r="K54" s="1535"/>
      <c r="L54" s="682">
        <v>4401.9999999999991</v>
      </c>
      <c r="M54" s="1535"/>
      <c r="N54" s="682">
        <v>9909</v>
      </c>
      <c r="O54" s="1535"/>
      <c r="P54" s="682">
        <f>$AD54-$D54-$F54-$H54-$J54-$L54-$N54</f>
        <v>7428.5999999999949</v>
      </c>
      <c r="Q54" s="1997"/>
      <c r="R54" s="1788"/>
      <c r="S54" s="1997"/>
      <c r="T54" s="1788"/>
      <c r="U54" s="1997"/>
      <c r="V54" s="1788"/>
      <c r="W54" s="1997"/>
      <c r="X54" s="1788"/>
      <c r="Y54" s="1997"/>
      <c r="Z54" s="1788"/>
      <c r="AA54" s="1998"/>
      <c r="AB54" s="1999"/>
      <c r="AC54" s="2000"/>
      <c r="AD54" s="1788">
        <v>49187.7</v>
      </c>
      <c r="AE54" s="1999"/>
      <c r="AF54" s="2001"/>
      <c r="AG54" s="1788">
        <v>36517.4</v>
      </c>
      <c r="AH54" s="272"/>
      <c r="AI54" s="54"/>
      <c r="AJ54" s="941">
        <f>ROUND(SUM(+AD54-AG54),1)</f>
        <v>12670.3</v>
      </c>
      <c r="AK54" s="941"/>
      <c r="AL54" s="1449">
        <f>ROUND(SUM((AD54-AG54)/ABS(AG54)),3)</f>
        <v>0.34699999999999998</v>
      </c>
    </row>
    <row r="55" spans="1:38" ht="15" customHeight="1">
      <c r="A55" s="147"/>
      <c r="B55" s="31"/>
      <c r="C55" s="31"/>
      <c r="D55" s="1839"/>
      <c r="E55" s="813"/>
      <c r="F55" s="3727"/>
      <c r="G55" s="813"/>
      <c r="H55" s="1839"/>
      <c r="I55" s="813"/>
      <c r="J55" s="1839"/>
      <c r="K55" s="162"/>
      <c r="L55" s="165"/>
      <c r="M55" s="162"/>
      <c r="N55" s="165"/>
      <c r="O55" s="162"/>
      <c r="P55" s="1465"/>
      <c r="Q55" s="1461"/>
      <c r="R55" s="1465"/>
      <c r="S55" s="1461"/>
      <c r="T55" s="2004"/>
      <c r="U55" s="1461"/>
      <c r="V55" s="2004"/>
      <c r="W55" s="2005"/>
      <c r="X55" s="2004"/>
      <c r="Y55" s="2005"/>
      <c r="Z55" s="2004"/>
      <c r="AA55" s="2006"/>
      <c r="AB55" s="1461"/>
      <c r="AC55" s="2007"/>
      <c r="AD55" s="2050"/>
      <c r="AE55" s="1976"/>
      <c r="AF55" s="1996"/>
      <c r="AG55" s="2050"/>
      <c r="AH55" s="272"/>
      <c r="AI55" s="54"/>
      <c r="AJ55" s="1408"/>
      <c r="AK55" s="1409"/>
      <c r="AL55" s="1450"/>
    </row>
    <row r="56" spans="1:38" ht="15" customHeight="1">
      <c r="A56" s="147"/>
      <c r="B56" s="29" t="s">
        <v>150</v>
      </c>
      <c r="C56" s="31"/>
      <c r="D56" s="920">
        <f>ROUND(SUM(+D52+D54),2)</f>
        <v>10792.7</v>
      </c>
      <c r="E56" s="204"/>
      <c r="F56" s="109">
        <f>ROUND(SUM(+F52+F54),2)</f>
        <v>4158</v>
      </c>
      <c r="G56" s="204"/>
      <c r="H56" s="920">
        <f>ROUND(SUM(+H52+H54),2)</f>
        <v>7357.5</v>
      </c>
      <c r="I56" s="204"/>
      <c r="J56" s="920">
        <f>ROUND(SUM(+J52+J54),2)</f>
        <v>5228.6000000000004</v>
      </c>
      <c r="K56" s="204"/>
      <c r="L56" s="920">
        <f>ROUND(SUM(+L52+L54),2)</f>
        <v>4419</v>
      </c>
      <c r="M56" s="204"/>
      <c r="N56" s="920">
        <f>ROUND(SUM(+N52+N54),2)</f>
        <v>9917.7999999999993</v>
      </c>
      <c r="O56" s="204"/>
      <c r="P56" s="1459">
        <f>ROUND(SUM(+P52+P54),2)</f>
        <v>7438.5</v>
      </c>
      <c r="Q56" s="2009"/>
      <c r="R56" s="1459">
        <f>ROUND(SUM(+R52+R54),2)</f>
        <v>0</v>
      </c>
      <c r="S56" s="2009"/>
      <c r="T56" s="1459">
        <f>ROUND(SUM(+T52+T54),2)</f>
        <v>0</v>
      </c>
      <c r="U56" s="2009"/>
      <c r="V56" s="1459">
        <f>ROUND(SUM(+V52+V54),2)</f>
        <v>0</v>
      </c>
      <c r="W56" s="1459"/>
      <c r="X56" s="1459">
        <f>ROUND(SUM(+X52+X54),2)</f>
        <v>0</v>
      </c>
      <c r="Y56" s="1459"/>
      <c r="Z56" s="1459">
        <f>ROUND(SUM(+Z52+Z54),2)</f>
        <v>0</v>
      </c>
      <c r="AA56" s="1459"/>
      <c r="AB56" s="2009"/>
      <c r="AC56" s="2010"/>
      <c r="AD56" s="2049">
        <f>ROUND(SUM(+AD52+AD54),1)</f>
        <v>49312.1</v>
      </c>
      <c r="AE56" s="1460"/>
      <c r="AF56" s="3158"/>
      <c r="AG56" s="2049">
        <f>ROUND(SUM(+AG52+AG54),1)</f>
        <v>36656.300000000003</v>
      </c>
      <c r="AH56" s="279"/>
      <c r="AI56" s="74"/>
      <c r="AJ56" s="827">
        <f>ROUND(SUM(+AJ52+AJ54),1)</f>
        <v>12655.8</v>
      </c>
      <c r="AK56" s="281"/>
      <c r="AL56" s="1451">
        <f>ROUND(SUM((AD56-AG56)/ABS(AG56)),3)</f>
        <v>0.34499999999999997</v>
      </c>
    </row>
    <row r="57" spans="1:38" ht="15" customHeight="1">
      <c r="A57" s="147"/>
      <c r="B57" s="31"/>
      <c r="C57" s="31"/>
      <c r="D57" s="1839"/>
      <c r="E57" s="813"/>
      <c r="F57" s="1040"/>
      <c r="G57" s="813"/>
      <c r="H57" s="686"/>
      <c r="I57" s="813"/>
      <c r="J57" s="686"/>
      <c r="K57" s="162"/>
      <c r="L57" s="86"/>
      <c r="M57" s="162"/>
      <c r="N57" s="86"/>
      <c r="O57" s="162"/>
      <c r="P57" s="2004"/>
      <c r="Q57" s="1461"/>
      <c r="R57" s="2004"/>
      <c r="S57" s="1461"/>
      <c r="T57" s="2004"/>
      <c r="U57" s="1461"/>
      <c r="V57" s="2050"/>
      <c r="W57" s="1994"/>
      <c r="X57" s="2050"/>
      <c r="Y57" s="1994"/>
      <c r="Z57" s="2050"/>
      <c r="AA57" s="1976"/>
      <c r="AB57" s="1990"/>
      <c r="AC57" s="1995"/>
      <c r="AD57" s="2169"/>
      <c r="AE57" s="2017"/>
      <c r="AF57" s="3184"/>
      <c r="AG57" s="2169"/>
      <c r="AH57" s="1808"/>
      <c r="AI57" s="1087"/>
      <c r="AJ57" s="1809"/>
      <c r="AK57" s="1809"/>
      <c r="AL57" s="1810"/>
    </row>
    <row r="58" spans="1:38" ht="15" customHeight="1">
      <c r="A58" s="147"/>
      <c r="B58" s="170" t="s">
        <v>23</v>
      </c>
      <c r="C58" s="31"/>
      <c r="D58" s="813"/>
      <c r="E58" s="813"/>
      <c r="F58" s="893"/>
      <c r="G58" s="813"/>
      <c r="H58" s="1529"/>
      <c r="I58" s="813"/>
      <c r="J58" s="1529"/>
      <c r="K58" s="162"/>
      <c r="L58" s="64"/>
      <c r="M58" s="162"/>
      <c r="N58" s="64"/>
      <c r="O58" s="162"/>
      <c r="P58" s="2005"/>
      <c r="Q58" s="1461"/>
      <c r="R58" s="2005"/>
      <c r="S58" s="1461"/>
      <c r="T58" s="2005"/>
      <c r="U58" s="1461"/>
      <c r="V58" s="1994"/>
      <c r="W58" s="1994"/>
      <c r="X58" s="1994"/>
      <c r="Y58" s="1994"/>
      <c r="Z58" s="1994"/>
      <c r="AA58" s="1994"/>
      <c r="AB58" s="1990"/>
      <c r="AC58" s="1995"/>
      <c r="AD58" s="1990"/>
      <c r="AE58" s="2017"/>
      <c r="AF58" s="3184"/>
      <c r="AG58" s="1990"/>
      <c r="AH58" s="1808"/>
      <c r="AI58" s="1087"/>
      <c r="AJ58" s="1809"/>
      <c r="AK58" s="1809"/>
      <c r="AL58" s="1810"/>
    </row>
    <row r="59" spans="1:38" ht="15" customHeight="1">
      <c r="A59" s="147"/>
      <c r="B59" s="688" t="s">
        <v>151</v>
      </c>
      <c r="C59" s="31"/>
      <c r="D59" s="679"/>
      <c r="E59" s="813"/>
      <c r="F59" s="682"/>
      <c r="G59" s="813"/>
      <c r="H59" s="682"/>
      <c r="I59" s="813"/>
      <c r="J59" s="682"/>
      <c r="K59" s="162"/>
      <c r="L59" s="116"/>
      <c r="M59" s="162"/>
      <c r="N59" s="116"/>
      <c r="O59" s="162"/>
      <c r="P59" s="2013"/>
      <c r="Q59" s="1461"/>
      <c r="R59" s="2014"/>
      <c r="S59" s="1461"/>
      <c r="T59" s="2014"/>
      <c r="U59" s="1461"/>
      <c r="V59" s="1994"/>
      <c r="W59" s="1994"/>
      <c r="X59" s="1994"/>
      <c r="Y59" s="1994"/>
      <c r="Z59" s="1994"/>
      <c r="AA59" s="1994"/>
      <c r="AB59" s="1990"/>
      <c r="AC59" s="1995"/>
      <c r="AD59" s="1990"/>
      <c r="AE59" s="2017"/>
      <c r="AF59" s="3184"/>
      <c r="AG59" s="1990"/>
      <c r="AH59" s="1808"/>
      <c r="AI59" s="1087"/>
      <c r="AJ59" s="1796"/>
      <c r="AK59" s="1809"/>
      <c r="AL59" s="1814"/>
    </row>
    <row r="60" spans="1:38" s="885" customFormat="1" ht="15" customHeight="1">
      <c r="A60" s="1068"/>
      <c r="B60" s="1812" t="s">
        <v>25</v>
      </c>
      <c r="C60" s="104"/>
      <c r="D60" s="682">
        <v>382.9</v>
      </c>
      <c r="E60" s="813"/>
      <c r="F60" s="682">
        <v>67.599999999999994</v>
      </c>
      <c r="G60" s="813"/>
      <c r="H60" s="682">
        <v>550.9</v>
      </c>
      <c r="I60" s="813"/>
      <c r="J60" s="682">
        <v>234.60000000000002</v>
      </c>
      <c r="K60" s="1535"/>
      <c r="L60" s="682">
        <v>213.30000000000007</v>
      </c>
      <c r="M60" s="1535"/>
      <c r="N60" s="682">
        <v>294.10000000000002</v>
      </c>
      <c r="O60" s="682"/>
      <c r="P60" s="682">
        <f>$AD60-$D60-$F60-$H60-$J60-$L60-$N60</f>
        <v>130.30000000000018</v>
      </c>
      <c r="Q60" s="1997"/>
      <c r="R60" s="1788"/>
      <c r="S60" s="1997"/>
      <c r="T60" s="1788"/>
      <c r="U60" s="1997"/>
      <c r="V60" s="1788"/>
      <c r="W60" s="1997"/>
      <c r="X60" s="1788"/>
      <c r="Y60" s="1997"/>
      <c r="Z60" s="1788"/>
      <c r="AA60" s="1998"/>
      <c r="AB60" s="1999"/>
      <c r="AC60" s="2000"/>
      <c r="AD60" s="1788">
        <v>1873.7</v>
      </c>
      <c r="AE60" s="1999"/>
      <c r="AF60" s="2001"/>
      <c r="AG60" s="1788">
        <v>2104.5</v>
      </c>
      <c r="AH60" s="1071"/>
      <c r="AI60" s="65"/>
      <c r="AJ60" s="893">
        <f>ROUND(SUM(+AD60-AG60),1)</f>
        <v>-230.8</v>
      </c>
      <c r="AK60" s="893"/>
      <c r="AL60" s="1723">
        <f>ROUND(IF(AG60=0,0,AJ60/ABS(AG60)),3)</f>
        <v>-0.11</v>
      </c>
    </row>
    <row r="61" spans="1:38" ht="15" customHeight="1">
      <c r="A61" s="147"/>
      <c r="B61" s="176" t="s">
        <v>26</v>
      </c>
      <c r="C61" s="31"/>
      <c r="D61" s="682">
        <v>0</v>
      </c>
      <c r="E61" s="813"/>
      <c r="F61" s="682">
        <v>0.2</v>
      </c>
      <c r="G61" s="813"/>
      <c r="H61" s="682">
        <v>0</v>
      </c>
      <c r="I61" s="813"/>
      <c r="J61" s="682">
        <v>9.9999999999999978E-2</v>
      </c>
      <c r="K61" s="1535"/>
      <c r="L61" s="682">
        <v>0.10000000000000003</v>
      </c>
      <c r="M61" s="1535"/>
      <c r="N61" s="682">
        <v>-0.10000000000000003</v>
      </c>
      <c r="O61" s="1535"/>
      <c r="P61" s="682">
        <f t="shared" ref="P61:P69" si="5">$AD61-$D61-$F61-$H61-$J61-$L61-$N61</f>
        <v>0.10000000000000003</v>
      </c>
      <c r="Q61" s="1997"/>
      <c r="R61" s="1788"/>
      <c r="S61" s="1997"/>
      <c r="T61" s="1788"/>
      <c r="U61" s="1997"/>
      <c r="V61" s="1788"/>
      <c r="W61" s="1997"/>
      <c r="X61" s="1788"/>
      <c r="Y61" s="1997"/>
      <c r="Z61" s="1788"/>
      <c r="AA61" s="1998"/>
      <c r="AB61" s="1999"/>
      <c r="AC61" s="2000"/>
      <c r="AD61" s="1788">
        <v>0.4</v>
      </c>
      <c r="AE61" s="1999"/>
      <c r="AF61" s="2001"/>
      <c r="AG61" s="1788">
        <v>0.7</v>
      </c>
      <c r="AH61" s="1071"/>
      <c r="AI61" s="65"/>
      <c r="AJ61" s="893">
        <f>ROUND(SUM(+AD61-AG61),1)</f>
        <v>-0.3</v>
      </c>
      <c r="AK61" s="893"/>
      <c r="AL61" s="1828">
        <f>ROUND(IF(AG61=0,1,AJ61/ABS(AG61)),3)</f>
        <v>-0.42899999999999999</v>
      </c>
    </row>
    <row r="62" spans="1:38" s="885" customFormat="1" ht="15" customHeight="1">
      <c r="A62" s="1068"/>
      <c r="B62" s="1812" t="s">
        <v>27</v>
      </c>
      <c r="C62" s="104"/>
      <c r="D62" s="682">
        <v>2</v>
      </c>
      <c r="E62" s="813"/>
      <c r="F62" s="682">
        <v>2.2000000000000002</v>
      </c>
      <c r="G62" s="813"/>
      <c r="H62" s="682">
        <v>2.2000000000000002</v>
      </c>
      <c r="I62" s="813"/>
      <c r="J62" s="682">
        <v>11</v>
      </c>
      <c r="K62" s="1535"/>
      <c r="L62" s="682">
        <v>6.4000000000000021</v>
      </c>
      <c r="M62" s="1535"/>
      <c r="N62" s="682">
        <v>3856.0000000000005</v>
      </c>
      <c r="O62" s="1535"/>
      <c r="P62" s="682">
        <f t="shared" si="5"/>
        <v>154.29999999999973</v>
      </c>
      <c r="Q62" s="1997"/>
      <c r="R62" s="1788"/>
      <c r="S62" s="1997"/>
      <c r="T62" s="1788"/>
      <c r="U62" s="1997"/>
      <c r="V62" s="1788"/>
      <c r="W62" s="1997"/>
      <c r="X62" s="1788"/>
      <c r="Y62" s="1997"/>
      <c r="Z62" s="1788"/>
      <c r="AA62" s="1998"/>
      <c r="AB62" s="1999"/>
      <c r="AC62" s="2000"/>
      <c r="AD62" s="1788">
        <v>4034.1</v>
      </c>
      <c r="AE62" s="1999"/>
      <c r="AF62" s="2001"/>
      <c r="AG62" s="1788">
        <v>31.3</v>
      </c>
      <c r="AH62" s="1071"/>
      <c r="AI62" s="65"/>
      <c r="AJ62" s="893">
        <f>ROUND(SUM(+AD62-AG62),1)</f>
        <v>4002.8</v>
      </c>
      <c r="AK62" s="893"/>
      <c r="AL62" s="3811">
        <f>ROUND(IF(AG62=0,0,AJ62/ABS(AG62)),3)</f>
        <v>127.88500000000001</v>
      </c>
    </row>
    <row r="63" spans="1:38" s="885" customFormat="1" ht="15" customHeight="1">
      <c r="A63" s="1068"/>
      <c r="B63" s="1812" t="s">
        <v>28</v>
      </c>
      <c r="C63" s="104"/>
      <c r="D63" s="682" t="s">
        <v>15</v>
      </c>
      <c r="E63" s="813"/>
      <c r="F63" s="682"/>
      <c r="G63" s="813"/>
      <c r="H63" s="682"/>
      <c r="I63" s="813"/>
      <c r="J63" s="682"/>
      <c r="K63" s="1535"/>
      <c r="L63" s="682"/>
      <c r="M63" s="1535"/>
      <c r="N63" s="682"/>
      <c r="O63" s="1535"/>
      <c r="P63" s="682"/>
      <c r="Q63" s="1997"/>
      <c r="R63" s="1788"/>
      <c r="S63" s="1997"/>
      <c r="T63" s="1788"/>
      <c r="U63" s="1997"/>
      <c r="V63" s="1788"/>
      <c r="W63" s="1997"/>
      <c r="X63" s="1788"/>
      <c r="Y63" s="1997"/>
      <c r="Z63" s="1788"/>
      <c r="AA63" s="1998"/>
      <c r="AB63" s="1999"/>
      <c r="AC63" s="2000"/>
      <c r="AD63" s="1788"/>
      <c r="AE63" s="1999"/>
      <c r="AF63" s="2001"/>
      <c r="AG63" s="1788"/>
      <c r="AH63" s="1071"/>
      <c r="AI63" s="65"/>
      <c r="AJ63" s="682"/>
      <c r="AK63" s="1796"/>
      <c r="AL63" s="1814"/>
    </row>
    <row r="64" spans="1:38" s="885" customFormat="1" ht="15" customHeight="1">
      <c r="A64" s="1068"/>
      <c r="B64" s="1813" t="s">
        <v>29</v>
      </c>
      <c r="C64" s="104"/>
      <c r="D64" s="682">
        <v>4652.6000000000004</v>
      </c>
      <c r="E64" s="813"/>
      <c r="F64" s="682">
        <v>3341.8</v>
      </c>
      <c r="G64" s="813"/>
      <c r="H64" s="682">
        <v>3585.0999999999995</v>
      </c>
      <c r="I64" s="813"/>
      <c r="J64" s="682">
        <v>3313.7000000000007</v>
      </c>
      <c r="K64" s="1535"/>
      <c r="L64" s="682">
        <v>3436.2999999999984</v>
      </c>
      <c r="M64" s="1535"/>
      <c r="N64" s="682">
        <v>4869.1000000000031</v>
      </c>
      <c r="O64" s="1535"/>
      <c r="P64" s="682">
        <f t="shared" si="5"/>
        <v>2869.5999999999985</v>
      </c>
      <c r="Q64" s="1997"/>
      <c r="R64" s="1788"/>
      <c r="S64" s="1997"/>
      <c r="T64" s="1788"/>
      <c r="U64" s="1997"/>
      <c r="V64" s="1788"/>
      <c r="W64" s="1997"/>
      <c r="X64" s="1788"/>
      <c r="Y64" s="1997"/>
      <c r="Z64" s="1788"/>
      <c r="AA64" s="1998"/>
      <c r="AB64" s="1999"/>
      <c r="AC64" s="2000"/>
      <c r="AD64" s="1788">
        <v>26068.2</v>
      </c>
      <c r="AE64" s="1999"/>
      <c r="AF64" s="2001"/>
      <c r="AG64" s="1788">
        <v>23350.400000000001</v>
      </c>
      <c r="AH64" s="1071"/>
      <c r="AI64" s="65"/>
      <c r="AJ64" s="893">
        <f t="shared" ref="AJ64:AJ69" si="6">ROUND(SUM(+AD64-AG64),1)</f>
        <v>2717.8</v>
      </c>
      <c r="AK64" s="893"/>
      <c r="AL64" s="1723">
        <f t="shared" ref="AL64:AL69" si="7">ROUND(IF(AG64=0,0,AJ64/ABS(AG64)),3)</f>
        <v>0.11600000000000001</v>
      </c>
    </row>
    <row r="65" spans="1:38" s="885" customFormat="1" ht="15" customHeight="1">
      <c r="A65" s="1068"/>
      <c r="B65" s="1812" t="s">
        <v>30</v>
      </c>
      <c r="C65" s="104"/>
      <c r="D65" s="682">
        <v>480</v>
      </c>
      <c r="E65" s="813"/>
      <c r="F65" s="682">
        <v>507.5</v>
      </c>
      <c r="G65" s="813"/>
      <c r="H65" s="682">
        <v>642.29999999999995</v>
      </c>
      <c r="I65" s="813"/>
      <c r="J65" s="682">
        <v>503.89999999999986</v>
      </c>
      <c r="K65" s="1535"/>
      <c r="L65" s="682">
        <v>507.60000000000036</v>
      </c>
      <c r="M65" s="1535"/>
      <c r="N65" s="682">
        <v>614.69999999999982</v>
      </c>
      <c r="O65" s="1535"/>
      <c r="P65" s="682">
        <f t="shared" si="5"/>
        <v>515.29999999999995</v>
      </c>
      <c r="Q65" s="1997"/>
      <c r="R65" s="1788"/>
      <c r="S65" s="1997"/>
      <c r="T65" s="1788"/>
      <c r="U65" s="1997"/>
      <c r="V65" s="1788"/>
      <c r="W65" s="1997"/>
      <c r="X65" s="1788"/>
      <c r="Y65" s="1997"/>
      <c r="Z65" s="1788"/>
      <c r="AA65" s="1998"/>
      <c r="AB65" s="1999"/>
      <c r="AC65" s="2000"/>
      <c r="AD65" s="1788">
        <v>3771.3</v>
      </c>
      <c r="AE65" s="1999"/>
      <c r="AF65" s="2001"/>
      <c r="AG65" s="1788">
        <v>3744.9</v>
      </c>
      <c r="AH65" s="1071"/>
      <c r="AI65" s="65"/>
      <c r="AJ65" s="893">
        <f t="shared" si="6"/>
        <v>26.4</v>
      </c>
      <c r="AK65" s="893"/>
      <c r="AL65" s="1723">
        <f t="shared" si="7"/>
        <v>7.0000000000000001E-3</v>
      </c>
    </row>
    <row r="66" spans="1:38" s="885" customFormat="1" ht="15" customHeight="1">
      <c r="A66" s="1068"/>
      <c r="B66" s="1812" t="s">
        <v>31</v>
      </c>
      <c r="C66" s="104"/>
      <c r="D66" s="682">
        <v>74.400000000000006</v>
      </c>
      <c r="E66" s="813"/>
      <c r="F66" s="682">
        <v>52.5</v>
      </c>
      <c r="G66" s="813"/>
      <c r="H66" s="682">
        <v>154.99999999999997</v>
      </c>
      <c r="I66" s="813"/>
      <c r="J66" s="682">
        <v>247.4</v>
      </c>
      <c r="K66" s="1535"/>
      <c r="L66" s="682">
        <v>40.700000000000017</v>
      </c>
      <c r="M66" s="1535"/>
      <c r="N66" s="682">
        <v>115.70000000000005</v>
      </c>
      <c r="O66" s="1535"/>
      <c r="P66" s="682">
        <f t="shared" si="5"/>
        <v>617.0999999999998</v>
      </c>
      <c r="Q66" s="1997"/>
      <c r="R66" s="1788"/>
      <c r="S66" s="1997"/>
      <c r="T66" s="1788"/>
      <c r="U66" s="1997"/>
      <c r="V66" s="1788"/>
      <c r="W66" s="1997"/>
      <c r="X66" s="1788"/>
      <c r="Y66" s="1997"/>
      <c r="Z66" s="1788"/>
      <c r="AA66" s="1998"/>
      <c r="AB66" s="1999"/>
      <c r="AC66" s="2000"/>
      <c r="AD66" s="1788">
        <v>1302.8</v>
      </c>
      <c r="AE66" s="1999"/>
      <c r="AF66" s="2001"/>
      <c r="AG66" s="1788">
        <v>625.1</v>
      </c>
      <c r="AH66" s="1071"/>
      <c r="AI66" s="65"/>
      <c r="AJ66" s="893">
        <f t="shared" si="6"/>
        <v>677.7</v>
      </c>
      <c r="AK66" s="893"/>
      <c r="AL66" s="1723">
        <f t="shared" si="7"/>
        <v>1.0840000000000001</v>
      </c>
    </row>
    <row r="67" spans="1:38" s="885" customFormat="1" ht="15" customHeight="1">
      <c r="A67" s="1068"/>
      <c r="B67" s="1812" t="s">
        <v>32</v>
      </c>
      <c r="C67" s="104"/>
      <c r="D67" s="682">
        <v>134.80000000000001</v>
      </c>
      <c r="E67" s="813"/>
      <c r="F67" s="682">
        <v>25.7</v>
      </c>
      <c r="G67" s="813"/>
      <c r="H67" s="682">
        <v>253.60000000000002</v>
      </c>
      <c r="I67" s="813"/>
      <c r="J67" s="682">
        <v>201</v>
      </c>
      <c r="K67" s="1535"/>
      <c r="L67" s="682">
        <v>253.89999999999998</v>
      </c>
      <c r="M67" s="1535"/>
      <c r="N67" s="682">
        <v>950.29999999999984</v>
      </c>
      <c r="O67" s="1535"/>
      <c r="P67" s="682">
        <f t="shared" si="5"/>
        <v>384.0999999999998</v>
      </c>
      <c r="Q67" s="1997"/>
      <c r="R67" s="1788"/>
      <c r="S67" s="1997"/>
      <c r="T67" s="1788"/>
      <c r="U67" s="1997"/>
      <c r="V67" s="1788"/>
      <c r="W67" s="1997"/>
      <c r="X67" s="1788"/>
      <c r="Y67" s="1997"/>
      <c r="Z67" s="1788"/>
      <c r="AA67" s="1998"/>
      <c r="AB67" s="1999"/>
      <c r="AC67" s="2000"/>
      <c r="AD67" s="1788">
        <v>2203.4</v>
      </c>
      <c r="AE67" s="1999"/>
      <c r="AF67" s="2001"/>
      <c r="AG67" s="1788">
        <v>2600.1999999999998</v>
      </c>
      <c r="AH67" s="1071"/>
      <c r="AI67" s="65"/>
      <c r="AJ67" s="893">
        <f t="shared" si="6"/>
        <v>-396.8</v>
      </c>
      <c r="AK67" s="893"/>
      <c r="AL67" s="1723">
        <f t="shared" si="7"/>
        <v>-0.153</v>
      </c>
    </row>
    <row r="68" spans="1:38" s="885" customFormat="1" ht="15" customHeight="1">
      <c r="A68" s="1068"/>
      <c r="B68" s="1812" t="s">
        <v>33</v>
      </c>
      <c r="C68" s="104"/>
      <c r="D68" s="682">
        <v>0.3</v>
      </c>
      <c r="E68" s="813"/>
      <c r="F68" s="682">
        <v>0.3</v>
      </c>
      <c r="G68" s="813"/>
      <c r="H68" s="682">
        <v>2.1000000000000005</v>
      </c>
      <c r="I68" s="813"/>
      <c r="J68" s="682">
        <v>0.39999999999999991</v>
      </c>
      <c r="K68" s="1535"/>
      <c r="L68" s="682">
        <v>1.9</v>
      </c>
      <c r="M68" s="1535"/>
      <c r="N68" s="682">
        <v>0</v>
      </c>
      <c r="O68" s="1535"/>
      <c r="P68" s="682">
        <f t="shared" si="5"/>
        <v>1</v>
      </c>
      <c r="Q68" s="1997"/>
      <c r="R68" s="1788"/>
      <c r="S68" s="1997"/>
      <c r="T68" s="1788"/>
      <c r="U68" s="1997"/>
      <c r="V68" s="1788"/>
      <c r="W68" s="1997"/>
      <c r="X68" s="1788"/>
      <c r="Y68" s="1997"/>
      <c r="Z68" s="1788"/>
      <c r="AA68" s="1998"/>
      <c r="AB68" s="1999"/>
      <c r="AC68" s="2000"/>
      <c r="AD68" s="1789">
        <v>6</v>
      </c>
      <c r="AE68" s="1999"/>
      <c r="AF68" s="2001"/>
      <c r="AG68" s="1788">
        <v>6</v>
      </c>
      <c r="AH68" s="1071"/>
      <c r="AI68" s="65"/>
      <c r="AJ68" s="893">
        <f t="shared" si="6"/>
        <v>0</v>
      </c>
      <c r="AK68" s="893"/>
      <c r="AL68" s="1723">
        <f>ROUND(IF(AG68=0,1,AJ68/ABS(AG68)),3)</f>
        <v>0</v>
      </c>
    </row>
    <row r="69" spans="1:38" s="885" customFormat="1" ht="15" customHeight="1">
      <c r="A69" s="1068"/>
      <c r="B69" s="1812" t="s">
        <v>34</v>
      </c>
      <c r="C69" s="104"/>
      <c r="D69" s="682">
        <v>3.9</v>
      </c>
      <c r="E69" s="813"/>
      <c r="F69" s="682">
        <v>3</v>
      </c>
      <c r="G69" s="813"/>
      <c r="H69" s="682">
        <v>4.0999999999999996</v>
      </c>
      <c r="I69" s="813"/>
      <c r="J69" s="682">
        <v>7.3000000000000007</v>
      </c>
      <c r="K69" s="1535"/>
      <c r="L69" s="682">
        <v>5.0000000000000018</v>
      </c>
      <c r="M69" s="1535"/>
      <c r="N69" s="682">
        <v>5.6999999999999975</v>
      </c>
      <c r="O69" s="1535"/>
      <c r="P69" s="682">
        <f t="shared" si="5"/>
        <v>5</v>
      </c>
      <c r="Q69" s="1997"/>
      <c r="R69" s="1788"/>
      <c r="S69" s="1997"/>
      <c r="T69" s="1788"/>
      <c r="U69" s="1997"/>
      <c r="V69" s="1788"/>
      <c r="W69" s="1997"/>
      <c r="X69" s="1788"/>
      <c r="Y69" s="1997"/>
      <c r="Z69" s="1788"/>
      <c r="AA69" s="1998"/>
      <c r="AB69" s="1999"/>
      <c r="AC69" s="2000"/>
      <c r="AD69" s="1788">
        <v>34</v>
      </c>
      <c r="AE69" s="1999"/>
      <c r="AF69" s="2001"/>
      <c r="AG69" s="1788">
        <v>30.2</v>
      </c>
      <c r="AH69" s="1071"/>
      <c r="AI69" s="65"/>
      <c r="AJ69" s="893">
        <f t="shared" si="6"/>
        <v>3.8</v>
      </c>
      <c r="AK69" s="1022"/>
      <c r="AL69" s="1811">
        <f t="shared" si="7"/>
        <v>0.126</v>
      </c>
    </row>
    <row r="70" spans="1:38" ht="15" customHeight="1">
      <c r="A70" s="147"/>
      <c r="B70" s="29" t="s">
        <v>1181</v>
      </c>
      <c r="C70" s="31"/>
      <c r="D70" s="291">
        <f>ROUND(SUM(D60:D69),2)</f>
        <v>5730.9</v>
      </c>
      <c r="E70" s="204"/>
      <c r="F70" s="1094">
        <f>ROUND(SUM(F60:F69),2)</f>
        <v>4000.8</v>
      </c>
      <c r="G70" s="163"/>
      <c r="H70" s="291">
        <f>ROUND(SUM(H60:H69),2)</f>
        <v>5195.3</v>
      </c>
      <c r="I70" s="204"/>
      <c r="J70" s="291">
        <f>ROUND(SUM(J60:J69),2)</f>
        <v>4519.3999999999996</v>
      </c>
      <c r="K70" s="204"/>
      <c r="L70" s="291">
        <f>ROUND(SUM(L60:L69),2)</f>
        <v>4465.2</v>
      </c>
      <c r="M70" s="204"/>
      <c r="N70" s="291">
        <f>ROUND(SUM(N60:N69),2)</f>
        <v>10705.5</v>
      </c>
      <c r="O70" s="204"/>
      <c r="P70" s="2015">
        <f>ROUND(SUM(P60:P69),2)</f>
        <v>4676.8</v>
      </c>
      <c r="Q70" s="2009"/>
      <c r="R70" s="2015">
        <f>ROUND(SUM(R60:R69),2)</f>
        <v>0</v>
      </c>
      <c r="S70" s="2009"/>
      <c r="T70" s="2015">
        <f>ROUND(SUM(T60:T69),2)</f>
        <v>0</v>
      </c>
      <c r="U70" s="2009"/>
      <c r="V70" s="2170">
        <f>ROUND(SUM(V60:V69),2)</f>
        <v>0</v>
      </c>
      <c r="W70" s="2049"/>
      <c r="X70" s="2170">
        <f>ROUND(SUM(X60:X69),2)</f>
        <v>0</v>
      </c>
      <c r="Y70" s="2049"/>
      <c r="Z70" s="2170">
        <f>ROUND(SUM(Z60:Z69),2)</f>
        <v>0</v>
      </c>
      <c r="AA70" s="1460"/>
      <c r="AB70" s="2171"/>
      <c r="AC70" s="2172"/>
      <c r="AD70" s="2016">
        <f>ROUND(SUM(AD60:AD69),1)</f>
        <v>39293.9</v>
      </c>
      <c r="AE70" s="1460"/>
      <c r="AF70" s="3158"/>
      <c r="AG70" s="2016">
        <f>ROUND(SUM(AG60:AG69),1)</f>
        <v>32493.3</v>
      </c>
      <c r="AH70" s="1816"/>
      <c r="AI70" s="112"/>
      <c r="AJ70" s="108">
        <f>ROUND(SUM(AD70-AG70),1)</f>
        <v>6800.6</v>
      </c>
      <c r="AK70" s="2173"/>
      <c r="AL70" s="2174">
        <f>ROUND(SUM((AD70-AG70)/ABS(AG70)),3)</f>
        <v>0.20899999999999999</v>
      </c>
    </row>
    <row r="71" spans="1:38" s="885" customFormat="1" ht="15" customHeight="1">
      <c r="A71" s="1068"/>
      <c r="B71" s="104" t="s">
        <v>152</v>
      </c>
      <c r="C71" s="104"/>
      <c r="D71" s="813"/>
      <c r="E71" s="813"/>
      <c r="F71" s="893"/>
      <c r="G71" s="813"/>
      <c r="H71" s="1529"/>
      <c r="I71" s="813"/>
      <c r="J71" s="1529"/>
      <c r="K71" s="137"/>
      <c r="L71" s="115"/>
      <c r="M71" s="137"/>
      <c r="N71" s="115"/>
      <c r="O71" s="137"/>
      <c r="P71" s="1994"/>
      <c r="Q71" s="1990"/>
      <c r="R71" s="1994"/>
      <c r="S71" s="1990"/>
      <c r="T71" s="1994"/>
      <c r="U71" s="1990"/>
      <c r="V71" s="1994"/>
      <c r="W71" s="1994"/>
      <c r="X71" s="1994"/>
      <c r="Y71" s="1994"/>
      <c r="Z71" s="1994"/>
      <c r="AA71" s="1994"/>
      <c r="AB71" s="1990"/>
      <c r="AC71" s="1995"/>
      <c r="AD71" s="1990"/>
      <c r="AE71" s="2017"/>
      <c r="AF71" s="3184"/>
      <c r="AG71" s="1990"/>
      <c r="AH71" s="1808"/>
      <c r="AI71" s="1087"/>
      <c r="AJ71" s="1809"/>
      <c r="AK71" s="1809"/>
      <c r="AL71" s="1810"/>
    </row>
    <row r="72" spans="1:38" s="885" customFormat="1" ht="15" customHeight="1">
      <c r="A72" s="1068"/>
      <c r="B72" s="104" t="s">
        <v>153</v>
      </c>
      <c r="C72" s="104"/>
      <c r="D72" s="682">
        <v>74.7</v>
      </c>
      <c r="E72" s="813"/>
      <c r="F72" s="682">
        <v>51</v>
      </c>
      <c r="G72" s="813"/>
      <c r="H72" s="682">
        <v>160.90000000000003</v>
      </c>
      <c r="I72" s="813"/>
      <c r="J72" s="682">
        <v>164.79999999999995</v>
      </c>
      <c r="K72" s="1535"/>
      <c r="L72" s="682">
        <v>63.800000000000068</v>
      </c>
      <c r="M72" s="1535"/>
      <c r="N72" s="682">
        <v>83.999999999999943</v>
      </c>
      <c r="O72" s="1535"/>
      <c r="P72" s="682">
        <f>$AD72-$D72-$F72-$H72-$J72-$L72-$N72</f>
        <v>131.79999999999995</v>
      </c>
      <c r="Q72" s="1997"/>
      <c r="R72" s="1788"/>
      <c r="S72" s="1997"/>
      <c r="T72" s="1788"/>
      <c r="U72" s="1997"/>
      <c r="V72" s="1788"/>
      <c r="W72" s="1997"/>
      <c r="X72" s="1788"/>
      <c r="Y72" s="1997"/>
      <c r="Z72" s="1788"/>
      <c r="AA72" s="1998"/>
      <c r="AB72" s="1999"/>
      <c r="AC72" s="2000"/>
      <c r="AD72" s="1788">
        <v>731</v>
      </c>
      <c r="AE72" s="1999"/>
      <c r="AF72" s="2001"/>
      <c r="AG72" s="1788">
        <v>388.9</v>
      </c>
      <c r="AH72" s="1071"/>
      <c r="AI72" s="65"/>
      <c r="AJ72" s="893">
        <f>ROUND(SUM(+AD72-AG72),1)</f>
        <v>342.1</v>
      </c>
      <c r="AK72" s="893"/>
      <c r="AL72" s="1723">
        <f>ROUND(IF(AG72=0,0,AJ72/ABS(AG72)),3)</f>
        <v>0.88</v>
      </c>
    </row>
    <row r="73" spans="1:38" s="885" customFormat="1" ht="15" customHeight="1">
      <c r="A73" s="1068"/>
      <c r="B73" s="104" t="s">
        <v>179</v>
      </c>
      <c r="C73" s="104"/>
      <c r="D73" s="682">
        <v>40.800000000000004</v>
      </c>
      <c r="E73" s="813"/>
      <c r="F73" s="682">
        <v>44.1</v>
      </c>
      <c r="G73" s="813"/>
      <c r="H73" s="682">
        <v>168.6</v>
      </c>
      <c r="I73" s="813"/>
      <c r="J73" s="682">
        <v>885.30000000000007</v>
      </c>
      <c r="K73" s="1535"/>
      <c r="L73" s="682">
        <v>221.4000000000002</v>
      </c>
      <c r="M73" s="1535"/>
      <c r="N73" s="682">
        <v>228</v>
      </c>
      <c r="O73" s="1535"/>
      <c r="P73" s="682">
        <f>$AD73-$D73-$F73-$H73-$J73-$L73-$N73</f>
        <v>188.59999999999991</v>
      </c>
      <c r="Q73" s="1997"/>
      <c r="R73" s="1788"/>
      <c r="S73" s="1997"/>
      <c r="T73" s="1788"/>
      <c r="U73" s="1997"/>
      <c r="V73" s="1788"/>
      <c r="W73" s="1997"/>
      <c r="X73" s="1788"/>
      <c r="Y73" s="1997"/>
      <c r="Z73" s="1788"/>
      <c r="AA73" s="1998"/>
      <c r="AB73" s="1999"/>
      <c r="AC73" s="2000"/>
      <c r="AD73" s="1788">
        <v>1776.8</v>
      </c>
      <c r="AE73" s="1999"/>
      <c r="AF73" s="2001"/>
      <c r="AG73" s="1788">
        <v>749.4</v>
      </c>
      <c r="AH73" s="1071"/>
      <c r="AI73" s="65"/>
      <c r="AJ73" s="893">
        <f>ROUND(SUM(+AD73-AG73),1)</f>
        <v>1027.4000000000001</v>
      </c>
      <c r="AK73" s="893"/>
      <c r="AL73" s="1723">
        <f>ROUND(IF(AG73=0,0,AJ73/ABS(AG73)),3)</f>
        <v>1.371</v>
      </c>
    </row>
    <row r="74" spans="1:38" s="885" customFormat="1" ht="15" customHeight="1">
      <c r="A74" s="1068"/>
      <c r="B74" s="104" t="s">
        <v>155</v>
      </c>
      <c r="C74" s="104"/>
      <c r="D74" s="682">
        <v>22.7</v>
      </c>
      <c r="E74" s="813"/>
      <c r="F74" s="682">
        <v>24.7</v>
      </c>
      <c r="G74" s="813"/>
      <c r="H74" s="682">
        <v>38.899999999999991</v>
      </c>
      <c r="I74" s="813"/>
      <c r="J74" s="682">
        <v>83.700000000000017</v>
      </c>
      <c r="K74" s="1535"/>
      <c r="L74" s="682">
        <v>70.700000000000017</v>
      </c>
      <c r="M74" s="1535"/>
      <c r="N74" s="682">
        <v>23.5</v>
      </c>
      <c r="O74" s="1535"/>
      <c r="P74" s="682">
        <f>$AD74-$D74-$F74-$H74-$J74-$L74-$N74</f>
        <v>77.699999999999989</v>
      </c>
      <c r="Q74" s="1997"/>
      <c r="R74" s="1788"/>
      <c r="S74" s="1997"/>
      <c r="T74" s="1788"/>
      <c r="U74" s="1997"/>
      <c r="V74" s="1788"/>
      <c r="W74" s="1997"/>
      <c r="X74" s="1788"/>
      <c r="Y74" s="1997"/>
      <c r="Z74" s="1788"/>
      <c r="AA74" s="1998"/>
      <c r="AB74" s="1999"/>
      <c r="AC74" s="2000"/>
      <c r="AD74" s="1788">
        <v>341.9</v>
      </c>
      <c r="AE74" s="1999"/>
      <c r="AF74" s="2001"/>
      <c r="AG74" s="1788">
        <v>190.1</v>
      </c>
      <c r="AH74" s="1071"/>
      <c r="AI74" s="65"/>
      <c r="AJ74" s="893">
        <f>ROUND(SUM(+AD74-AG74),1)</f>
        <v>151.80000000000001</v>
      </c>
      <c r="AK74" s="893"/>
      <c r="AL74" s="1723">
        <f>ROUND(IF(AG74=0,0,AJ74/ABS(AG74)),3)</f>
        <v>0.79900000000000004</v>
      </c>
    </row>
    <row r="75" spans="1:38" s="885" customFormat="1" ht="15" customHeight="1">
      <c r="A75" s="1068"/>
      <c r="B75" s="104" t="s">
        <v>180</v>
      </c>
      <c r="C75" s="104"/>
      <c r="D75" s="682">
        <v>0</v>
      </c>
      <c r="E75" s="813"/>
      <c r="F75" s="682">
        <v>0</v>
      </c>
      <c r="G75" s="813"/>
      <c r="H75" s="682">
        <v>0</v>
      </c>
      <c r="I75" s="813"/>
      <c r="J75" s="682">
        <v>0</v>
      </c>
      <c r="K75" s="1535"/>
      <c r="L75" s="682">
        <v>2.2999999999999998</v>
      </c>
      <c r="M75" s="1535"/>
      <c r="N75" s="682">
        <v>0</v>
      </c>
      <c r="O75" s="1535"/>
      <c r="P75" s="682">
        <f>$AD75-$D75-$F75-$H75-$J75-$L75-$N75</f>
        <v>0</v>
      </c>
      <c r="Q75" s="1997"/>
      <c r="R75" s="1788"/>
      <c r="S75" s="1997"/>
      <c r="T75" s="1788"/>
      <c r="U75" s="1997"/>
      <c r="V75" s="1788"/>
      <c r="W75" s="1997"/>
      <c r="X75" s="1788"/>
      <c r="Y75" s="1997"/>
      <c r="Z75" s="1788"/>
      <c r="AA75" s="1998"/>
      <c r="AB75" s="1999"/>
      <c r="AC75" s="2000"/>
      <c r="AD75" s="1788">
        <v>2.2999999999999998</v>
      </c>
      <c r="AE75" s="1999"/>
      <c r="AF75" s="2001"/>
      <c r="AG75" s="1788">
        <v>0</v>
      </c>
      <c r="AH75" s="1071"/>
      <c r="AI75" s="65"/>
      <c r="AJ75" s="893">
        <f>ROUND(SUM(+AD75-AG75),1)</f>
        <v>2.2999999999999998</v>
      </c>
      <c r="AK75" s="1022"/>
      <c r="AL75" s="1811">
        <f>ROUND(IF(AG75=0,1,AJ75/ABS(AG75)),3)</f>
        <v>1</v>
      </c>
    </row>
    <row r="76" spans="1:38" ht="15" customHeight="1">
      <c r="A76" s="147"/>
      <c r="B76" s="31"/>
      <c r="C76" s="31"/>
      <c r="D76" s="1839"/>
      <c r="E76" s="813"/>
      <c r="F76" s="1040"/>
      <c r="G76" s="813"/>
      <c r="H76" s="686"/>
      <c r="I76" s="813"/>
      <c r="J76" s="686"/>
      <c r="K76" s="162"/>
      <c r="L76" s="86"/>
      <c r="M76" s="162"/>
      <c r="N76" s="86"/>
      <c r="O76" s="162"/>
      <c r="P76" s="2004"/>
      <c r="Q76" s="1461"/>
      <c r="R76" s="2004"/>
      <c r="S76" s="1461"/>
      <c r="T76" s="2004"/>
      <c r="U76" s="1461"/>
      <c r="V76" s="2050"/>
      <c r="W76" s="1994"/>
      <c r="X76" s="2050"/>
      <c r="Y76" s="1994"/>
      <c r="Z76" s="2050"/>
      <c r="AA76" s="1976"/>
      <c r="AB76" s="1990"/>
      <c r="AC76" s="1995"/>
      <c r="AD76" s="2050"/>
      <c r="AE76" s="1976"/>
      <c r="AF76" s="1996"/>
      <c r="AG76" s="2050"/>
      <c r="AH76" s="1071"/>
      <c r="AI76" s="65"/>
      <c r="AJ76" s="1040"/>
      <c r="AK76" s="1809"/>
      <c r="AL76" s="1446"/>
    </row>
    <row r="77" spans="1:38" ht="15" customHeight="1">
      <c r="A77" s="147"/>
      <c r="B77" s="29" t="s">
        <v>156</v>
      </c>
      <c r="C77" s="31"/>
      <c r="D77" s="920">
        <f>ROUND(SUM(D70:D75),1)</f>
        <v>5869.1</v>
      </c>
      <c r="E77" s="204"/>
      <c r="F77" s="109">
        <f>ROUND(SUM(F70:F75),1)</f>
        <v>4120.6000000000004</v>
      </c>
      <c r="G77" s="204"/>
      <c r="H77" s="920">
        <f>ROUND(SUM(H70:H75),1)</f>
        <v>5563.7</v>
      </c>
      <c r="I77" s="204"/>
      <c r="J77" s="920">
        <f>ROUND(SUM(J70:J75),1)</f>
        <v>5653.2</v>
      </c>
      <c r="K77" s="204"/>
      <c r="L77" s="920">
        <f>ROUND(SUM(L70:L75),1)</f>
        <v>4823.3999999999996</v>
      </c>
      <c r="M77" s="204"/>
      <c r="N77" s="920">
        <f>ROUND(SUM(N70:N75),1)</f>
        <v>11041</v>
      </c>
      <c r="O77" s="204"/>
      <c r="P77" s="1459">
        <f>ROUND(SUM(P70:P75),1)</f>
        <v>5074.8999999999996</v>
      </c>
      <c r="Q77" s="2009"/>
      <c r="R77" s="1459">
        <f>ROUND(SUM(R70:R75),1)</f>
        <v>0</v>
      </c>
      <c r="S77" s="2009"/>
      <c r="T77" s="1459">
        <f>ROUND(SUM(T70:T75),1)</f>
        <v>0</v>
      </c>
      <c r="U77" s="2009"/>
      <c r="V77" s="2049">
        <f>ROUND(SUM(V70:V75),1)</f>
        <v>0</v>
      </c>
      <c r="W77" s="2049"/>
      <c r="X77" s="2049">
        <f>ROUND(SUM(X70:X75),1)</f>
        <v>0</v>
      </c>
      <c r="Y77" s="2049"/>
      <c r="Z77" s="2049">
        <f>ROUND(SUM(Z70:Z75),1)</f>
        <v>0</v>
      </c>
      <c r="AA77" s="2049"/>
      <c r="AB77" s="2171"/>
      <c r="AC77" s="2172"/>
      <c r="AD77" s="2049">
        <f>ROUND(SUM(AD70:AD75),1)</f>
        <v>42145.9</v>
      </c>
      <c r="AE77" s="1460"/>
      <c r="AF77" s="3158"/>
      <c r="AG77" s="2049">
        <f>ROUND(SUM(AG70:AG75),1)</f>
        <v>33821.699999999997</v>
      </c>
      <c r="AH77" s="1816"/>
      <c r="AI77" s="112"/>
      <c r="AJ77" s="117">
        <f>ROUND(SUM(AD77-AG77),1)</f>
        <v>8324.2000000000007</v>
      </c>
      <c r="AK77" s="2175"/>
      <c r="AL77" s="2176">
        <f>ROUND(SUM((AD77-AG77)/ABS(AG77)),3)</f>
        <v>0.246</v>
      </c>
    </row>
    <row r="78" spans="1:38" ht="15" customHeight="1">
      <c r="A78" s="147"/>
      <c r="B78" s="31"/>
      <c r="C78" s="31"/>
      <c r="D78" s="1839"/>
      <c r="E78" s="813"/>
      <c r="F78" s="1040"/>
      <c r="G78" s="813"/>
      <c r="H78" s="686"/>
      <c r="I78" s="813"/>
      <c r="J78" s="686"/>
      <c r="K78" s="162"/>
      <c r="L78" s="86"/>
      <c r="M78" s="162"/>
      <c r="N78" s="86"/>
      <c r="O78" s="162"/>
      <c r="P78" s="2004"/>
      <c r="Q78" s="1461"/>
      <c r="R78" s="2004"/>
      <c r="S78" s="1461"/>
      <c r="T78" s="2004"/>
      <c r="U78" s="1461"/>
      <c r="V78" s="2050"/>
      <c r="W78" s="1994"/>
      <c r="X78" s="2050"/>
      <c r="Y78" s="1994"/>
      <c r="Z78" s="2050"/>
      <c r="AA78" s="1976"/>
      <c r="AB78" s="1990"/>
      <c r="AC78" s="1995"/>
      <c r="AD78" s="2050"/>
      <c r="AE78" s="1976"/>
      <c r="AF78" s="1996"/>
      <c r="AG78" s="2050"/>
      <c r="AH78" s="1071"/>
      <c r="AI78" s="1085"/>
      <c r="AJ78" s="682"/>
      <c r="AK78" s="1809"/>
      <c r="AL78" s="1810"/>
    </row>
    <row r="79" spans="1:38" ht="15" customHeight="1">
      <c r="A79" s="147"/>
      <c r="B79" s="29" t="s">
        <v>157</v>
      </c>
      <c r="C79" s="31"/>
      <c r="D79" s="813"/>
      <c r="E79" s="813"/>
      <c r="F79" s="893"/>
      <c r="G79" s="813"/>
      <c r="H79" s="1529"/>
      <c r="I79" s="813"/>
      <c r="J79" s="1529"/>
      <c r="K79" s="162"/>
      <c r="L79" s="64"/>
      <c r="M79" s="162"/>
      <c r="N79" s="64"/>
      <c r="O79" s="162"/>
      <c r="P79" s="2005"/>
      <c r="Q79" s="1461"/>
      <c r="R79" s="2005"/>
      <c r="S79" s="1461"/>
      <c r="T79" s="2005"/>
      <c r="U79" s="1461"/>
      <c r="V79" s="1994"/>
      <c r="W79" s="1994"/>
      <c r="X79" s="1994"/>
      <c r="Y79" s="1994"/>
      <c r="Z79" s="1994"/>
      <c r="AA79" s="1994"/>
      <c r="AB79" s="1990"/>
      <c r="AC79" s="1995"/>
      <c r="AD79" s="1976"/>
      <c r="AE79" s="3181"/>
      <c r="AF79" s="3185"/>
      <c r="AG79" s="1976"/>
      <c r="AH79" s="1071"/>
      <c r="AI79" s="2177"/>
      <c r="AJ79" s="682"/>
      <c r="AK79" s="1809"/>
      <c r="AL79" s="1810"/>
    </row>
    <row r="80" spans="1:38" ht="15" customHeight="1">
      <c r="A80" s="147"/>
      <c r="B80" s="29" t="s">
        <v>45</v>
      </c>
      <c r="C80" s="31"/>
      <c r="D80" s="920">
        <f>ROUND(SUM(D56-D77),1)</f>
        <v>4923.6000000000004</v>
      </c>
      <c r="E80" s="204"/>
      <c r="F80" s="109">
        <f>ROUND(SUM(F56-F77),1)</f>
        <v>37.4</v>
      </c>
      <c r="G80" s="204"/>
      <c r="H80" s="920">
        <f>ROUND(SUM(H56-H77),1)</f>
        <v>1793.8</v>
      </c>
      <c r="I80" s="204"/>
      <c r="J80" s="920">
        <f>ROUND(SUM(J56-J77),1)</f>
        <v>-424.6</v>
      </c>
      <c r="K80" s="204"/>
      <c r="L80" s="920">
        <f>ROUND(SUM(L56-L77),1)</f>
        <v>-404.4</v>
      </c>
      <c r="M80" s="204"/>
      <c r="N80" s="920">
        <f>ROUND(SUM(N56-N77),1)</f>
        <v>-1123.2</v>
      </c>
      <c r="O80" s="204"/>
      <c r="P80" s="1459">
        <f>ROUND(SUM(P56-P77),1)</f>
        <v>2363.6</v>
      </c>
      <c r="Q80" s="2009"/>
      <c r="R80" s="1459">
        <f>ROUND(SUM(R56-R77),1)</f>
        <v>0</v>
      </c>
      <c r="S80" s="2009"/>
      <c r="T80" s="1459">
        <f>ROUND(SUM(T56-T77),1)</f>
        <v>0</v>
      </c>
      <c r="U80" s="2009"/>
      <c r="V80" s="2049">
        <f>ROUND(SUM(V56-V77),1)</f>
        <v>0</v>
      </c>
      <c r="W80" s="2049"/>
      <c r="X80" s="2049">
        <f>ROUND(SUM(X56-X77),1)</f>
        <v>0</v>
      </c>
      <c r="Y80" s="2049"/>
      <c r="Z80" s="2049">
        <f>ROUND(SUM(Z56-Z77),1)</f>
        <v>0</v>
      </c>
      <c r="AA80" s="2049"/>
      <c r="AB80" s="2171"/>
      <c r="AC80" s="2172"/>
      <c r="AD80" s="2049">
        <f>ROUND(SUM(AD56-AD77),1)</f>
        <v>7166.2</v>
      </c>
      <c r="AE80" s="1460"/>
      <c r="AF80" s="3158"/>
      <c r="AG80" s="2049">
        <f>ROUND(SUM(AG56-AG77),1)</f>
        <v>2834.6</v>
      </c>
      <c r="AH80" s="1816"/>
      <c r="AI80" s="112"/>
      <c r="AJ80" s="117">
        <f>ROUND(SUM(AD80-AG80),1)</f>
        <v>4331.6000000000004</v>
      </c>
      <c r="AK80" s="2178"/>
      <c r="AL80" s="3563">
        <f>ROUND(SUM((AD80-AG80)/ABS(AG80)),3)</f>
        <v>1.528</v>
      </c>
    </row>
    <row r="81" spans="1:51" ht="15" customHeight="1">
      <c r="A81" s="147"/>
      <c r="B81" s="31"/>
      <c r="C81" s="31"/>
      <c r="D81" s="1839"/>
      <c r="E81" s="813"/>
      <c r="F81" s="1040"/>
      <c r="G81" s="813"/>
      <c r="H81" s="686"/>
      <c r="I81" s="813"/>
      <c r="J81" s="686"/>
      <c r="K81" s="162"/>
      <c r="L81" s="86"/>
      <c r="M81" s="162"/>
      <c r="N81" s="86"/>
      <c r="O81" s="162"/>
      <c r="P81" s="2004"/>
      <c r="Q81" s="1461"/>
      <c r="R81" s="2004"/>
      <c r="S81" s="1461"/>
      <c r="T81" s="2004"/>
      <c r="U81" s="1461"/>
      <c r="V81" s="2050"/>
      <c r="W81" s="1994"/>
      <c r="X81" s="2050"/>
      <c r="Y81" s="1994"/>
      <c r="Z81" s="2050"/>
      <c r="AA81" s="1976"/>
      <c r="AB81" s="1990"/>
      <c r="AC81" s="1995"/>
      <c r="AD81" s="2050"/>
      <c r="AE81" s="1976"/>
      <c r="AF81" s="1996"/>
      <c r="AG81" s="2050"/>
      <c r="AH81" s="1071"/>
      <c r="AI81" s="65"/>
      <c r="AJ81" s="682"/>
      <c r="AK81" s="1809"/>
      <c r="AL81" s="1810"/>
    </row>
    <row r="82" spans="1:51" ht="15" customHeight="1">
      <c r="A82" s="147"/>
      <c r="B82" s="29" t="s">
        <v>46</v>
      </c>
      <c r="C82" s="31"/>
      <c r="D82" s="813"/>
      <c r="E82" s="813"/>
      <c r="F82" s="893"/>
      <c r="G82" s="813"/>
      <c r="H82" s="1529"/>
      <c r="I82" s="813"/>
      <c r="J82" s="1529"/>
      <c r="K82" s="162"/>
      <c r="L82" s="64"/>
      <c r="M82" s="162"/>
      <c r="N82" s="64"/>
      <c r="O82" s="162"/>
      <c r="P82" s="2005"/>
      <c r="Q82" s="1461"/>
      <c r="R82" s="2005"/>
      <c r="S82" s="1461"/>
      <c r="T82" s="2005"/>
      <c r="U82" s="1461"/>
      <c r="V82" s="1994"/>
      <c r="W82" s="1994"/>
      <c r="X82" s="1994"/>
      <c r="Y82" s="1994"/>
      <c r="Z82" s="1994"/>
      <c r="AA82" s="1994"/>
      <c r="AB82" s="1990"/>
      <c r="AC82" s="1995"/>
      <c r="AD82" s="1994"/>
      <c r="AE82" s="1976"/>
      <c r="AF82" s="1996"/>
      <c r="AG82" s="1994"/>
      <c r="AH82" s="1071"/>
      <c r="AI82" s="65"/>
      <c r="AJ82" s="682"/>
      <c r="AK82" s="1809"/>
      <c r="AL82" s="1810"/>
    </row>
    <row r="83" spans="1:51" s="885" customFormat="1" ht="15" customHeight="1">
      <c r="A83" s="1068"/>
      <c r="B83" s="104" t="s">
        <v>181</v>
      </c>
      <c r="C83" s="104"/>
      <c r="D83" s="682">
        <v>0</v>
      </c>
      <c r="E83" s="813"/>
      <c r="F83" s="682">
        <v>0</v>
      </c>
      <c r="G83" s="813"/>
      <c r="H83" s="682">
        <v>0</v>
      </c>
      <c r="I83" s="813"/>
      <c r="J83" s="682">
        <v>0</v>
      </c>
      <c r="K83" s="1535"/>
      <c r="L83" s="682">
        <v>0</v>
      </c>
      <c r="M83" s="1535"/>
      <c r="N83" s="682">
        <v>0</v>
      </c>
      <c r="O83" s="1535"/>
      <c r="P83" s="682">
        <f>$AD83-$D83-$F83-$H83-$J83-$L83-$N83</f>
        <v>0</v>
      </c>
      <c r="Q83" s="1997"/>
      <c r="R83" s="1788"/>
      <c r="S83" s="1997"/>
      <c r="T83" s="1788"/>
      <c r="U83" s="1997"/>
      <c r="V83" s="1788"/>
      <c r="W83" s="1997"/>
      <c r="X83" s="1788"/>
      <c r="Y83" s="1997"/>
      <c r="Z83" s="1788"/>
      <c r="AA83" s="1998"/>
      <c r="AB83" s="1999"/>
      <c r="AC83" s="2000"/>
      <c r="AD83" s="1788">
        <v>0</v>
      </c>
      <c r="AE83" s="1999"/>
      <c r="AF83" s="2001"/>
      <c r="AG83" s="1788">
        <v>0</v>
      </c>
      <c r="AH83" s="1071"/>
      <c r="AI83" s="65"/>
      <c r="AJ83" s="1538">
        <f>ROUND(SUM(+AD83-AG83),1)</f>
        <v>0</v>
      </c>
      <c r="AK83" s="1022"/>
      <c r="AL83" s="1723">
        <f>-ROUND(IF(AG83=0,0,AJ83/ABS(AG83)),3)</f>
        <v>0</v>
      </c>
    </row>
    <row r="84" spans="1:51" s="885" customFormat="1" ht="15" customHeight="1">
      <c r="A84" s="1068"/>
      <c r="B84" s="104" t="s">
        <v>182</v>
      </c>
      <c r="C84" s="104"/>
      <c r="D84" s="682">
        <v>-307.2</v>
      </c>
      <c r="E84" s="813"/>
      <c r="F84" s="682">
        <v>-135.4</v>
      </c>
      <c r="G84" s="813"/>
      <c r="H84" s="682">
        <v>2.7000000000000171</v>
      </c>
      <c r="I84" s="813"/>
      <c r="J84" s="682">
        <v>-248.89999999999998</v>
      </c>
      <c r="K84" s="1535"/>
      <c r="L84" s="682">
        <v>-27</v>
      </c>
      <c r="M84" s="1535"/>
      <c r="N84" s="682">
        <v>-291.80000000000018</v>
      </c>
      <c r="O84" s="1535"/>
      <c r="P84" s="682">
        <f>$AD84-$D84-$F84-$H84-$J84-$L84-$N84</f>
        <v>-480.29999999999984</v>
      </c>
      <c r="Q84" s="1997"/>
      <c r="R84" s="1788"/>
      <c r="S84" s="1997"/>
      <c r="T84" s="1788"/>
      <c r="U84" s="1997"/>
      <c r="V84" s="1788"/>
      <c r="W84" s="1997"/>
      <c r="X84" s="1788"/>
      <c r="Y84" s="1997"/>
      <c r="Z84" s="1788"/>
      <c r="AA84" s="1998"/>
      <c r="AB84" s="1999"/>
      <c r="AC84" s="2000"/>
      <c r="AD84" s="1788">
        <v>-1487.9</v>
      </c>
      <c r="AE84" s="1999"/>
      <c r="AF84" s="2001"/>
      <c r="AG84" s="3423">
        <v>-1070.1000000000001</v>
      </c>
      <c r="AH84" s="1071"/>
      <c r="AI84" s="65"/>
      <c r="AJ84" s="1022">
        <f>ROUND(SUM(+AD84-AG84)*-1,1)</f>
        <v>417.8</v>
      </c>
      <c r="AK84" s="1022"/>
      <c r="AL84" s="1723">
        <f>ROUND(IF(AG84=0,0,AJ84/ABS(AG84)),3)</f>
        <v>0.39</v>
      </c>
    </row>
    <row r="85" spans="1:51" ht="15" customHeight="1">
      <c r="A85" s="147"/>
      <c r="B85" s="31"/>
      <c r="C85" s="31"/>
      <c r="D85" s="165"/>
      <c r="E85" s="162"/>
      <c r="F85" s="123"/>
      <c r="G85" s="162"/>
      <c r="H85" s="86"/>
      <c r="I85" s="162"/>
      <c r="J85" s="86"/>
      <c r="K85" s="162"/>
      <c r="L85" s="3040"/>
      <c r="M85" s="162"/>
      <c r="N85" s="86"/>
      <c r="O85" s="162"/>
      <c r="P85" s="2004"/>
      <c r="Q85" s="1461"/>
      <c r="R85" s="2004"/>
      <c r="S85" s="1461"/>
      <c r="T85" s="2004"/>
      <c r="U85" s="1461"/>
      <c r="V85" s="2050"/>
      <c r="W85" s="1994"/>
      <c r="X85" s="2050"/>
      <c r="Y85" s="1994"/>
      <c r="Z85" s="2050"/>
      <c r="AA85" s="1976"/>
      <c r="AB85" s="1990"/>
      <c r="AC85" s="1995"/>
      <c r="AD85" s="2050"/>
      <c r="AE85" s="1976"/>
      <c r="AF85" s="1996"/>
      <c r="AG85" s="1976"/>
      <c r="AH85" s="1071"/>
      <c r="AI85" s="65"/>
      <c r="AJ85" s="2179"/>
      <c r="AK85" s="1809"/>
      <c r="AL85" s="2180"/>
    </row>
    <row r="86" spans="1:51" ht="15" customHeight="1">
      <c r="A86" s="147"/>
      <c r="B86" s="29" t="s">
        <v>1175</v>
      </c>
      <c r="C86" s="31"/>
      <c r="D86" s="60">
        <f>ROUND(SUM(D83:D85),1)</f>
        <v>-307.2</v>
      </c>
      <c r="E86" s="204"/>
      <c r="F86" s="109">
        <f>ROUND(SUM(F83:F85),1)</f>
        <v>-135.4</v>
      </c>
      <c r="G86" s="204"/>
      <c r="H86" s="60">
        <f>ROUND(SUM(H83:H85),1)</f>
        <v>2.7</v>
      </c>
      <c r="I86" s="204"/>
      <c r="J86" s="60">
        <f>ROUND(SUM(J83:J85),1)</f>
        <v>-248.9</v>
      </c>
      <c r="K86" s="204"/>
      <c r="L86" s="920">
        <f>ROUND(SUM(L83:L85),1)</f>
        <v>-27</v>
      </c>
      <c r="M86" s="204"/>
      <c r="N86" s="60">
        <f>ROUND(SUM(N83:N85),1)</f>
        <v>-291.8</v>
      </c>
      <c r="O86" s="204"/>
      <c r="P86" s="1459">
        <f>ROUND(SUM(P83:P85),1)</f>
        <v>-480.3</v>
      </c>
      <c r="Q86" s="2009"/>
      <c r="R86" s="1459">
        <f>ROUND(SUM(R83:R85),1)</f>
        <v>0</v>
      </c>
      <c r="S86" s="2009"/>
      <c r="T86" s="1459">
        <f>ROUND(SUM(T83:T85),1)</f>
        <v>0</v>
      </c>
      <c r="U86" s="2009"/>
      <c r="V86" s="2049">
        <f>ROUND(SUM(V83:V85),1)</f>
        <v>0</v>
      </c>
      <c r="W86" s="2049"/>
      <c r="X86" s="2049">
        <f>ROUND(SUM(X83:X85),1)</f>
        <v>0</v>
      </c>
      <c r="Y86" s="2049"/>
      <c r="Z86" s="2049">
        <f>ROUND(SUM(Z83:Z85),1)</f>
        <v>0</v>
      </c>
      <c r="AA86" s="2049"/>
      <c r="AB86" s="2171"/>
      <c r="AC86" s="2172"/>
      <c r="AD86" s="2049">
        <f>ROUND(SUM(AD83:AD85),1)</f>
        <v>-1487.9</v>
      </c>
      <c r="AE86" s="1460"/>
      <c r="AF86" s="3158"/>
      <c r="AG86" s="2049">
        <f>ROUND(SUM(AG83:AG84),1)</f>
        <v>-1070.0999999999999</v>
      </c>
      <c r="AH86" s="1816"/>
      <c r="AI86" s="112"/>
      <c r="AJ86" s="117">
        <f>-ROUND(SUM(AD86-AG86),1)</f>
        <v>417.8</v>
      </c>
      <c r="AK86" s="2173"/>
      <c r="AL86" s="2176">
        <f>ROUND(SUM((AD86-AG86)/(AG86)),3)</f>
        <v>0.39</v>
      </c>
    </row>
    <row r="87" spans="1:51" ht="15" customHeight="1">
      <c r="A87" s="147"/>
      <c r="B87" s="31"/>
      <c r="C87" s="31"/>
      <c r="D87" s="165"/>
      <c r="E87" s="162"/>
      <c r="F87" s="3728"/>
      <c r="G87" s="162"/>
      <c r="H87" s="165"/>
      <c r="I87" s="162"/>
      <c r="J87" s="165"/>
      <c r="K87" s="162"/>
      <c r="L87" s="165"/>
      <c r="M87" s="162"/>
      <c r="N87" s="165"/>
      <c r="O87" s="162"/>
      <c r="P87" s="1465"/>
      <c r="Q87" s="1461"/>
      <c r="R87" s="1465"/>
      <c r="S87" s="1461"/>
      <c r="T87" s="1465"/>
      <c r="U87" s="1461"/>
      <c r="V87" s="2050"/>
      <c r="W87" s="1994"/>
      <c r="X87" s="2050"/>
      <c r="Y87" s="1994"/>
      <c r="Z87" s="2050"/>
      <c r="AA87" s="1976"/>
      <c r="AB87" s="1990"/>
      <c r="AC87" s="1995"/>
      <c r="AD87" s="2050"/>
      <c r="AE87" s="1976"/>
      <c r="AF87" s="1996"/>
      <c r="AG87" s="2050"/>
      <c r="AH87" s="1071"/>
      <c r="AI87" s="65"/>
      <c r="AJ87" s="682"/>
      <c r="AK87" s="1809"/>
      <c r="AL87" s="1810"/>
    </row>
    <row r="88" spans="1:51" ht="15" customHeight="1">
      <c r="A88" s="147"/>
      <c r="B88" s="29" t="s">
        <v>165</v>
      </c>
      <c r="C88" s="31"/>
      <c r="D88" s="162"/>
      <c r="E88" s="162"/>
      <c r="F88" s="137"/>
      <c r="G88" s="162"/>
      <c r="H88" s="162"/>
      <c r="I88" s="162"/>
      <c r="J88" s="162"/>
      <c r="K88" s="162"/>
      <c r="L88" s="162"/>
      <c r="M88" s="162"/>
      <c r="N88" s="162"/>
      <c r="O88" s="162"/>
      <c r="P88" s="1461"/>
      <c r="Q88" s="1461"/>
      <c r="R88" s="1461"/>
      <c r="S88" s="1461"/>
      <c r="T88" s="1461"/>
      <c r="U88" s="1461"/>
      <c r="V88" s="1990"/>
      <c r="W88" s="1990"/>
      <c r="X88" s="1990"/>
      <c r="Y88" s="1990"/>
      <c r="Z88" s="1990"/>
      <c r="AA88" s="1990"/>
      <c r="AB88" s="1990"/>
      <c r="AC88" s="1995"/>
      <c r="AD88" s="1990"/>
      <c r="AE88" s="2017"/>
      <c r="AF88" s="3184"/>
      <c r="AG88" s="1990"/>
      <c r="AH88" s="1808"/>
      <c r="AI88" s="1087"/>
      <c r="AJ88" s="1809"/>
      <c r="AK88" s="1809"/>
      <c r="AL88" s="1810"/>
    </row>
    <row r="89" spans="1:51" ht="15" customHeight="1">
      <c r="A89" s="147"/>
      <c r="B89" s="29" t="s">
        <v>166</v>
      </c>
      <c r="C89" s="31"/>
      <c r="D89" s="162"/>
      <c r="E89" s="162"/>
      <c r="F89" s="137"/>
      <c r="G89" s="162"/>
      <c r="H89" s="162"/>
      <c r="I89" s="162"/>
      <c r="J89" s="162"/>
      <c r="K89" s="162"/>
      <c r="L89" s="162"/>
      <c r="M89" s="162"/>
      <c r="N89" s="162"/>
      <c r="O89" s="162"/>
      <c r="P89" s="1461"/>
      <c r="Q89" s="1461"/>
      <c r="R89" s="1461"/>
      <c r="S89" s="1461"/>
      <c r="T89" s="1461"/>
      <c r="U89" s="1461"/>
      <c r="V89" s="1990"/>
      <c r="W89" s="1990"/>
      <c r="X89" s="1990"/>
      <c r="Y89" s="1990"/>
      <c r="Z89" s="1990"/>
      <c r="AA89" s="1990"/>
      <c r="AB89" s="1990"/>
      <c r="AC89" s="1995"/>
      <c r="AD89" s="1990"/>
      <c r="AE89" s="2017"/>
      <c r="AF89" s="3184"/>
      <c r="AG89" s="3473"/>
      <c r="AH89" s="1808"/>
      <c r="AI89" s="1087"/>
      <c r="AJ89" s="1809"/>
      <c r="AK89" s="1809"/>
      <c r="AL89" s="1810"/>
    </row>
    <row r="90" spans="1:51" ht="15" customHeight="1">
      <c r="A90" s="147"/>
      <c r="B90" s="29" t="s">
        <v>1176</v>
      </c>
      <c r="C90" s="31"/>
      <c r="D90" s="827">
        <f>ROUND(SUM(D80+D86),1)</f>
        <v>4616.3999999999996</v>
      </c>
      <c r="E90" s="162"/>
      <c r="F90" s="3729">
        <f>ROUND(SUM(F80+F86),1)</f>
        <v>-98</v>
      </c>
      <c r="G90" s="162"/>
      <c r="H90" s="827">
        <f>ROUND(SUM(H80+H86),1)</f>
        <v>1796.5</v>
      </c>
      <c r="I90" s="54"/>
      <c r="J90" s="827">
        <f>ROUND(SUM(J80+J86),1)</f>
        <v>-673.5</v>
      </c>
      <c r="K90" s="54"/>
      <c r="L90" s="827">
        <f>ROUND(SUM(L80+L86),1)</f>
        <v>-431.4</v>
      </c>
      <c r="M90" s="54"/>
      <c r="N90" s="827">
        <f>ROUND(SUM(N80+N86),1)</f>
        <v>-1415</v>
      </c>
      <c r="O90" s="54"/>
      <c r="P90" s="2019">
        <f>ROUND(SUM(P80+P86),1)</f>
        <v>1883.3</v>
      </c>
      <c r="Q90" s="2006"/>
      <c r="R90" s="2019">
        <f>ROUND(SUM(R80+R86),1)</f>
        <v>0</v>
      </c>
      <c r="S90" s="2006"/>
      <c r="T90" s="2019">
        <f>ROUND(SUM(T80+T86),1)</f>
        <v>0</v>
      </c>
      <c r="U90" s="2006"/>
      <c r="V90" s="1558">
        <f>ROUND(SUM(V80+V86),1)</f>
        <v>0</v>
      </c>
      <c r="W90" s="1976"/>
      <c r="X90" s="1558">
        <f>ROUND(SUM(X80+X86),1)</f>
        <v>0</v>
      </c>
      <c r="Y90" s="1976"/>
      <c r="Z90" s="1558">
        <f>ROUND(SUM(Z80+Z86),1)</f>
        <v>0</v>
      </c>
      <c r="AA90" s="1976"/>
      <c r="AB90" s="2181"/>
      <c r="AC90" s="1976"/>
      <c r="AD90" s="1558">
        <f>ROUND(SUM(AD80+AD86),1)</f>
        <v>5678.3</v>
      </c>
      <c r="AE90" s="3182"/>
      <c r="AF90" s="1976"/>
      <c r="AG90" s="1558">
        <f>ROUND(SUM(AG80+AG86),1)</f>
        <v>1764.5</v>
      </c>
      <c r="AH90" s="1808"/>
      <c r="AI90" s="65"/>
      <c r="AJ90" s="1105">
        <f>ROUND(SUM(AJ80-AJ86),1)</f>
        <v>3913.8</v>
      </c>
      <c r="AK90" s="1029"/>
      <c r="AL90" s="2182">
        <f>ROUND(SUM((AD90-AG90)/ABS(AG90)),3)</f>
        <v>2.218</v>
      </c>
    </row>
    <row r="91" spans="1:51" ht="15" customHeight="1">
      <c r="A91" s="147"/>
      <c r="B91" s="31"/>
      <c r="C91" s="31"/>
      <c r="D91" s="37"/>
      <c r="E91" s="30"/>
      <c r="F91" s="1087"/>
      <c r="G91" s="30"/>
      <c r="H91" s="37"/>
      <c r="I91" s="30"/>
      <c r="J91" s="37"/>
      <c r="K91" s="30"/>
      <c r="L91" s="37"/>
      <c r="M91" s="30"/>
      <c r="N91" s="37"/>
      <c r="O91" s="30"/>
      <c r="P91" s="2020"/>
      <c r="Q91" s="2021"/>
      <c r="R91" s="2020"/>
      <c r="S91" s="2021"/>
      <c r="T91" s="2018"/>
      <c r="U91" s="2021"/>
      <c r="V91" s="2183"/>
      <c r="W91" s="2184"/>
      <c r="X91" s="2183"/>
      <c r="Y91" s="2184"/>
      <c r="Z91" s="2183"/>
      <c r="AA91" s="2183"/>
      <c r="AB91" s="2184"/>
      <c r="AC91" s="2185"/>
      <c r="AD91" s="2183"/>
      <c r="AE91" s="2183"/>
      <c r="AF91" s="2185"/>
      <c r="AG91" s="2183"/>
      <c r="AH91" s="1087"/>
      <c r="AI91" s="2186"/>
      <c r="AJ91" s="2187"/>
      <c r="AK91" s="1809"/>
      <c r="AL91" s="1810" t="s">
        <v>15</v>
      </c>
    </row>
    <row r="92" spans="1:51" ht="20.25" customHeight="1" thickBot="1">
      <c r="A92" s="147"/>
      <c r="B92" s="29" t="s">
        <v>1186</v>
      </c>
      <c r="C92" s="31"/>
      <c r="D92" s="1859">
        <f>ROUND(SUM(+D13+D90),1)</f>
        <v>5527.8</v>
      </c>
      <c r="E92" s="30"/>
      <c r="F92" s="1849">
        <f>ROUND(SUM(+F13+F90),1)</f>
        <v>5429.8</v>
      </c>
      <c r="G92" s="30"/>
      <c r="H92" s="1859">
        <f>ROUND(SUM(+H13+H90),1)</f>
        <v>7226.3</v>
      </c>
      <c r="I92" s="30"/>
      <c r="J92" s="1859">
        <f>ROUND(SUM(+J13+J90),1)</f>
        <v>6552.8</v>
      </c>
      <c r="K92" s="30"/>
      <c r="L92" s="1859">
        <f>ROUND(SUM(+L13+L90),1)</f>
        <v>6121.4</v>
      </c>
      <c r="M92" s="30"/>
      <c r="N92" s="1859">
        <f>ROUND(SUM(+N13+N90),1)</f>
        <v>4706.3999999999996</v>
      </c>
      <c r="O92" s="30"/>
      <c r="P92" s="2022">
        <f>ROUND(SUM(+P13+P90),1)</f>
        <v>6589.7</v>
      </c>
      <c r="Q92" s="2021"/>
      <c r="R92" s="2022">
        <f>ROUND(SUM(+R13+R90),1)</f>
        <v>0</v>
      </c>
      <c r="S92" s="2021"/>
      <c r="T92" s="2022">
        <f>ROUND(SUM(+T13+T90),1)</f>
        <v>0</v>
      </c>
      <c r="U92" s="2021"/>
      <c r="V92" s="2188">
        <f>ROUND(SUM(+V13+V90),1)</f>
        <v>0</v>
      </c>
      <c r="W92" s="2184"/>
      <c r="X92" s="2188">
        <f>ROUND(SUM(+X13+X90),1)</f>
        <v>0</v>
      </c>
      <c r="Y92" s="2184"/>
      <c r="Z92" s="2188">
        <f>ROUND(SUM(+Z13+Z90),1)</f>
        <v>0</v>
      </c>
      <c r="AA92" s="2183"/>
      <c r="AB92" s="2184"/>
      <c r="AC92" s="2185"/>
      <c r="AD92" s="2188">
        <f>ROUND(SUM(+AD13+AD90),1)</f>
        <v>6589.7</v>
      </c>
      <c r="AE92" s="2183"/>
      <c r="AF92" s="2185"/>
      <c r="AG92" s="2188">
        <f>ROUND(SUM(+AG13+AG90),1)</f>
        <v>516.1</v>
      </c>
      <c r="AH92" s="1087"/>
      <c r="AI92" s="2186"/>
      <c r="AJ92" s="1849">
        <f>ROUND(SUM(+AJ13+AJ90),1)</f>
        <v>6073.6</v>
      </c>
      <c r="AK92" s="1809"/>
      <c r="AL92" s="2189">
        <f>ROUND(+AJ92/ABS(AG92),3)</f>
        <v>11.768000000000001</v>
      </c>
    </row>
    <row r="93" spans="1:51" ht="15" customHeight="1" thickTop="1">
      <c r="B93" s="30"/>
      <c r="C93" s="30"/>
      <c r="D93" s="265"/>
      <c r="E93" s="265"/>
      <c r="F93" s="2120"/>
      <c r="G93" s="265"/>
      <c r="H93" s="265"/>
      <c r="I93" s="265"/>
      <c r="J93" s="265"/>
      <c r="K93" s="265"/>
      <c r="L93" s="265"/>
      <c r="M93" s="265"/>
      <c r="N93" s="265"/>
      <c r="O93" s="265"/>
      <c r="P93" s="2023"/>
      <c r="Q93" s="2023"/>
      <c r="R93" s="2023"/>
      <c r="S93" s="2023"/>
      <c r="T93" s="2023"/>
      <c r="U93" s="2023"/>
      <c r="V93" s="2190"/>
      <c r="W93" s="2190"/>
      <c r="X93" s="2190"/>
      <c r="Y93" s="2190"/>
      <c r="Z93" s="2190"/>
      <c r="AA93" s="2190"/>
      <c r="AB93" s="2190"/>
      <c r="AC93" s="2190"/>
      <c r="AD93" s="2190"/>
      <c r="AE93" s="2190"/>
      <c r="AF93" s="2190"/>
      <c r="AG93" s="2190"/>
      <c r="AH93" s="2120"/>
      <c r="AI93" s="2120"/>
      <c r="AJ93" s="1019"/>
      <c r="AK93" s="1019"/>
      <c r="AL93" s="1817"/>
      <c r="AM93" s="292"/>
      <c r="AN93" s="292"/>
      <c r="AO93" s="292"/>
      <c r="AP93" s="292"/>
      <c r="AQ93" s="292"/>
      <c r="AR93" s="292"/>
      <c r="AS93" s="292"/>
      <c r="AT93" s="292"/>
      <c r="AU93" s="292"/>
      <c r="AV93" s="292"/>
      <c r="AW93" s="292"/>
      <c r="AX93" s="292"/>
      <c r="AY93" s="292"/>
    </row>
    <row r="94" spans="1:51" ht="15" customHeight="1">
      <c r="B94" s="918"/>
      <c r="C94" s="30"/>
      <c r="D94" s="30"/>
      <c r="E94" s="30"/>
      <c r="F94" s="30"/>
      <c r="G94" s="30"/>
      <c r="H94" s="30"/>
      <c r="I94" s="30"/>
      <c r="J94" s="30"/>
      <c r="K94" s="30"/>
      <c r="L94" s="30"/>
      <c r="M94" s="30"/>
      <c r="N94" s="30"/>
      <c r="O94" s="30"/>
      <c r="P94" s="2021"/>
      <c r="Q94" s="2021"/>
      <c r="R94" s="2021"/>
      <c r="S94" s="2021"/>
      <c r="T94" s="2021"/>
      <c r="U94" s="2021"/>
      <c r="V94" s="2184"/>
      <c r="W94" s="2184"/>
      <c r="X94" s="2184"/>
      <c r="Y94" s="2184"/>
      <c r="Z94" s="2184"/>
      <c r="AA94" s="2184"/>
      <c r="AB94" s="2184"/>
      <c r="AC94" s="2184"/>
      <c r="AD94" s="2184"/>
      <c r="AE94" s="2184"/>
      <c r="AF94" s="2184"/>
      <c r="AG94" s="2184"/>
      <c r="AH94" s="103"/>
      <c r="AI94" s="103"/>
      <c r="AJ94" s="886"/>
      <c r="AK94" s="886"/>
      <c r="AL94" s="1817"/>
    </row>
    <row r="95" spans="1:51" ht="15" customHeight="1">
      <c r="B95" s="30"/>
      <c r="P95" s="2024"/>
      <c r="Q95" s="2024"/>
      <c r="R95" s="2024"/>
      <c r="S95" s="2024"/>
      <c r="T95" s="2024"/>
      <c r="U95" s="2024"/>
      <c r="V95" s="2191"/>
      <c r="W95" s="2191"/>
      <c r="X95" s="2191"/>
      <c r="Y95" s="2191"/>
      <c r="Z95" s="2191"/>
      <c r="AA95" s="2191"/>
      <c r="AB95" s="2191"/>
      <c r="AC95" s="2191"/>
      <c r="AD95" s="2191"/>
      <c r="AE95" s="2191"/>
      <c r="AF95" s="2191"/>
      <c r="AG95" s="2191"/>
      <c r="AH95" s="885"/>
      <c r="AI95" s="885"/>
      <c r="AJ95" s="885"/>
      <c r="AK95" s="885"/>
      <c r="AL95" s="2192"/>
    </row>
    <row r="96" spans="1:51" ht="15" customHeight="1">
      <c r="B96" s="30"/>
      <c r="P96" s="2024"/>
      <c r="Q96" s="2024"/>
      <c r="R96" s="2024"/>
      <c r="S96" s="2024"/>
      <c r="T96" s="2024"/>
      <c r="U96" s="2024"/>
      <c r="V96" s="2191"/>
      <c r="W96" s="2191"/>
      <c r="X96" s="2191"/>
      <c r="Y96" s="2191"/>
      <c r="Z96" s="2191"/>
      <c r="AA96" s="2191"/>
      <c r="AB96" s="2191"/>
      <c r="AC96" s="2191"/>
      <c r="AD96" s="2191"/>
      <c r="AE96" s="2191"/>
      <c r="AF96" s="2191"/>
      <c r="AG96" s="2191"/>
      <c r="AH96" s="885"/>
      <c r="AI96" s="885"/>
      <c r="AJ96" s="885"/>
      <c r="AK96" s="885"/>
      <c r="AL96" s="2192"/>
    </row>
    <row r="97" spans="16:38" ht="15" customHeight="1">
      <c r="P97" s="2024"/>
      <c r="Q97" s="2024"/>
      <c r="R97" s="2024"/>
      <c r="S97" s="2024"/>
      <c r="T97" s="2024"/>
      <c r="U97" s="2024"/>
      <c r="V97" s="2191"/>
      <c r="W97" s="2191"/>
      <c r="X97" s="2191"/>
      <c r="Y97" s="2191"/>
      <c r="Z97" s="2191"/>
      <c r="AA97" s="2191"/>
      <c r="AB97" s="2191"/>
      <c r="AC97" s="2191"/>
      <c r="AD97" s="2191"/>
      <c r="AE97" s="2191"/>
      <c r="AF97" s="2191"/>
      <c r="AG97" s="2191"/>
      <c r="AH97" s="885"/>
      <c r="AI97" s="885"/>
      <c r="AJ97" s="885"/>
      <c r="AK97" s="885"/>
      <c r="AL97" s="2192"/>
    </row>
    <row r="98" spans="16:38" ht="15" customHeight="1">
      <c r="P98" s="2024"/>
      <c r="Q98" s="2024"/>
      <c r="R98" s="2024"/>
      <c r="S98" s="2024"/>
      <c r="T98" s="2024"/>
      <c r="U98" s="2024"/>
      <c r="V98" s="2191"/>
      <c r="W98" s="2191"/>
      <c r="X98" s="2191"/>
      <c r="Y98" s="2191"/>
      <c r="Z98" s="2191"/>
      <c r="AA98" s="2191"/>
      <c r="AB98" s="2191"/>
      <c r="AC98" s="2191"/>
      <c r="AD98" s="2191"/>
      <c r="AE98" s="2191"/>
      <c r="AF98" s="2191"/>
      <c r="AG98" s="2191"/>
      <c r="AH98" s="885"/>
      <c r="AI98" s="885"/>
      <c r="AJ98" s="885"/>
      <c r="AK98" s="885"/>
      <c r="AL98" s="2192"/>
    </row>
    <row r="99" spans="16:38" ht="15" customHeight="1">
      <c r="P99" s="2024"/>
      <c r="Q99" s="2024"/>
      <c r="R99" s="2024"/>
      <c r="S99" s="2024"/>
      <c r="T99" s="2024"/>
      <c r="U99" s="2024"/>
      <c r="V99" s="2191"/>
      <c r="W99" s="2191"/>
      <c r="X99" s="2191"/>
      <c r="Y99" s="2191"/>
      <c r="Z99" s="2191"/>
      <c r="AA99" s="2191"/>
      <c r="AB99" s="2191"/>
      <c r="AC99" s="2191"/>
      <c r="AD99" s="2191"/>
      <c r="AE99" s="2191"/>
      <c r="AF99" s="2191"/>
      <c r="AG99" s="2191"/>
      <c r="AH99" s="885"/>
      <c r="AI99" s="885"/>
      <c r="AJ99" s="885"/>
      <c r="AK99" s="885"/>
      <c r="AL99" s="2192"/>
    </row>
    <row r="100" spans="16:38" ht="15" customHeight="1">
      <c r="V100" s="885"/>
      <c r="W100" s="885"/>
      <c r="X100" s="885"/>
      <c r="Y100" s="885"/>
      <c r="Z100" s="885"/>
      <c r="AA100" s="885"/>
      <c r="AB100" s="885"/>
      <c r="AC100" s="885"/>
      <c r="AH100" s="885"/>
      <c r="AI100" s="885"/>
      <c r="AJ100" s="885"/>
      <c r="AK100" s="885"/>
      <c r="AL100" s="2192"/>
    </row>
    <row r="101" spans="16:38" ht="15" customHeight="1">
      <c r="V101" s="885"/>
      <c r="W101" s="885"/>
      <c r="X101" s="885"/>
      <c r="Y101" s="885"/>
      <c r="Z101" s="885"/>
      <c r="AA101" s="885"/>
      <c r="AB101" s="885"/>
      <c r="AC101" s="885"/>
      <c r="AH101" s="885"/>
      <c r="AI101" s="885"/>
      <c r="AJ101" s="885"/>
      <c r="AK101" s="885"/>
      <c r="AL101" s="2192"/>
    </row>
    <row r="102" spans="16:38" ht="15" customHeight="1">
      <c r="V102" s="885"/>
      <c r="W102" s="885"/>
      <c r="X102" s="885"/>
      <c r="Y102" s="885"/>
      <c r="Z102" s="885"/>
      <c r="AA102" s="885"/>
      <c r="AB102" s="885"/>
      <c r="AC102" s="885"/>
      <c r="AH102" s="885"/>
      <c r="AI102" s="885"/>
      <c r="AJ102" s="885"/>
      <c r="AK102" s="885"/>
      <c r="AL102" s="2192"/>
    </row>
    <row r="103" spans="16:38" ht="15" customHeight="1">
      <c r="V103" s="885"/>
      <c r="W103" s="885"/>
      <c r="X103" s="885"/>
      <c r="Y103" s="885"/>
      <c r="Z103" s="885"/>
      <c r="AA103" s="885"/>
      <c r="AB103" s="885"/>
      <c r="AC103" s="885"/>
      <c r="AH103" s="885"/>
      <c r="AI103" s="885"/>
      <c r="AJ103" s="885"/>
      <c r="AK103" s="885"/>
      <c r="AL103" s="2192"/>
    </row>
    <row r="104" spans="16:38" ht="15" customHeight="1">
      <c r="V104" s="885"/>
      <c r="W104" s="885"/>
      <c r="X104" s="885"/>
      <c r="Y104" s="885"/>
      <c r="Z104" s="885"/>
      <c r="AA104" s="885"/>
      <c r="AB104" s="885"/>
      <c r="AC104" s="885"/>
      <c r="AH104" s="885"/>
      <c r="AI104" s="885"/>
      <c r="AJ104" s="885"/>
      <c r="AK104" s="885"/>
      <c r="AL104" s="2192"/>
    </row>
    <row r="105" spans="16:38" ht="15" customHeight="1">
      <c r="AL105" s="1447"/>
    </row>
    <row r="106" spans="16:38" ht="15" customHeight="1">
      <c r="AL106" s="1447"/>
    </row>
    <row r="107" spans="16:38" ht="15" customHeight="1">
      <c r="AL107" s="1447"/>
    </row>
    <row r="108" spans="16:38" ht="15" customHeight="1">
      <c r="AL108" s="1447"/>
    </row>
    <row r="109" spans="16:38" ht="15" customHeight="1">
      <c r="AL109" s="1447"/>
    </row>
    <row r="110" spans="16:38" ht="15" customHeight="1">
      <c r="AL110" s="1447"/>
    </row>
    <row r="111" spans="16:38" ht="15" customHeight="1">
      <c r="AL111" s="1447"/>
    </row>
    <row r="112" spans="16:38" ht="15" customHeight="1">
      <c r="AL112" s="1447"/>
    </row>
    <row r="113" spans="38:38" ht="15" customHeight="1">
      <c r="AL113" s="1447"/>
    </row>
    <row r="114" spans="38:38" ht="15" customHeight="1">
      <c r="AL114" s="1447"/>
    </row>
    <row r="115" spans="38:38" ht="15" customHeight="1">
      <c r="AL115" s="1447"/>
    </row>
    <row r="116" spans="38:38" ht="15" customHeight="1">
      <c r="AL116" s="1447"/>
    </row>
    <row r="117" spans="38:38" ht="15" customHeight="1">
      <c r="AL117" s="1447"/>
    </row>
    <row r="118" spans="38:38" ht="15" customHeight="1">
      <c r="AL118" s="1447"/>
    </row>
    <row r="119" spans="38:38" ht="15" customHeight="1">
      <c r="AL119" s="1447"/>
    </row>
    <row r="120" spans="38:38" ht="15" customHeight="1">
      <c r="AL120" s="1447"/>
    </row>
    <row r="121" spans="38:38" ht="15" customHeight="1">
      <c r="AL121" s="1447"/>
    </row>
    <row r="122" spans="38:38" ht="15" customHeight="1">
      <c r="AL122" s="1447"/>
    </row>
    <row r="123" spans="38:38" ht="15" customHeight="1">
      <c r="AL123" s="1447"/>
    </row>
    <row r="124" spans="38:38" ht="15" customHeight="1">
      <c r="AL124" s="1447"/>
    </row>
    <row r="125" spans="38:38" ht="15" customHeight="1">
      <c r="AL125" s="1447"/>
    </row>
    <row r="126" spans="38:38" ht="15" customHeight="1">
      <c r="AL126" s="1447"/>
    </row>
    <row r="127" spans="38:38" ht="15" customHeight="1">
      <c r="AL127" s="1447"/>
    </row>
    <row r="128" spans="38:38" ht="15" customHeight="1">
      <c r="AL128" s="1447"/>
    </row>
    <row r="129" spans="38:38" ht="15" customHeight="1">
      <c r="AL129" s="1447"/>
    </row>
    <row r="130" spans="38:38" ht="15" customHeight="1">
      <c r="AL130" s="1447"/>
    </row>
    <row r="131" spans="38:38" ht="15" customHeight="1">
      <c r="AL131" s="1447"/>
    </row>
    <row r="132" spans="38:38" ht="15" customHeight="1">
      <c r="AL132" s="1447"/>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92" workbookViewId="0"/>
  </sheetViews>
  <sheetFormatPr defaultRowHeight="12.5"/>
  <cols>
    <col min="1" max="1" width="40.4609375" style="2645" customWidth="1"/>
    <col min="2" max="2" width="10.4609375" style="2645" customWidth="1"/>
    <col min="3" max="3" width="1.07421875" style="2645" customWidth="1"/>
    <col min="4" max="4" width="10" style="2645" customWidth="1"/>
    <col min="5" max="5" width="1.07421875" style="2645" customWidth="1"/>
    <col min="6" max="6" width="9.07421875" style="2646" customWidth="1"/>
    <col min="7" max="7" width="1.07421875" style="2645" customWidth="1"/>
    <col min="8" max="8" width="10" style="2645" customWidth="1"/>
    <col min="9" max="9" width="1.07421875" style="2645" customWidth="1"/>
    <col min="10" max="10" width="9.4609375" style="2645" customWidth="1"/>
    <col min="11" max="11" width="1.07421875" style="2645" customWidth="1"/>
    <col min="12" max="12" width="11.07421875" style="2645" customWidth="1"/>
    <col min="13" max="13" width="1.07421875" style="2645" customWidth="1"/>
    <col min="14" max="14" width="10.69140625" style="2645" customWidth="1"/>
    <col min="15" max="15" width="1.69140625" style="2645" customWidth="1"/>
    <col min="16" max="16" width="11" style="2645" customWidth="1"/>
    <col min="17" max="17" width="1.07421875" style="2645" customWidth="1"/>
    <col min="18" max="18" width="10.69140625" style="2645" customWidth="1"/>
    <col min="19" max="19" width="1.07421875" style="2645" customWidth="1"/>
    <col min="20" max="20" width="10" style="2645" customWidth="1"/>
    <col min="21" max="21" width="1.07421875" style="2645" customWidth="1"/>
    <col min="22" max="22" width="12.69140625" style="2645" customWidth="1"/>
    <col min="23" max="23" width="1.07421875" style="2645" customWidth="1"/>
    <col min="24" max="24" width="11.07421875" style="2645" bestFit="1" customWidth="1"/>
    <col min="25" max="25" width="1.07421875" style="2645" customWidth="1"/>
    <col min="26" max="26" width="0.69140625" style="2645" customWidth="1"/>
    <col min="27" max="27" width="10.53515625" style="2645" customWidth="1"/>
    <col min="28" max="28" width="2.07421875" style="2645" customWidth="1"/>
    <col min="29" max="29" width="0.69140625" style="2645" customWidth="1"/>
    <col min="30" max="30" width="11" style="2645" bestFit="1" customWidth="1"/>
    <col min="31" max="32" width="0.69140625" style="2645" customWidth="1"/>
    <col min="33" max="33" width="9.69140625" style="2645" customWidth="1"/>
    <col min="34" max="34" width="1.07421875" style="2645" customWidth="1"/>
    <col min="35" max="35" width="11" style="2645" customWidth="1"/>
    <col min="36" max="36" width="14.53515625" style="2647" customWidth="1"/>
    <col min="37" max="252" width="8.69140625" style="2645"/>
    <col min="253" max="253" width="38.4609375" style="2645" customWidth="1"/>
    <col min="254" max="254" width="8.53515625" style="2645" customWidth="1"/>
    <col min="255" max="255" width="1.07421875" style="2645" customWidth="1"/>
    <col min="256" max="256" width="8.69140625" style="2645" customWidth="1"/>
    <col min="257" max="257" width="1.07421875" style="2645" customWidth="1"/>
    <col min="258" max="258" width="9.07421875" style="2645" customWidth="1"/>
    <col min="259" max="259" width="1.07421875" style="2645" customWidth="1"/>
    <col min="260" max="260" width="10" style="2645" customWidth="1"/>
    <col min="261" max="261" width="1.07421875" style="2645" customWidth="1"/>
    <col min="262" max="262" width="9.07421875" style="2645" customWidth="1"/>
    <col min="263" max="263" width="1.07421875" style="2645" customWidth="1"/>
    <col min="264" max="264" width="11.07421875" style="2645" customWidth="1"/>
    <col min="265" max="265" width="1.07421875" style="2645" customWidth="1"/>
    <col min="266" max="266" width="9.07421875" style="2645" customWidth="1"/>
    <col min="267" max="267" width="1.69140625" style="2645" customWidth="1"/>
    <col min="268" max="268" width="11" style="2645" customWidth="1"/>
    <col min="269" max="269" width="1.07421875" style="2645" customWidth="1"/>
    <col min="270" max="270" width="10.69140625" style="2645" customWidth="1"/>
    <col min="271" max="271" width="1.07421875" style="2645" customWidth="1"/>
    <col min="272" max="272" width="10" style="2645" customWidth="1"/>
    <col min="273" max="273" width="1.07421875" style="2645" customWidth="1"/>
    <col min="274" max="274" width="9.07421875" style="2645" customWidth="1"/>
    <col min="275" max="275" width="1.07421875" style="2645" customWidth="1"/>
    <col min="276" max="276" width="7.69140625" style="2645" customWidth="1"/>
    <col min="277" max="277" width="1.07421875" style="2645" customWidth="1"/>
    <col min="278" max="278" width="0.69140625" style="2645" customWidth="1"/>
    <col min="279" max="279" width="9.07421875" style="2645" customWidth="1"/>
    <col min="280" max="280" width="1.07421875" style="2645" customWidth="1"/>
    <col min="281" max="281" width="0.69140625" style="2645" customWidth="1"/>
    <col min="282" max="282" width="9.53515625" style="2645" bestFit="1" customWidth="1"/>
    <col min="283" max="284" width="0.69140625" style="2645" customWidth="1"/>
    <col min="285" max="285" width="9.69140625" style="2645" customWidth="1"/>
    <col min="286" max="286" width="1.07421875" style="2645" customWidth="1"/>
    <col min="287" max="287" width="8.53515625" style="2645" customWidth="1"/>
    <col min="288" max="288" width="14.53515625" style="2645" customWidth="1"/>
    <col min="289" max="289" width="10" style="2645" customWidth="1"/>
    <col min="290" max="290" width="7.69140625" style="2645" bestFit="1" customWidth="1"/>
    <col min="291" max="291" width="9.69140625" style="2645" customWidth="1"/>
    <col min="292" max="508" width="8.69140625" style="2645"/>
    <col min="509" max="509" width="38.4609375" style="2645" customWidth="1"/>
    <col min="510" max="510" width="8.53515625" style="2645" customWidth="1"/>
    <col min="511" max="511" width="1.07421875" style="2645" customWidth="1"/>
    <col min="512" max="512" width="8.69140625" style="2645" customWidth="1"/>
    <col min="513" max="513" width="1.07421875" style="2645" customWidth="1"/>
    <col min="514" max="514" width="9.07421875" style="2645" customWidth="1"/>
    <col min="515" max="515" width="1.07421875" style="2645" customWidth="1"/>
    <col min="516" max="516" width="10" style="2645" customWidth="1"/>
    <col min="517" max="517" width="1.07421875" style="2645" customWidth="1"/>
    <col min="518" max="518" width="9.07421875" style="2645" customWidth="1"/>
    <col min="519" max="519" width="1.07421875" style="2645" customWidth="1"/>
    <col min="520" max="520" width="11.07421875" style="2645" customWidth="1"/>
    <col min="521" max="521" width="1.07421875" style="2645" customWidth="1"/>
    <col min="522" max="522" width="9.07421875" style="2645" customWidth="1"/>
    <col min="523" max="523" width="1.69140625" style="2645" customWidth="1"/>
    <col min="524" max="524" width="11" style="2645" customWidth="1"/>
    <col min="525" max="525" width="1.07421875" style="2645" customWidth="1"/>
    <col min="526" max="526" width="10.69140625" style="2645" customWidth="1"/>
    <col min="527" max="527" width="1.07421875" style="2645" customWidth="1"/>
    <col min="528" max="528" width="10" style="2645" customWidth="1"/>
    <col min="529" max="529" width="1.07421875" style="2645" customWidth="1"/>
    <col min="530" max="530" width="9.07421875" style="2645" customWidth="1"/>
    <col min="531" max="531" width="1.07421875" style="2645" customWidth="1"/>
    <col min="532" max="532" width="7.69140625" style="2645" customWidth="1"/>
    <col min="533" max="533" width="1.07421875" style="2645" customWidth="1"/>
    <col min="534" max="534" width="0.69140625" style="2645" customWidth="1"/>
    <col min="535" max="535" width="9.07421875" style="2645" customWidth="1"/>
    <col min="536" max="536" width="1.07421875" style="2645" customWidth="1"/>
    <col min="537" max="537" width="0.69140625" style="2645" customWidth="1"/>
    <col min="538" max="538" width="9.53515625" style="2645" bestFit="1" customWidth="1"/>
    <col min="539" max="540" width="0.69140625" style="2645" customWidth="1"/>
    <col min="541" max="541" width="9.69140625" style="2645" customWidth="1"/>
    <col min="542" max="542" width="1.07421875" style="2645" customWidth="1"/>
    <col min="543" max="543" width="8.53515625" style="2645" customWidth="1"/>
    <col min="544" max="544" width="14.53515625" style="2645" customWidth="1"/>
    <col min="545" max="545" width="10" style="2645" customWidth="1"/>
    <col min="546" max="546" width="7.69140625" style="2645" bestFit="1" customWidth="1"/>
    <col min="547" max="547" width="9.69140625" style="2645" customWidth="1"/>
    <col min="548" max="764" width="8.69140625" style="2645"/>
    <col min="765" max="765" width="38.4609375" style="2645" customWidth="1"/>
    <col min="766" max="766" width="8.53515625" style="2645" customWidth="1"/>
    <col min="767" max="767" width="1.07421875" style="2645" customWidth="1"/>
    <col min="768" max="768" width="8.69140625" style="2645" customWidth="1"/>
    <col min="769" max="769" width="1.07421875" style="2645" customWidth="1"/>
    <col min="770" max="770" width="9.07421875" style="2645" customWidth="1"/>
    <col min="771" max="771" width="1.07421875" style="2645" customWidth="1"/>
    <col min="772" max="772" width="10" style="2645" customWidth="1"/>
    <col min="773" max="773" width="1.07421875" style="2645" customWidth="1"/>
    <col min="774" max="774" width="9.07421875" style="2645" customWidth="1"/>
    <col min="775" max="775" width="1.07421875" style="2645" customWidth="1"/>
    <col min="776" max="776" width="11.07421875" style="2645" customWidth="1"/>
    <col min="777" max="777" width="1.07421875" style="2645" customWidth="1"/>
    <col min="778" max="778" width="9.07421875" style="2645" customWidth="1"/>
    <col min="779" max="779" width="1.69140625" style="2645" customWidth="1"/>
    <col min="780" max="780" width="11" style="2645" customWidth="1"/>
    <col min="781" max="781" width="1.07421875" style="2645" customWidth="1"/>
    <col min="782" max="782" width="10.69140625" style="2645" customWidth="1"/>
    <col min="783" max="783" width="1.07421875" style="2645" customWidth="1"/>
    <col min="784" max="784" width="10" style="2645" customWidth="1"/>
    <col min="785" max="785" width="1.07421875" style="2645" customWidth="1"/>
    <col min="786" max="786" width="9.07421875" style="2645" customWidth="1"/>
    <col min="787" max="787" width="1.07421875" style="2645" customWidth="1"/>
    <col min="788" max="788" width="7.69140625" style="2645" customWidth="1"/>
    <col min="789" max="789" width="1.07421875" style="2645" customWidth="1"/>
    <col min="790" max="790" width="0.69140625" style="2645" customWidth="1"/>
    <col min="791" max="791" width="9.07421875" style="2645" customWidth="1"/>
    <col min="792" max="792" width="1.07421875" style="2645" customWidth="1"/>
    <col min="793" max="793" width="0.69140625" style="2645" customWidth="1"/>
    <col min="794" max="794" width="9.53515625" style="2645" bestFit="1" customWidth="1"/>
    <col min="795" max="796" width="0.69140625" style="2645" customWidth="1"/>
    <col min="797" max="797" width="9.69140625" style="2645" customWidth="1"/>
    <col min="798" max="798" width="1.07421875" style="2645" customWidth="1"/>
    <col min="799" max="799" width="8.53515625" style="2645" customWidth="1"/>
    <col min="800" max="800" width="14.53515625" style="2645" customWidth="1"/>
    <col min="801" max="801" width="10" style="2645" customWidth="1"/>
    <col min="802" max="802" width="7.69140625" style="2645" bestFit="1" customWidth="1"/>
    <col min="803" max="803" width="9.69140625" style="2645" customWidth="1"/>
    <col min="804" max="1020" width="8.69140625" style="2645"/>
    <col min="1021" max="1021" width="38.4609375" style="2645" customWidth="1"/>
    <col min="1022" max="1022" width="8.53515625" style="2645" customWidth="1"/>
    <col min="1023" max="1023" width="1.07421875" style="2645" customWidth="1"/>
    <col min="1024" max="1024" width="8.69140625" style="2645" customWidth="1"/>
    <col min="1025" max="1025" width="1.07421875" style="2645" customWidth="1"/>
    <col min="1026" max="1026" width="9.07421875" style="2645" customWidth="1"/>
    <col min="1027" max="1027" width="1.07421875" style="2645" customWidth="1"/>
    <col min="1028" max="1028" width="10" style="2645" customWidth="1"/>
    <col min="1029" max="1029" width="1.07421875" style="2645" customWidth="1"/>
    <col min="1030" max="1030" width="9.07421875" style="2645" customWidth="1"/>
    <col min="1031" max="1031" width="1.07421875" style="2645" customWidth="1"/>
    <col min="1032" max="1032" width="11.07421875" style="2645" customWidth="1"/>
    <col min="1033" max="1033" width="1.07421875" style="2645" customWidth="1"/>
    <col min="1034" max="1034" width="9.07421875" style="2645" customWidth="1"/>
    <col min="1035" max="1035" width="1.69140625" style="2645" customWidth="1"/>
    <col min="1036" max="1036" width="11" style="2645" customWidth="1"/>
    <col min="1037" max="1037" width="1.07421875" style="2645" customWidth="1"/>
    <col min="1038" max="1038" width="10.69140625" style="2645" customWidth="1"/>
    <col min="1039" max="1039" width="1.07421875" style="2645" customWidth="1"/>
    <col min="1040" max="1040" width="10" style="2645" customWidth="1"/>
    <col min="1041" max="1041" width="1.07421875" style="2645" customWidth="1"/>
    <col min="1042" max="1042" width="9.07421875" style="2645" customWidth="1"/>
    <col min="1043" max="1043" width="1.07421875" style="2645" customWidth="1"/>
    <col min="1044" max="1044" width="7.69140625" style="2645" customWidth="1"/>
    <col min="1045" max="1045" width="1.07421875" style="2645" customWidth="1"/>
    <col min="1046" max="1046" width="0.69140625" style="2645" customWidth="1"/>
    <col min="1047" max="1047" width="9.07421875" style="2645" customWidth="1"/>
    <col min="1048" max="1048" width="1.07421875" style="2645" customWidth="1"/>
    <col min="1049" max="1049" width="0.69140625" style="2645" customWidth="1"/>
    <col min="1050" max="1050" width="9.53515625" style="2645" bestFit="1" customWidth="1"/>
    <col min="1051" max="1052" width="0.69140625" style="2645" customWidth="1"/>
    <col min="1053" max="1053" width="9.69140625" style="2645" customWidth="1"/>
    <col min="1054" max="1054" width="1.07421875" style="2645" customWidth="1"/>
    <col min="1055" max="1055" width="8.53515625" style="2645" customWidth="1"/>
    <col min="1056" max="1056" width="14.53515625" style="2645" customWidth="1"/>
    <col min="1057" max="1057" width="10" style="2645" customWidth="1"/>
    <col min="1058" max="1058" width="7.69140625" style="2645" bestFit="1" customWidth="1"/>
    <col min="1059" max="1059" width="9.69140625" style="2645" customWidth="1"/>
    <col min="1060" max="1276" width="8.69140625" style="2645"/>
    <col min="1277" max="1277" width="38.4609375" style="2645" customWidth="1"/>
    <col min="1278" max="1278" width="8.53515625" style="2645" customWidth="1"/>
    <col min="1279" max="1279" width="1.07421875" style="2645" customWidth="1"/>
    <col min="1280" max="1280" width="8.69140625" style="2645" customWidth="1"/>
    <col min="1281" max="1281" width="1.07421875" style="2645" customWidth="1"/>
    <col min="1282" max="1282" width="9.07421875" style="2645" customWidth="1"/>
    <col min="1283" max="1283" width="1.07421875" style="2645" customWidth="1"/>
    <col min="1284" max="1284" width="10" style="2645" customWidth="1"/>
    <col min="1285" max="1285" width="1.07421875" style="2645" customWidth="1"/>
    <col min="1286" max="1286" width="9.07421875" style="2645" customWidth="1"/>
    <col min="1287" max="1287" width="1.07421875" style="2645" customWidth="1"/>
    <col min="1288" max="1288" width="11.07421875" style="2645" customWidth="1"/>
    <col min="1289" max="1289" width="1.07421875" style="2645" customWidth="1"/>
    <col min="1290" max="1290" width="9.07421875" style="2645" customWidth="1"/>
    <col min="1291" max="1291" width="1.69140625" style="2645" customWidth="1"/>
    <col min="1292" max="1292" width="11" style="2645" customWidth="1"/>
    <col min="1293" max="1293" width="1.07421875" style="2645" customWidth="1"/>
    <col min="1294" max="1294" width="10.69140625" style="2645" customWidth="1"/>
    <col min="1295" max="1295" width="1.07421875" style="2645" customWidth="1"/>
    <col min="1296" max="1296" width="10" style="2645" customWidth="1"/>
    <col min="1297" max="1297" width="1.07421875" style="2645" customWidth="1"/>
    <col min="1298" max="1298" width="9.07421875" style="2645" customWidth="1"/>
    <col min="1299" max="1299" width="1.07421875" style="2645" customWidth="1"/>
    <col min="1300" max="1300" width="7.69140625" style="2645" customWidth="1"/>
    <col min="1301" max="1301" width="1.07421875" style="2645" customWidth="1"/>
    <col min="1302" max="1302" width="0.69140625" style="2645" customWidth="1"/>
    <col min="1303" max="1303" width="9.07421875" style="2645" customWidth="1"/>
    <col min="1304" max="1304" width="1.07421875" style="2645" customWidth="1"/>
    <col min="1305" max="1305" width="0.69140625" style="2645" customWidth="1"/>
    <col min="1306" max="1306" width="9.53515625" style="2645" bestFit="1" customWidth="1"/>
    <col min="1307" max="1308" width="0.69140625" style="2645" customWidth="1"/>
    <col min="1309" max="1309" width="9.69140625" style="2645" customWidth="1"/>
    <col min="1310" max="1310" width="1.07421875" style="2645" customWidth="1"/>
    <col min="1311" max="1311" width="8.53515625" style="2645" customWidth="1"/>
    <col min="1312" max="1312" width="14.53515625" style="2645" customWidth="1"/>
    <col min="1313" max="1313" width="10" style="2645" customWidth="1"/>
    <col min="1314" max="1314" width="7.69140625" style="2645" bestFit="1" customWidth="1"/>
    <col min="1315" max="1315" width="9.69140625" style="2645" customWidth="1"/>
    <col min="1316" max="1532" width="8.69140625" style="2645"/>
    <col min="1533" max="1533" width="38.4609375" style="2645" customWidth="1"/>
    <col min="1534" max="1534" width="8.53515625" style="2645" customWidth="1"/>
    <col min="1535" max="1535" width="1.07421875" style="2645" customWidth="1"/>
    <col min="1536" max="1536" width="8.69140625" style="2645" customWidth="1"/>
    <col min="1537" max="1537" width="1.07421875" style="2645" customWidth="1"/>
    <col min="1538" max="1538" width="9.07421875" style="2645" customWidth="1"/>
    <col min="1539" max="1539" width="1.07421875" style="2645" customWidth="1"/>
    <col min="1540" max="1540" width="10" style="2645" customWidth="1"/>
    <col min="1541" max="1541" width="1.07421875" style="2645" customWidth="1"/>
    <col min="1542" max="1542" width="9.07421875" style="2645" customWidth="1"/>
    <col min="1543" max="1543" width="1.07421875" style="2645" customWidth="1"/>
    <col min="1544" max="1544" width="11.07421875" style="2645" customWidth="1"/>
    <col min="1545" max="1545" width="1.07421875" style="2645" customWidth="1"/>
    <col min="1546" max="1546" width="9.07421875" style="2645" customWidth="1"/>
    <col min="1547" max="1547" width="1.69140625" style="2645" customWidth="1"/>
    <col min="1548" max="1548" width="11" style="2645" customWidth="1"/>
    <col min="1549" max="1549" width="1.07421875" style="2645" customWidth="1"/>
    <col min="1550" max="1550" width="10.69140625" style="2645" customWidth="1"/>
    <col min="1551" max="1551" width="1.07421875" style="2645" customWidth="1"/>
    <col min="1552" max="1552" width="10" style="2645" customWidth="1"/>
    <col min="1553" max="1553" width="1.07421875" style="2645" customWidth="1"/>
    <col min="1554" max="1554" width="9.07421875" style="2645" customWidth="1"/>
    <col min="1555" max="1555" width="1.07421875" style="2645" customWidth="1"/>
    <col min="1556" max="1556" width="7.69140625" style="2645" customWidth="1"/>
    <col min="1557" max="1557" width="1.07421875" style="2645" customWidth="1"/>
    <col min="1558" max="1558" width="0.69140625" style="2645" customWidth="1"/>
    <col min="1559" max="1559" width="9.07421875" style="2645" customWidth="1"/>
    <col min="1560" max="1560" width="1.07421875" style="2645" customWidth="1"/>
    <col min="1561" max="1561" width="0.69140625" style="2645" customWidth="1"/>
    <col min="1562" max="1562" width="9.53515625" style="2645" bestFit="1" customWidth="1"/>
    <col min="1563" max="1564" width="0.69140625" style="2645" customWidth="1"/>
    <col min="1565" max="1565" width="9.69140625" style="2645" customWidth="1"/>
    <col min="1566" max="1566" width="1.07421875" style="2645" customWidth="1"/>
    <col min="1567" max="1567" width="8.53515625" style="2645" customWidth="1"/>
    <col min="1568" max="1568" width="14.53515625" style="2645" customWidth="1"/>
    <col min="1569" max="1569" width="10" style="2645" customWidth="1"/>
    <col min="1570" max="1570" width="7.69140625" style="2645" bestFit="1" customWidth="1"/>
    <col min="1571" max="1571" width="9.69140625" style="2645" customWidth="1"/>
    <col min="1572" max="1788" width="8.69140625" style="2645"/>
    <col min="1789" max="1789" width="38.4609375" style="2645" customWidth="1"/>
    <col min="1790" max="1790" width="8.53515625" style="2645" customWidth="1"/>
    <col min="1791" max="1791" width="1.07421875" style="2645" customWidth="1"/>
    <col min="1792" max="1792" width="8.69140625" style="2645" customWidth="1"/>
    <col min="1793" max="1793" width="1.07421875" style="2645" customWidth="1"/>
    <col min="1794" max="1794" width="9.07421875" style="2645" customWidth="1"/>
    <col min="1795" max="1795" width="1.07421875" style="2645" customWidth="1"/>
    <col min="1796" max="1796" width="10" style="2645" customWidth="1"/>
    <col min="1797" max="1797" width="1.07421875" style="2645" customWidth="1"/>
    <col min="1798" max="1798" width="9.07421875" style="2645" customWidth="1"/>
    <col min="1799" max="1799" width="1.07421875" style="2645" customWidth="1"/>
    <col min="1800" max="1800" width="11.07421875" style="2645" customWidth="1"/>
    <col min="1801" max="1801" width="1.07421875" style="2645" customWidth="1"/>
    <col min="1802" max="1802" width="9.07421875" style="2645" customWidth="1"/>
    <col min="1803" max="1803" width="1.69140625" style="2645" customWidth="1"/>
    <col min="1804" max="1804" width="11" style="2645" customWidth="1"/>
    <col min="1805" max="1805" width="1.07421875" style="2645" customWidth="1"/>
    <col min="1806" max="1806" width="10.69140625" style="2645" customWidth="1"/>
    <col min="1807" max="1807" width="1.07421875" style="2645" customWidth="1"/>
    <col min="1808" max="1808" width="10" style="2645" customWidth="1"/>
    <col min="1809" max="1809" width="1.07421875" style="2645" customWidth="1"/>
    <col min="1810" max="1810" width="9.07421875" style="2645" customWidth="1"/>
    <col min="1811" max="1811" width="1.07421875" style="2645" customWidth="1"/>
    <col min="1812" max="1812" width="7.69140625" style="2645" customWidth="1"/>
    <col min="1813" max="1813" width="1.07421875" style="2645" customWidth="1"/>
    <col min="1814" max="1814" width="0.69140625" style="2645" customWidth="1"/>
    <col min="1815" max="1815" width="9.07421875" style="2645" customWidth="1"/>
    <col min="1816" max="1816" width="1.07421875" style="2645" customWidth="1"/>
    <col min="1817" max="1817" width="0.69140625" style="2645" customWidth="1"/>
    <col min="1818" max="1818" width="9.53515625" style="2645" bestFit="1" customWidth="1"/>
    <col min="1819" max="1820" width="0.69140625" style="2645" customWidth="1"/>
    <col min="1821" max="1821" width="9.69140625" style="2645" customWidth="1"/>
    <col min="1822" max="1822" width="1.07421875" style="2645" customWidth="1"/>
    <col min="1823" max="1823" width="8.53515625" style="2645" customWidth="1"/>
    <col min="1824" max="1824" width="14.53515625" style="2645" customWidth="1"/>
    <col min="1825" max="1825" width="10" style="2645" customWidth="1"/>
    <col min="1826" max="1826" width="7.69140625" style="2645" bestFit="1" customWidth="1"/>
    <col min="1827" max="1827" width="9.69140625" style="2645" customWidth="1"/>
    <col min="1828" max="2044" width="8.69140625" style="2645"/>
    <col min="2045" max="2045" width="38.4609375" style="2645" customWidth="1"/>
    <col min="2046" max="2046" width="8.53515625" style="2645" customWidth="1"/>
    <col min="2047" max="2047" width="1.07421875" style="2645" customWidth="1"/>
    <col min="2048" max="2048" width="8.69140625" style="2645" customWidth="1"/>
    <col min="2049" max="2049" width="1.07421875" style="2645" customWidth="1"/>
    <col min="2050" max="2050" width="9.07421875" style="2645" customWidth="1"/>
    <col min="2051" max="2051" width="1.07421875" style="2645" customWidth="1"/>
    <col min="2052" max="2052" width="10" style="2645" customWidth="1"/>
    <col min="2053" max="2053" width="1.07421875" style="2645" customWidth="1"/>
    <col min="2054" max="2054" width="9.07421875" style="2645" customWidth="1"/>
    <col min="2055" max="2055" width="1.07421875" style="2645" customWidth="1"/>
    <col min="2056" max="2056" width="11.07421875" style="2645" customWidth="1"/>
    <col min="2057" max="2057" width="1.07421875" style="2645" customWidth="1"/>
    <col min="2058" max="2058" width="9.07421875" style="2645" customWidth="1"/>
    <col min="2059" max="2059" width="1.69140625" style="2645" customWidth="1"/>
    <col min="2060" max="2060" width="11" style="2645" customWidth="1"/>
    <col min="2061" max="2061" width="1.07421875" style="2645" customWidth="1"/>
    <col min="2062" max="2062" width="10.69140625" style="2645" customWidth="1"/>
    <col min="2063" max="2063" width="1.07421875" style="2645" customWidth="1"/>
    <col min="2064" max="2064" width="10" style="2645" customWidth="1"/>
    <col min="2065" max="2065" width="1.07421875" style="2645" customWidth="1"/>
    <col min="2066" max="2066" width="9.07421875" style="2645" customWidth="1"/>
    <col min="2067" max="2067" width="1.07421875" style="2645" customWidth="1"/>
    <col min="2068" max="2068" width="7.69140625" style="2645" customWidth="1"/>
    <col min="2069" max="2069" width="1.07421875" style="2645" customWidth="1"/>
    <col min="2070" max="2070" width="0.69140625" style="2645" customWidth="1"/>
    <col min="2071" max="2071" width="9.07421875" style="2645" customWidth="1"/>
    <col min="2072" max="2072" width="1.07421875" style="2645" customWidth="1"/>
    <col min="2073" max="2073" width="0.69140625" style="2645" customWidth="1"/>
    <col min="2074" max="2074" width="9.53515625" style="2645" bestFit="1" customWidth="1"/>
    <col min="2075" max="2076" width="0.69140625" style="2645" customWidth="1"/>
    <col min="2077" max="2077" width="9.69140625" style="2645" customWidth="1"/>
    <col min="2078" max="2078" width="1.07421875" style="2645" customWidth="1"/>
    <col min="2079" max="2079" width="8.53515625" style="2645" customWidth="1"/>
    <col min="2080" max="2080" width="14.53515625" style="2645" customWidth="1"/>
    <col min="2081" max="2081" width="10" style="2645" customWidth="1"/>
    <col min="2082" max="2082" width="7.69140625" style="2645" bestFit="1" customWidth="1"/>
    <col min="2083" max="2083" width="9.69140625" style="2645" customWidth="1"/>
    <col min="2084" max="2300" width="8.69140625" style="2645"/>
    <col min="2301" max="2301" width="38.4609375" style="2645" customWidth="1"/>
    <col min="2302" max="2302" width="8.53515625" style="2645" customWidth="1"/>
    <col min="2303" max="2303" width="1.07421875" style="2645" customWidth="1"/>
    <col min="2304" max="2304" width="8.69140625" style="2645" customWidth="1"/>
    <col min="2305" max="2305" width="1.07421875" style="2645" customWidth="1"/>
    <col min="2306" max="2306" width="9.07421875" style="2645" customWidth="1"/>
    <col min="2307" max="2307" width="1.07421875" style="2645" customWidth="1"/>
    <col min="2308" max="2308" width="10" style="2645" customWidth="1"/>
    <col min="2309" max="2309" width="1.07421875" style="2645" customWidth="1"/>
    <col min="2310" max="2310" width="9.07421875" style="2645" customWidth="1"/>
    <col min="2311" max="2311" width="1.07421875" style="2645" customWidth="1"/>
    <col min="2312" max="2312" width="11.07421875" style="2645" customWidth="1"/>
    <col min="2313" max="2313" width="1.07421875" style="2645" customWidth="1"/>
    <col min="2314" max="2314" width="9.07421875" style="2645" customWidth="1"/>
    <col min="2315" max="2315" width="1.69140625" style="2645" customWidth="1"/>
    <col min="2316" max="2316" width="11" style="2645" customWidth="1"/>
    <col min="2317" max="2317" width="1.07421875" style="2645" customWidth="1"/>
    <col min="2318" max="2318" width="10.69140625" style="2645" customWidth="1"/>
    <col min="2319" max="2319" width="1.07421875" style="2645" customWidth="1"/>
    <col min="2320" max="2320" width="10" style="2645" customWidth="1"/>
    <col min="2321" max="2321" width="1.07421875" style="2645" customWidth="1"/>
    <col min="2322" max="2322" width="9.07421875" style="2645" customWidth="1"/>
    <col min="2323" max="2323" width="1.07421875" style="2645" customWidth="1"/>
    <col min="2324" max="2324" width="7.69140625" style="2645" customWidth="1"/>
    <col min="2325" max="2325" width="1.07421875" style="2645" customWidth="1"/>
    <col min="2326" max="2326" width="0.69140625" style="2645" customWidth="1"/>
    <col min="2327" max="2327" width="9.07421875" style="2645" customWidth="1"/>
    <col min="2328" max="2328" width="1.07421875" style="2645" customWidth="1"/>
    <col min="2329" max="2329" width="0.69140625" style="2645" customWidth="1"/>
    <col min="2330" max="2330" width="9.53515625" style="2645" bestFit="1" customWidth="1"/>
    <col min="2331" max="2332" width="0.69140625" style="2645" customWidth="1"/>
    <col min="2333" max="2333" width="9.69140625" style="2645" customWidth="1"/>
    <col min="2334" max="2334" width="1.07421875" style="2645" customWidth="1"/>
    <col min="2335" max="2335" width="8.53515625" style="2645" customWidth="1"/>
    <col min="2336" max="2336" width="14.53515625" style="2645" customWidth="1"/>
    <col min="2337" max="2337" width="10" style="2645" customWidth="1"/>
    <col min="2338" max="2338" width="7.69140625" style="2645" bestFit="1" customWidth="1"/>
    <col min="2339" max="2339" width="9.69140625" style="2645" customWidth="1"/>
    <col min="2340" max="2556" width="8.69140625" style="2645"/>
    <col min="2557" max="2557" width="38.4609375" style="2645" customWidth="1"/>
    <col min="2558" max="2558" width="8.53515625" style="2645" customWidth="1"/>
    <col min="2559" max="2559" width="1.07421875" style="2645" customWidth="1"/>
    <col min="2560" max="2560" width="8.69140625" style="2645" customWidth="1"/>
    <col min="2561" max="2561" width="1.07421875" style="2645" customWidth="1"/>
    <col min="2562" max="2562" width="9.07421875" style="2645" customWidth="1"/>
    <col min="2563" max="2563" width="1.07421875" style="2645" customWidth="1"/>
    <col min="2564" max="2564" width="10" style="2645" customWidth="1"/>
    <col min="2565" max="2565" width="1.07421875" style="2645" customWidth="1"/>
    <col min="2566" max="2566" width="9.07421875" style="2645" customWidth="1"/>
    <col min="2567" max="2567" width="1.07421875" style="2645" customWidth="1"/>
    <col min="2568" max="2568" width="11.07421875" style="2645" customWidth="1"/>
    <col min="2569" max="2569" width="1.07421875" style="2645" customWidth="1"/>
    <col min="2570" max="2570" width="9.07421875" style="2645" customWidth="1"/>
    <col min="2571" max="2571" width="1.69140625" style="2645" customWidth="1"/>
    <col min="2572" max="2572" width="11" style="2645" customWidth="1"/>
    <col min="2573" max="2573" width="1.07421875" style="2645" customWidth="1"/>
    <col min="2574" max="2574" width="10.69140625" style="2645" customWidth="1"/>
    <col min="2575" max="2575" width="1.07421875" style="2645" customWidth="1"/>
    <col min="2576" max="2576" width="10" style="2645" customWidth="1"/>
    <col min="2577" max="2577" width="1.07421875" style="2645" customWidth="1"/>
    <col min="2578" max="2578" width="9.07421875" style="2645" customWidth="1"/>
    <col min="2579" max="2579" width="1.07421875" style="2645" customWidth="1"/>
    <col min="2580" max="2580" width="7.69140625" style="2645" customWidth="1"/>
    <col min="2581" max="2581" width="1.07421875" style="2645" customWidth="1"/>
    <col min="2582" max="2582" width="0.69140625" style="2645" customWidth="1"/>
    <col min="2583" max="2583" width="9.07421875" style="2645" customWidth="1"/>
    <col min="2584" max="2584" width="1.07421875" style="2645" customWidth="1"/>
    <col min="2585" max="2585" width="0.69140625" style="2645" customWidth="1"/>
    <col min="2586" max="2586" width="9.53515625" style="2645" bestFit="1" customWidth="1"/>
    <col min="2587" max="2588" width="0.69140625" style="2645" customWidth="1"/>
    <col min="2589" max="2589" width="9.69140625" style="2645" customWidth="1"/>
    <col min="2590" max="2590" width="1.07421875" style="2645" customWidth="1"/>
    <col min="2591" max="2591" width="8.53515625" style="2645" customWidth="1"/>
    <col min="2592" max="2592" width="14.53515625" style="2645" customWidth="1"/>
    <col min="2593" max="2593" width="10" style="2645" customWidth="1"/>
    <col min="2594" max="2594" width="7.69140625" style="2645" bestFit="1" customWidth="1"/>
    <col min="2595" max="2595" width="9.69140625" style="2645" customWidth="1"/>
    <col min="2596" max="2812" width="8.69140625" style="2645"/>
    <col min="2813" max="2813" width="38.4609375" style="2645" customWidth="1"/>
    <col min="2814" max="2814" width="8.53515625" style="2645" customWidth="1"/>
    <col min="2815" max="2815" width="1.07421875" style="2645" customWidth="1"/>
    <col min="2816" max="2816" width="8.69140625" style="2645" customWidth="1"/>
    <col min="2817" max="2817" width="1.07421875" style="2645" customWidth="1"/>
    <col min="2818" max="2818" width="9.07421875" style="2645" customWidth="1"/>
    <col min="2819" max="2819" width="1.07421875" style="2645" customWidth="1"/>
    <col min="2820" max="2820" width="10" style="2645" customWidth="1"/>
    <col min="2821" max="2821" width="1.07421875" style="2645" customWidth="1"/>
    <col min="2822" max="2822" width="9.07421875" style="2645" customWidth="1"/>
    <col min="2823" max="2823" width="1.07421875" style="2645" customWidth="1"/>
    <col min="2824" max="2824" width="11.07421875" style="2645" customWidth="1"/>
    <col min="2825" max="2825" width="1.07421875" style="2645" customWidth="1"/>
    <col min="2826" max="2826" width="9.07421875" style="2645" customWidth="1"/>
    <col min="2827" max="2827" width="1.69140625" style="2645" customWidth="1"/>
    <col min="2828" max="2828" width="11" style="2645" customWidth="1"/>
    <col min="2829" max="2829" width="1.07421875" style="2645" customWidth="1"/>
    <col min="2830" max="2830" width="10.69140625" style="2645" customWidth="1"/>
    <col min="2831" max="2831" width="1.07421875" style="2645" customWidth="1"/>
    <col min="2832" max="2832" width="10" style="2645" customWidth="1"/>
    <col min="2833" max="2833" width="1.07421875" style="2645" customWidth="1"/>
    <col min="2834" max="2834" width="9.07421875" style="2645" customWidth="1"/>
    <col min="2835" max="2835" width="1.07421875" style="2645" customWidth="1"/>
    <col min="2836" max="2836" width="7.69140625" style="2645" customWidth="1"/>
    <col min="2837" max="2837" width="1.07421875" style="2645" customWidth="1"/>
    <col min="2838" max="2838" width="0.69140625" style="2645" customWidth="1"/>
    <col min="2839" max="2839" width="9.07421875" style="2645" customWidth="1"/>
    <col min="2840" max="2840" width="1.07421875" style="2645" customWidth="1"/>
    <col min="2841" max="2841" width="0.69140625" style="2645" customWidth="1"/>
    <col min="2842" max="2842" width="9.53515625" style="2645" bestFit="1" customWidth="1"/>
    <col min="2843" max="2844" width="0.69140625" style="2645" customWidth="1"/>
    <col min="2845" max="2845" width="9.69140625" style="2645" customWidth="1"/>
    <col min="2846" max="2846" width="1.07421875" style="2645" customWidth="1"/>
    <col min="2847" max="2847" width="8.53515625" style="2645" customWidth="1"/>
    <col min="2848" max="2848" width="14.53515625" style="2645" customWidth="1"/>
    <col min="2849" max="2849" width="10" style="2645" customWidth="1"/>
    <col min="2850" max="2850" width="7.69140625" style="2645" bestFit="1" customWidth="1"/>
    <col min="2851" max="2851" width="9.69140625" style="2645" customWidth="1"/>
    <col min="2852" max="3068" width="8.69140625" style="2645"/>
    <col min="3069" max="3069" width="38.4609375" style="2645" customWidth="1"/>
    <col min="3070" max="3070" width="8.53515625" style="2645" customWidth="1"/>
    <col min="3071" max="3071" width="1.07421875" style="2645" customWidth="1"/>
    <col min="3072" max="3072" width="8.69140625" style="2645" customWidth="1"/>
    <col min="3073" max="3073" width="1.07421875" style="2645" customWidth="1"/>
    <col min="3074" max="3074" width="9.07421875" style="2645" customWidth="1"/>
    <col min="3075" max="3075" width="1.07421875" style="2645" customWidth="1"/>
    <col min="3076" max="3076" width="10" style="2645" customWidth="1"/>
    <col min="3077" max="3077" width="1.07421875" style="2645" customWidth="1"/>
    <col min="3078" max="3078" width="9.07421875" style="2645" customWidth="1"/>
    <col min="3079" max="3079" width="1.07421875" style="2645" customWidth="1"/>
    <col min="3080" max="3080" width="11.07421875" style="2645" customWidth="1"/>
    <col min="3081" max="3081" width="1.07421875" style="2645" customWidth="1"/>
    <col min="3082" max="3082" width="9.07421875" style="2645" customWidth="1"/>
    <col min="3083" max="3083" width="1.69140625" style="2645" customWidth="1"/>
    <col min="3084" max="3084" width="11" style="2645" customWidth="1"/>
    <col min="3085" max="3085" width="1.07421875" style="2645" customWidth="1"/>
    <col min="3086" max="3086" width="10.69140625" style="2645" customWidth="1"/>
    <col min="3087" max="3087" width="1.07421875" style="2645" customWidth="1"/>
    <col min="3088" max="3088" width="10" style="2645" customWidth="1"/>
    <col min="3089" max="3089" width="1.07421875" style="2645" customWidth="1"/>
    <col min="3090" max="3090" width="9.07421875" style="2645" customWidth="1"/>
    <col min="3091" max="3091" width="1.07421875" style="2645" customWidth="1"/>
    <col min="3092" max="3092" width="7.69140625" style="2645" customWidth="1"/>
    <col min="3093" max="3093" width="1.07421875" style="2645" customWidth="1"/>
    <col min="3094" max="3094" width="0.69140625" style="2645" customWidth="1"/>
    <col min="3095" max="3095" width="9.07421875" style="2645" customWidth="1"/>
    <col min="3096" max="3096" width="1.07421875" style="2645" customWidth="1"/>
    <col min="3097" max="3097" width="0.69140625" style="2645" customWidth="1"/>
    <col min="3098" max="3098" width="9.53515625" style="2645" bestFit="1" customWidth="1"/>
    <col min="3099" max="3100" width="0.69140625" style="2645" customWidth="1"/>
    <col min="3101" max="3101" width="9.69140625" style="2645" customWidth="1"/>
    <col min="3102" max="3102" width="1.07421875" style="2645" customWidth="1"/>
    <col min="3103" max="3103" width="8.53515625" style="2645" customWidth="1"/>
    <col min="3104" max="3104" width="14.53515625" style="2645" customWidth="1"/>
    <col min="3105" max="3105" width="10" style="2645" customWidth="1"/>
    <col min="3106" max="3106" width="7.69140625" style="2645" bestFit="1" customWidth="1"/>
    <col min="3107" max="3107" width="9.69140625" style="2645" customWidth="1"/>
    <col min="3108" max="3324" width="8.69140625" style="2645"/>
    <col min="3325" max="3325" width="38.4609375" style="2645" customWidth="1"/>
    <col min="3326" max="3326" width="8.53515625" style="2645" customWidth="1"/>
    <col min="3327" max="3327" width="1.07421875" style="2645" customWidth="1"/>
    <col min="3328" max="3328" width="8.69140625" style="2645" customWidth="1"/>
    <col min="3329" max="3329" width="1.07421875" style="2645" customWidth="1"/>
    <col min="3330" max="3330" width="9.07421875" style="2645" customWidth="1"/>
    <col min="3331" max="3331" width="1.07421875" style="2645" customWidth="1"/>
    <col min="3332" max="3332" width="10" style="2645" customWidth="1"/>
    <col min="3333" max="3333" width="1.07421875" style="2645" customWidth="1"/>
    <col min="3334" max="3334" width="9.07421875" style="2645" customWidth="1"/>
    <col min="3335" max="3335" width="1.07421875" style="2645" customWidth="1"/>
    <col min="3336" max="3336" width="11.07421875" style="2645" customWidth="1"/>
    <col min="3337" max="3337" width="1.07421875" style="2645" customWidth="1"/>
    <col min="3338" max="3338" width="9.07421875" style="2645" customWidth="1"/>
    <col min="3339" max="3339" width="1.69140625" style="2645" customWidth="1"/>
    <col min="3340" max="3340" width="11" style="2645" customWidth="1"/>
    <col min="3341" max="3341" width="1.07421875" style="2645" customWidth="1"/>
    <col min="3342" max="3342" width="10.69140625" style="2645" customWidth="1"/>
    <col min="3343" max="3343" width="1.07421875" style="2645" customWidth="1"/>
    <col min="3344" max="3344" width="10" style="2645" customWidth="1"/>
    <col min="3345" max="3345" width="1.07421875" style="2645" customWidth="1"/>
    <col min="3346" max="3346" width="9.07421875" style="2645" customWidth="1"/>
    <col min="3347" max="3347" width="1.07421875" style="2645" customWidth="1"/>
    <col min="3348" max="3348" width="7.69140625" style="2645" customWidth="1"/>
    <col min="3349" max="3349" width="1.07421875" style="2645" customWidth="1"/>
    <col min="3350" max="3350" width="0.69140625" style="2645" customWidth="1"/>
    <col min="3351" max="3351" width="9.07421875" style="2645" customWidth="1"/>
    <col min="3352" max="3352" width="1.07421875" style="2645" customWidth="1"/>
    <col min="3353" max="3353" width="0.69140625" style="2645" customWidth="1"/>
    <col min="3354" max="3354" width="9.53515625" style="2645" bestFit="1" customWidth="1"/>
    <col min="3355" max="3356" width="0.69140625" style="2645" customWidth="1"/>
    <col min="3357" max="3357" width="9.69140625" style="2645" customWidth="1"/>
    <col min="3358" max="3358" width="1.07421875" style="2645" customWidth="1"/>
    <col min="3359" max="3359" width="8.53515625" style="2645" customWidth="1"/>
    <col min="3360" max="3360" width="14.53515625" style="2645" customWidth="1"/>
    <col min="3361" max="3361" width="10" style="2645" customWidth="1"/>
    <col min="3362" max="3362" width="7.69140625" style="2645" bestFit="1" customWidth="1"/>
    <col min="3363" max="3363" width="9.69140625" style="2645" customWidth="1"/>
    <col min="3364" max="3580" width="8.69140625" style="2645"/>
    <col min="3581" max="3581" width="38.4609375" style="2645" customWidth="1"/>
    <col min="3582" max="3582" width="8.53515625" style="2645" customWidth="1"/>
    <col min="3583" max="3583" width="1.07421875" style="2645" customWidth="1"/>
    <col min="3584" max="3584" width="8.69140625" style="2645" customWidth="1"/>
    <col min="3585" max="3585" width="1.07421875" style="2645" customWidth="1"/>
    <col min="3586" max="3586" width="9.07421875" style="2645" customWidth="1"/>
    <col min="3587" max="3587" width="1.07421875" style="2645" customWidth="1"/>
    <col min="3588" max="3588" width="10" style="2645" customWidth="1"/>
    <col min="3589" max="3589" width="1.07421875" style="2645" customWidth="1"/>
    <col min="3590" max="3590" width="9.07421875" style="2645" customWidth="1"/>
    <col min="3591" max="3591" width="1.07421875" style="2645" customWidth="1"/>
    <col min="3592" max="3592" width="11.07421875" style="2645" customWidth="1"/>
    <col min="3593" max="3593" width="1.07421875" style="2645" customWidth="1"/>
    <col min="3594" max="3594" width="9.07421875" style="2645" customWidth="1"/>
    <col min="3595" max="3595" width="1.69140625" style="2645" customWidth="1"/>
    <col min="3596" max="3596" width="11" style="2645" customWidth="1"/>
    <col min="3597" max="3597" width="1.07421875" style="2645" customWidth="1"/>
    <col min="3598" max="3598" width="10.69140625" style="2645" customWidth="1"/>
    <col min="3599" max="3599" width="1.07421875" style="2645" customWidth="1"/>
    <col min="3600" max="3600" width="10" style="2645" customWidth="1"/>
    <col min="3601" max="3601" width="1.07421875" style="2645" customWidth="1"/>
    <col min="3602" max="3602" width="9.07421875" style="2645" customWidth="1"/>
    <col min="3603" max="3603" width="1.07421875" style="2645" customWidth="1"/>
    <col min="3604" max="3604" width="7.69140625" style="2645" customWidth="1"/>
    <col min="3605" max="3605" width="1.07421875" style="2645" customWidth="1"/>
    <col min="3606" max="3606" width="0.69140625" style="2645" customWidth="1"/>
    <col min="3607" max="3607" width="9.07421875" style="2645" customWidth="1"/>
    <col min="3608" max="3608" width="1.07421875" style="2645" customWidth="1"/>
    <col min="3609" max="3609" width="0.69140625" style="2645" customWidth="1"/>
    <col min="3610" max="3610" width="9.53515625" style="2645" bestFit="1" customWidth="1"/>
    <col min="3611" max="3612" width="0.69140625" style="2645" customWidth="1"/>
    <col min="3613" max="3613" width="9.69140625" style="2645" customWidth="1"/>
    <col min="3614" max="3614" width="1.07421875" style="2645" customWidth="1"/>
    <col min="3615" max="3615" width="8.53515625" style="2645" customWidth="1"/>
    <col min="3616" max="3616" width="14.53515625" style="2645" customWidth="1"/>
    <col min="3617" max="3617" width="10" style="2645" customWidth="1"/>
    <col min="3618" max="3618" width="7.69140625" style="2645" bestFit="1" customWidth="1"/>
    <col min="3619" max="3619" width="9.69140625" style="2645" customWidth="1"/>
    <col min="3620" max="3836" width="8.69140625" style="2645"/>
    <col min="3837" max="3837" width="38.4609375" style="2645" customWidth="1"/>
    <col min="3838" max="3838" width="8.53515625" style="2645" customWidth="1"/>
    <col min="3839" max="3839" width="1.07421875" style="2645" customWidth="1"/>
    <col min="3840" max="3840" width="8.69140625" style="2645" customWidth="1"/>
    <col min="3841" max="3841" width="1.07421875" style="2645" customWidth="1"/>
    <col min="3842" max="3842" width="9.07421875" style="2645" customWidth="1"/>
    <col min="3843" max="3843" width="1.07421875" style="2645" customWidth="1"/>
    <col min="3844" max="3844" width="10" style="2645" customWidth="1"/>
    <col min="3845" max="3845" width="1.07421875" style="2645" customWidth="1"/>
    <col min="3846" max="3846" width="9.07421875" style="2645" customWidth="1"/>
    <col min="3847" max="3847" width="1.07421875" style="2645" customWidth="1"/>
    <col min="3848" max="3848" width="11.07421875" style="2645" customWidth="1"/>
    <col min="3849" max="3849" width="1.07421875" style="2645" customWidth="1"/>
    <col min="3850" max="3850" width="9.07421875" style="2645" customWidth="1"/>
    <col min="3851" max="3851" width="1.69140625" style="2645" customWidth="1"/>
    <col min="3852" max="3852" width="11" style="2645" customWidth="1"/>
    <col min="3853" max="3853" width="1.07421875" style="2645" customWidth="1"/>
    <col min="3854" max="3854" width="10.69140625" style="2645" customWidth="1"/>
    <col min="3855" max="3855" width="1.07421875" style="2645" customWidth="1"/>
    <col min="3856" max="3856" width="10" style="2645" customWidth="1"/>
    <col min="3857" max="3857" width="1.07421875" style="2645" customWidth="1"/>
    <col min="3858" max="3858" width="9.07421875" style="2645" customWidth="1"/>
    <col min="3859" max="3859" width="1.07421875" style="2645" customWidth="1"/>
    <col min="3860" max="3860" width="7.69140625" style="2645" customWidth="1"/>
    <col min="3861" max="3861" width="1.07421875" style="2645" customWidth="1"/>
    <col min="3862" max="3862" width="0.69140625" style="2645" customWidth="1"/>
    <col min="3863" max="3863" width="9.07421875" style="2645" customWidth="1"/>
    <col min="3864" max="3864" width="1.07421875" style="2645" customWidth="1"/>
    <col min="3865" max="3865" width="0.69140625" style="2645" customWidth="1"/>
    <col min="3866" max="3866" width="9.53515625" style="2645" bestFit="1" customWidth="1"/>
    <col min="3867" max="3868" width="0.69140625" style="2645" customWidth="1"/>
    <col min="3869" max="3869" width="9.69140625" style="2645" customWidth="1"/>
    <col min="3870" max="3870" width="1.07421875" style="2645" customWidth="1"/>
    <col min="3871" max="3871" width="8.53515625" style="2645" customWidth="1"/>
    <col min="3872" max="3872" width="14.53515625" style="2645" customWidth="1"/>
    <col min="3873" max="3873" width="10" style="2645" customWidth="1"/>
    <col min="3874" max="3874" width="7.69140625" style="2645" bestFit="1" customWidth="1"/>
    <col min="3875" max="3875" width="9.69140625" style="2645" customWidth="1"/>
    <col min="3876" max="4092" width="8.69140625" style="2645"/>
    <col min="4093" max="4093" width="38.4609375" style="2645" customWidth="1"/>
    <col min="4094" max="4094" width="8.53515625" style="2645" customWidth="1"/>
    <col min="4095" max="4095" width="1.07421875" style="2645" customWidth="1"/>
    <col min="4096" max="4096" width="8.69140625" style="2645" customWidth="1"/>
    <col min="4097" max="4097" width="1.07421875" style="2645" customWidth="1"/>
    <col min="4098" max="4098" width="9.07421875" style="2645" customWidth="1"/>
    <col min="4099" max="4099" width="1.07421875" style="2645" customWidth="1"/>
    <col min="4100" max="4100" width="10" style="2645" customWidth="1"/>
    <col min="4101" max="4101" width="1.07421875" style="2645" customWidth="1"/>
    <col min="4102" max="4102" width="9.07421875" style="2645" customWidth="1"/>
    <col min="4103" max="4103" width="1.07421875" style="2645" customWidth="1"/>
    <col min="4104" max="4104" width="11.07421875" style="2645" customWidth="1"/>
    <col min="4105" max="4105" width="1.07421875" style="2645" customWidth="1"/>
    <col min="4106" max="4106" width="9.07421875" style="2645" customWidth="1"/>
    <col min="4107" max="4107" width="1.69140625" style="2645" customWidth="1"/>
    <col min="4108" max="4108" width="11" style="2645" customWidth="1"/>
    <col min="4109" max="4109" width="1.07421875" style="2645" customWidth="1"/>
    <col min="4110" max="4110" width="10.69140625" style="2645" customWidth="1"/>
    <col min="4111" max="4111" width="1.07421875" style="2645" customWidth="1"/>
    <col min="4112" max="4112" width="10" style="2645" customWidth="1"/>
    <col min="4113" max="4113" width="1.07421875" style="2645" customWidth="1"/>
    <col min="4114" max="4114" width="9.07421875" style="2645" customWidth="1"/>
    <col min="4115" max="4115" width="1.07421875" style="2645" customWidth="1"/>
    <col min="4116" max="4116" width="7.69140625" style="2645" customWidth="1"/>
    <col min="4117" max="4117" width="1.07421875" style="2645" customWidth="1"/>
    <col min="4118" max="4118" width="0.69140625" style="2645" customWidth="1"/>
    <col min="4119" max="4119" width="9.07421875" style="2645" customWidth="1"/>
    <col min="4120" max="4120" width="1.07421875" style="2645" customWidth="1"/>
    <col min="4121" max="4121" width="0.69140625" style="2645" customWidth="1"/>
    <col min="4122" max="4122" width="9.53515625" style="2645" bestFit="1" customWidth="1"/>
    <col min="4123" max="4124" width="0.69140625" style="2645" customWidth="1"/>
    <col min="4125" max="4125" width="9.69140625" style="2645" customWidth="1"/>
    <col min="4126" max="4126" width="1.07421875" style="2645" customWidth="1"/>
    <col min="4127" max="4127" width="8.53515625" style="2645" customWidth="1"/>
    <col min="4128" max="4128" width="14.53515625" style="2645" customWidth="1"/>
    <col min="4129" max="4129" width="10" style="2645" customWidth="1"/>
    <col min="4130" max="4130" width="7.69140625" style="2645" bestFit="1" customWidth="1"/>
    <col min="4131" max="4131" width="9.69140625" style="2645" customWidth="1"/>
    <col min="4132" max="4348" width="8.69140625" style="2645"/>
    <col min="4349" max="4349" width="38.4609375" style="2645" customWidth="1"/>
    <col min="4350" max="4350" width="8.53515625" style="2645" customWidth="1"/>
    <col min="4351" max="4351" width="1.07421875" style="2645" customWidth="1"/>
    <col min="4352" max="4352" width="8.69140625" style="2645" customWidth="1"/>
    <col min="4353" max="4353" width="1.07421875" style="2645" customWidth="1"/>
    <col min="4354" max="4354" width="9.07421875" style="2645" customWidth="1"/>
    <col min="4355" max="4355" width="1.07421875" style="2645" customWidth="1"/>
    <col min="4356" max="4356" width="10" style="2645" customWidth="1"/>
    <col min="4357" max="4357" width="1.07421875" style="2645" customWidth="1"/>
    <col min="4358" max="4358" width="9.07421875" style="2645" customWidth="1"/>
    <col min="4359" max="4359" width="1.07421875" style="2645" customWidth="1"/>
    <col min="4360" max="4360" width="11.07421875" style="2645" customWidth="1"/>
    <col min="4361" max="4361" width="1.07421875" style="2645" customWidth="1"/>
    <col min="4362" max="4362" width="9.07421875" style="2645" customWidth="1"/>
    <col min="4363" max="4363" width="1.69140625" style="2645" customWidth="1"/>
    <col min="4364" max="4364" width="11" style="2645" customWidth="1"/>
    <col min="4365" max="4365" width="1.07421875" style="2645" customWidth="1"/>
    <col min="4366" max="4366" width="10.69140625" style="2645" customWidth="1"/>
    <col min="4367" max="4367" width="1.07421875" style="2645" customWidth="1"/>
    <col min="4368" max="4368" width="10" style="2645" customWidth="1"/>
    <col min="4369" max="4369" width="1.07421875" style="2645" customWidth="1"/>
    <col min="4370" max="4370" width="9.07421875" style="2645" customWidth="1"/>
    <col min="4371" max="4371" width="1.07421875" style="2645" customWidth="1"/>
    <col min="4372" max="4372" width="7.69140625" style="2645" customWidth="1"/>
    <col min="4373" max="4373" width="1.07421875" style="2645" customWidth="1"/>
    <col min="4374" max="4374" width="0.69140625" style="2645" customWidth="1"/>
    <col min="4375" max="4375" width="9.07421875" style="2645" customWidth="1"/>
    <col min="4376" max="4376" width="1.07421875" style="2645" customWidth="1"/>
    <col min="4377" max="4377" width="0.69140625" style="2645" customWidth="1"/>
    <col min="4378" max="4378" width="9.53515625" style="2645" bestFit="1" customWidth="1"/>
    <col min="4379" max="4380" width="0.69140625" style="2645" customWidth="1"/>
    <col min="4381" max="4381" width="9.69140625" style="2645" customWidth="1"/>
    <col min="4382" max="4382" width="1.07421875" style="2645" customWidth="1"/>
    <col min="4383" max="4383" width="8.53515625" style="2645" customWidth="1"/>
    <col min="4384" max="4384" width="14.53515625" style="2645" customWidth="1"/>
    <col min="4385" max="4385" width="10" style="2645" customWidth="1"/>
    <col min="4386" max="4386" width="7.69140625" style="2645" bestFit="1" customWidth="1"/>
    <col min="4387" max="4387" width="9.69140625" style="2645" customWidth="1"/>
    <col min="4388" max="4604" width="8.69140625" style="2645"/>
    <col min="4605" max="4605" width="38.4609375" style="2645" customWidth="1"/>
    <col min="4606" max="4606" width="8.53515625" style="2645" customWidth="1"/>
    <col min="4607" max="4607" width="1.07421875" style="2645" customWidth="1"/>
    <col min="4608" max="4608" width="8.69140625" style="2645" customWidth="1"/>
    <col min="4609" max="4609" width="1.07421875" style="2645" customWidth="1"/>
    <col min="4610" max="4610" width="9.07421875" style="2645" customWidth="1"/>
    <col min="4611" max="4611" width="1.07421875" style="2645" customWidth="1"/>
    <col min="4612" max="4612" width="10" style="2645" customWidth="1"/>
    <col min="4613" max="4613" width="1.07421875" style="2645" customWidth="1"/>
    <col min="4614" max="4614" width="9.07421875" style="2645" customWidth="1"/>
    <col min="4615" max="4615" width="1.07421875" style="2645" customWidth="1"/>
    <col min="4616" max="4616" width="11.07421875" style="2645" customWidth="1"/>
    <col min="4617" max="4617" width="1.07421875" style="2645" customWidth="1"/>
    <col min="4618" max="4618" width="9.07421875" style="2645" customWidth="1"/>
    <col min="4619" max="4619" width="1.69140625" style="2645" customWidth="1"/>
    <col min="4620" max="4620" width="11" style="2645" customWidth="1"/>
    <col min="4621" max="4621" width="1.07421875" style="2645" customWidth="1"/>
    <col min="4622" max="4622" width="10.69140625" style="2645" customWidth="1"/>
    <col min="4623" max="4623" width="1.07421875" style="2645" customWidth="1"/>
    <col min="4624" max="4624" width="10" style="2645" customWidth="1"/>
    <col min="4625" max="4625" width="1.07421875" style="2645" customWidth="1"/>
    <col min="4626" max="4626" width="9.07421875" style="2645" customWidth="1"/>
    <col min="4627" max="4627" width="1.07421875" style="2645" customWidth="1"/>
    <col min="4628" max="4628" width="7.69140625" style="2645" customWidth="1"/>
    <col min="4629" max="4629" width="1.07421875" style="2645" customWidth="1"/>
    <col min="4630" max="4630" width="0.69140625" style="2645" customWidth="1"/>
    <col min="4631" max="4631" width="9.07421875" style="2645" customWidth="1"/>
    <col min="4632" max="4632" width="1.07421875" style="2645" customWidth="1"/>
    <col min="4633" max="4633" width="0.69140625" style="2645" customWidth="1"/>
    <col min="4634" max="4634" width="9.53515625" style="2645" bestFit="1" customWidth="1"/>
    <col min="4635" max="4636" width="0.69140625" style="2645" customWidth="1"/>
    <col min="4637" max="4637" width="9.69140625" style="2645" customWidth="1"/>
    <col min="4638" max="4638" width="1.07421875" style="2645" customWidth="1"/>
    <col min="4639" max="4639" width="8.53515625" style="2645" customWidth="1"/>
    <col min="4640" max="4640" width="14.53515625" style="2645" customWidth="1"/>
    <col min="4641" max="4641" width="10" style="2645" customWidth="1"/>
    <col min="4642" max="4642" width="7.69140625" style="2645" bestFit="1" customWidth="1"/>
    <col min="4643" max="4643" width="9.69140625" style="2645" customWidth="1"/>
    <col min="4644" max="4860" width="8.69140625" style="2645"/>
    <col min="4861" max="4861" width="38.4609375" style="2645" customWidth="1"/>
    <col min="4862" max="4862" width="8.53515625" style="2645" customWidth="1"/>
    <col min="4863" max="4863" width="1.07421875" style="2645" customWidth="1"/>
    <col min="4864" max="4864" width="8.69140625" style="2645" customWidth="1"/>
    <col min="4865" max="4865" width="1.07421875" style="2645" customWidth="1"/>
    <col min="4866" max="4866" width="9.07421875" style="2645" customWidth="1"/>
    <col min="4867" max="4867" width="1.07421875" style="2645" customWidth="1"/>
    <col min="4868" max="4868" width="10" style="2645" customWidth="1"/>
    <col min="4869" max="4869" width="1.07421875" style="2645" customWidth="1"/>
    <col min="4870" max="4870" width="9.07421875" style="2645" customWidth="1"/>
    <col min="4871" max="4871" width="1.07421875" style="2645" customWidth="1"/>
    <col min="4872" max="4872" width="11.07421875" style="2645" customWidth="1"/>
    <col min="4873" max="4873" width="1.07421875" style="2645" customWidth="1"/>
    <col min="4874" max="4874" width="9.07421875" style="2645" customWidth="1"/>
    <col min="4875" max="4875" width="1.69140625" style="2645" customWidth="1"/>
    <col min="4876" max="4876" width="11" style="2645" customWidth="1"/>
    <col min="4877" max="4877" width="1.07421875" style="2645" customWidth="1"/>
    <col min="4878" max="4878" width="10.69140625" style="2645" customWidth="1"/>
    <col min="4879" max="4879" width="1.07421875" style="2645" customWidth="1"/>
    <col min="4880" max="4880" width="10" style="2645" customWidth="1"/>
    <col min="4881" max="4881" width="1.07421875" style="2645" customWidth="1"/>
    <col min="4882" max="4882" width="9.07421875" style="2645" customWidth="1"/>
    <col min="4883" max="4883" width="1.07421875" style="2645" customWidth="1"/>
    <col min="4884" max="4884" width="7.69140625" style="2645" customWidth="1"/>
    <col min="4885" max="4885" width="1.07421875" style="2645" customWidth="1"/>
    <col min="4886" max="4886" width="0.69140625" style="2645" customWidth="1"/>
    <col min="4887" max="4887" width="9.07421875" style="2645" customWidth="1"/>
    <col min="4888" max="4888" width="1.07421875" style="2645" customWidth="1"/>
    <col min="4889" max="4889" width="0.69140625" style="2645" customWidth="1"/>
    <col min="4890" max="4890" width="9.53515625" style="2645" bestFit="1" customWidth="1"/>
    <col min="4891" max="4892" width="0.69140625" style="2645" customWidth="1"/>
    <col min="4893" max="4893" width="9.69140625" style="2645" customWidth="1"/>
    <col min="4894" max="4894" width="1.07421875" style="2645" customWidth="1"/>
    <col min="4895" max="4895" width="8.53515625" style="2645" customWidth="1"/>
    <col min="4896" max="4896" width="14.53515625" style="2645" customWidth="1"/>
    <col min="4897" max="4897" width="10" style="2645" customWidth="1"/>
    <col min="4898" max="4898" width="7.69140625" style="2645" bestFit="1" customWidth="1"/>
    <col min="4899" max="4899" width="9.69140625" style="2645" customWidth="1"/>
    <col min="4900" max="5116" width="8.69140625" style="2645"/>
    <col min="5117" max="5117" width="38.4609375" style="2645" customWidth="1"/>
    <col min="5118" max="5118" width="8.53515625" style="2645" customWidth="1"/>
    <col min="5119" max="5119" width="1.07421875" style="2645" customWidth="1"/>
    <col min="5120" max="5120" width="8.69140625" style="2645" customWidth="1"/>
    <col min="5121" max="5121" width="1.07421875" style="2645" customWidth="1"/>
    <col min="5122" max="5122" width="9.07421875" style="2645" customWidth="1"/>
    <col min="5123" max="5123" width="1.07421875" style="2645" customWidth="1"/>
    <col min="5124" max="5124" width="10" style="2645" customWidth="1"/>
    <col min="5125" max="5125" width="1.07421875" style="2645" customWidth="1"/>
    <col min="5126" max="5126" width="9.07421875" style="2645" customWidth="1"/>
    <col min="5127" max="5127" width="1.07421875" style="2645" customWidth="1"/>
    <col min="5128" max="5128" width="11.07421875" style="2645" customWidth="1"/>
    <col min="5129" max="5129" width="1.07421875" style="2645" customWidth="1"/>
    <col min="5130" max="5130" width="9.07421875" style="2645" customWidth="1"/>
    <col min="5131" max="5131" width="1.69140625" style="2645" customWidth="1"/>
    <col min="5132" max="5132" width="11" style="2645" customWidth="1"/>
    <col min="5133" max="5133" width="1.07421875" style="2645" customWidth="1"/>
    <col min="5134" max="5134" width="10.69140625" style="2645" customWidth="1"/>
    <col min="5135" max="5135" width="1.07421875" style="2645" customWidth="1"/>
    <col min="5136" max="5136" width="10" style="2645" customWidth="1"/>
    <col min="5137" max="5137" width="1.07421875" style="2645" customWidth="1"/>
    <col min="5138" max="5138" width="9.07421875" style="2645" customWidth="1"/>
    <col min="5139" max="5139" width="1.07421875" style="2645" customWidth="1"/>
    <col min="5140" max="5140" width="7.69140625" style="2645" customWidth="1"/>
    <col min="5141" max="5141" width="1.07421875" style="2645" customWidth="1"/>
    <col min="5142" max="5142" width="0.69140625" style="2645" customWidth="1"/>
    <col min="5143" max="5143" width="9.07421875" style="2645" customWidth="1"/>
    <col min="5144" max="5144" width="1.07421875" style="2645" customWidth="1"/>
    <col min="5145" max="5145" width="0.69140625" style="2645" customWidth="1"/>
    <col min="5146" max="5146" width="9.53515625" style="2645" bestFit="1" customWidth="1"/>
    <col min="5147" max="5148" width="0.69140625" style="2645" customWidth="1"/>
    <col min="5149" max="5149" width="9.69140625" style="2645" customWidth="1"/>
    <col min="5150" max="5150" width="1.07421875" style="2645" customWidth="1"/>
    <col min="5151" max="5151" width="8.53515625" style="2645" customWidth="1"/>
    <col min="5152" max="5152" width="14.53515625" style="2645" customWidth="1"/>
    <col min="5153" max="5153" width="10" style="2645" customWidth="1"/>
    <col min="5154" max="5154" width="7.69140625" style="2645" bestFit="1" customWidth="1"/>
    <col min="5155" max="5155" width="9.69140625" style="2645" customWidth="1"/>
    <col min="5156" max="5372" width="8.69140625" style="2645"/>
    <col min="5373" max="5373" width="38.4609375" style="2645" customWidth="1"/>
    <col min="5374" max="5374" width="8.53515625" style="2645" customWidth="1"/>
    <col min="5375" max="5375" width="1.07421875" style="2645" customWidth="1"/>
    <col min="5376" max="5376" width="8.69140625" style="2645" customWidth="1"/>
    <col min="5377" max="5377" width="1.07421875" style="2645" customWidth="1"/>
    <col min="5378" max="5378" width="9.07421875" style="2645" customWidth="1"/>
    <col min="5379" max="5379" width="1.07421875" style="2645" customWidth="1"/>
    <col min="5380" max="5380" width="10" style="2645" customWidth="1"/>
    <col min="5381" max="5381" width="1.07421875" style="2645" customWidth="1"/>
    <col min="5382" max="5382" width="9.07421875" style="2645" customWidth="1"/>
    <col min="5383" max="5383" width="1.07421875" style="2645" customWidth="1"/>
    <col min="5384" max="5384" width="11.07421875" style="2645" customWidth="1"/>
    <col min="5385" max="5385" width="1.07421875" style="2645" customWidth="1"/>
    <col min="5386" max="5386" width="9.07421875" style="2645" customWidth="1"/>
    <col min="5387" max="5387" width="1.69140625" style="2645" customWidth="1"/>
    <col min="5388" max="5388" width="11" style="2645" customWidth="1"/>
    <col min="5389" max="5389" width="1.07421875" style="2645" customWidth="1"/>
    <col min="5390" max="5390" width="10.69140625" style="2645" customWidth="1"/>
    <col min="5391" max="5391" width="1.07421875" style="2645" customWidth="1"/>
    <col min="5392" max="5392" width="10" style="2645" customWidth="1"/>
    <col min="5393" max="5393" width="1.07421875" style="2645" customWidth="1"/>
    <col min="5394" max="5394" width="9.07421875" style="2645" customWidth="1"/>
    <col min="5395" max="5395" width="1.07421875" style="2645" customWidth="1"/>
    <col min="5396" max="5396" width="7.69140625" style="2645" customWidth="1"/>
    <col min="5397" max="5397" width="1.07421875" style="2645" customWidth="1"/>
    <col min="5398" max="5398" width="0.69140625" style="2645" customWidth="1"/>
    <col min="5399" max="5399" width="9.07421875" style="2645" customWidth="1"/>
    <col min="5400" max="5400" width="1.07421875" style="2645" customWidth="1"/>
    <col min="5401" max="5401" width="0.69140625" style="2645" customWidth="1"/>
    <col min="5402" max="5402" width="9.53515625" style="2645" bestFit="1" customWidth="1"/>
    <col min="5403" max="5404" width="0.69140625" style="2645" customWidth="1"/>
    <col min="5405" max="5405" width="9.69140625" style="2645" customWidth="1"/>
    <col min="5406" max="5406" width="1.07421875" style="2645" customWidth="1"/>
    <col min="5407" max="5407" width="8.53515625" style="2645" customWidth="1"/>
    <col min="5408" max="5408" width="14.53515625" style="2645" customWidth="1"/>
    <col min="5409" max="5409" width="10" style="2645" customWidth="1"/>
    <col min="5410" max="5410" width="7.69140625" style="2645" bestFit="1" customWidth="1"/>
    <col min="5411" max="5411" width="9.69140625" style="2645" customWidth="1"/>
    <col min="5412" max="5628" width="8.69140625" style="2645"/>
    <col min="5629" max="5629" width="38.4609375" style="2645" customWidth="1"/>
    <col min="5630" max="5630" width="8.53515625" style="2645" customWidth="1"/>
    <col min="5631" max="5631" width="1.07421875" style="2645" customWidth="1"/>
    <col min="5632" max="5632" width="8.69140625" style="2645" customWidth="1"/>
    <col min="5633" max="5633" width="1.07421875" style="2645" customWidth="1"/>
    <col min="5634" max="5634" width="9.07421875" style="2645" customWidth="1"/>
    <col min="5635" max="5635" width="1.07421875" style="2645" customWidth="1"/>
    <col min="5636" max="5636" width="10" style="2645" customWidth="1"/>
    <col min="5637" max="5637" width="1.07421875" style="2645" customWidth="1"/>
    <col min="5638" max="5638" width="9.07421875" style="2645" customWidth="1"/>
    <col min="5639" max="5639" width="1.07421875" style="2645" customWidth="1"/>
    <col min="5640" max="5640" width="11.07421875" style="2645" customWidth="1"/>
    <col min="5641" max="5641" width="1.07421875" style="2645" customWidth="1"/>
    <col min="5642" max="5642" width="9.07421875" style="2645" customWidth="1"/>
    <col min="5643" max="5643" width="1.69140625" style="2645" customWidth="1"/>
    <col min="5644" max="5644" width="11" style="2645" customWidth="1"/>
    <col min="5645" max="5645" width="1.07421875" style="2645" customWidth="1"/>
    <col min="5646" max="5646" width="10.69140625" style="2645" customWidth="1"/>
    <col min="5647" max="5647" width="1.07421875" style="2645" customWidth="1"/>
    <col min="5648" max="5648" width="10" style="2645" customWidth="1"/>
    <col min="5649" max="5649" width="1.07421875" style="2645" customWidth="1"/>
    <col min="5650" max="5650" width="9.07421875" style="2645" customWidth="1"/>
    <col min="5651" max="5651" width="1.07421875" style="2645" customWidth="1"/>
    <col min="5652" max="5652" width="7.69140625" style="2645" customWidth="1"/>
    <col min="5653" max="5653" width="1.07421875" style="2645" customWidth="1"/>
    <col min="5654" max="5654" width="0.69140625" style="2645" customWidth="1"/>
    <col min="5655" max="5655" width="9.07421875" style="2645" customWidth="1"/>
    <col min="5656" max="5656" width="1.07421875" style="2645" customWidth="1"/>
    <col min="5657" max="5657" width="0.69140625" style="2645" customWidth="1"/>
    <col min="5658" max="5658" width="9.53515625" style="2645" bestFit="1" customWidth="1"/>
    <col min="5659" max="5660" width="0.69140625" style="2645" customWidth="1"/>
    <col min="5661" max="5661" width="9.69140625" style="2645" customWidth="1"/>
    <col min="5662" max="5662" width="1.07421875" style="2645" customWidth="1"/>
    <col min="5663" max="5663" width="8.53515625" style="2645" customWidth="1"/>
    <col min="5664" max="5664" width="14.53515625" style="2645" customWidth="1"/>
    <col min="5665" max="5665" width="10" style="2645" customWidth="1"/>
    <col min="5666" max="5666" width="7.69140625" style="2645" bestFit="1" customWidth="1"/>
    <col min="5667" max="5667" width="9.69140625" style="2645" customWidth="1"/>
    <col min="5668" max="5884" width="8.69140625" style="2645"/>
    <col min="5885" max="5885" width="38.4609375" style="2645" customWidth="1"/>
    <col min="5886" max="5886" width="8.53515625" style="2645" customWidth="1"/>
    <col min="5887" max="5887" width="1.07421875" style="2645" customWidth="1"/>
    <col min="5888" max="5888" width="8.69140625" style="2645" customWidth="1"/>
    <col min="5889" max="5889" width="1.07421875" style="2645" customWidth="1"/>
    <col min="5890" max="5890" width="9.07421875" style="2645" customWidth="1"/>
    <col min="5891" max="5891" width="1.07421875" style="2645" customWidth="1"/>
    <col min="5892" max="5892" width="10" style="2645" customWidth="1"/>
    <col min="5893" max="5893" width="1.07421875" style="2645" customWidth="1"/>
    <col min="5894" max="5894" width="9.07421875" style="2645" customWidth="1"/>
    <col min="5895" max="5895" width="1.07421875" style="2645" customWidth="1"/>
    <col min="5896" max="5896" width="11.07421875" style="2645" customWidth="1"/>
    <col min="5897" max="5897" width="1.07421875" style="2645" customWidth="1"/>
    <col min="5898" max="5898" width="9.07421875" style="2645" customWidth="1"/>
    <col min="5899" max="5899" width="1.69140625" style="2645" customWidth="1"/>
    <col min="5900" max="5900" width="11" style="2645" customWidth="1"/>
    <col min="5901" max="5901" width="1.07421875" style="2645" customWidth="1"/>
    <col min="5902" max="5902" width="10.69140625" style="2645" customWidth="1"/>
    <col min="5903" max="5903" width="1.07421875" style="2645" customWidth="1"/>
    <col min="5904" max="5904" width="10" style="2645" customWidth="1"/>
    <col min="5905" max="5905" width="1.07421875" style="2645" customWidth="1"/>
    <col min="5906" max="5906" width="9.07421875" style="2645" customWidth="1"/>
    <col min="5907" max="5907" width="1.07421875" style="2645" customWidth="1"/>
    <col min="5908" max="5908" width="7.69140625" style="2645" customWidth="1"/>
    <col min="5909" max="5909" width="1.07421875" style="2645" customWidth="1"/>
    <col min="5910" max="5910" width="0.69140625" style="2645" customWidth="1"/>
    <col min="5911" max="5911" width="9.07421875" style="2645" customWidth="1"/>
    <col min="5912" max="5912" width="1.07421875" style="2645" customWidth="1"/>
    <col min="5913" max="5913" width="0.69140625" style="2645" customWidth="1"/>
    <col min="5914" max="5914" width="9.53515625" style="2645" bestFit="1" customWidth="1"/>
    <col min="5915" max="5916" width="0.69140625" style="2645" customWidth="1"/>
    <col min="5917" max="5917" width="9.69140625" style="2645" customWidth="1"/>
    <col min="5918" max="5918" width="1.07421875" style="2645" customWidth="1"/>
    <col min="5919" max="5919" width="8.53515625" style="2645" customWidth="1"/>
    <col min="5920" max="5920" width="14.53515625" style="2645" customWidth="1"/>
    <col min="5921" max="5921" width="10" style="2645" customWidth="1"/>
    <col min="5922" max="5922" width="7.69140625" style="2645" bestFit="1" customWidth="1"/>
    <col min="5923" max="5923" width="9.69140625" style="2645" customWidth="1"/>
    <col min="5924" max="6140" width="8.69140625" style="2645"/>
    <col min="6141" max="6141" width="38.4609375" style="2645" customWidth="1"/>
    <col min="6142" max="6142" width="8.53515625" style="2645" customWidth="1"/>
    <col min="6143" max="6143" width="1.07421875" style="2645" customWidth="1"/>
    <col min="6144" max="6144" width="8.69140625" style="2645" customWidth="1"/>
    <col min="6145" max="6145" width="1.07421875" style="2645" customWidth="1"/>
    <col min="6146" max="6146" width="9.07421875" style="2645" customWidth="1"/>
    <col min="6147" max="6147" width="1.07421875" style="2645" customWidth="1"/>
    <col min="6148" max="6148" width="10" style="2645" customWidth="1"/>
    <col min="6149" max="6149" width="1.07421875" style="2645" customWidth="1"/>
    <col min="6150" max="6150" width="9.07421875" style="2645" customWidth="1"/>
    <col min="6151" max="6151" width="1.07421875" style="2645" customWidth="1"/>
    <col min="6152" max="6152" width="11.07421875" style="2645" customWidth="1"/>
    <col min="6153" max="6153" width="1.07421875" style="2645" customWidth="1"/>
    <col min="6154" max="6154" width="9.07421875" style="2645" customWidth="1"/>
    <col min="6155" max="6155" width="1.69140625" style="2645" customWidth="1"/>
    <col min="6156" max="6156" width="11" style="2645" customWidth="1"/>
    <col min="6157" max="6157" width="1.07421875" style="2645" customWidth="1"/>
    <col min="6158" max="6158" width="10.69140625" style="2645" customWidth="1"/>
    <col min="6159" max="6159" width="1.07421875" style="2645" customWidth="1"/>
    <col min="6160" max="6160" width="10" style="2645" customWidth="1"/>
    <col min="6161" max="6161" width="1.07421875" style="2645" customWidth="1"/>
    <col min="6162" max="6162" width="9.07421875" style="2645" customWidth="1"/>
    <col min="6163" max="6163" width="1.07421875" style="2645" customWidth="1"/>
    <col min="6164" max="6164" width="7.69140625" style="2645" customWidth="1"/>
    <col min="6165" max="6165" width="1.07421875" style="2645" customWidth="1"/>
    <col min="6166" max="6166" width="0.69140625" style="2645" customWidth="1"/>
    <col min="6167" max="6167" width="9.07421875" style="2645" customWidth="1"/>
    <col min="6168" max="6168" width="1.07421875" style="2645" customWidth="1"/>
    <col min="6169" max="6169" width="0.69140625" style="2645" customWidth="1"/>
    <col min="6170" max="6170" width="9.53515625" style="2645" bestFit="1" customWidth="1"/>
    <col min="6171" max="6172" width="0.69140625" style="2645" customWidth="1"/>
    <col min="6173" max="6173" width="9.69140625" style="2645" customWidth="1"/>
    <col min="6174" max="6174" width="1.07421875" style="2645" customWidth="1"/>
    <col min="6175" max="6175" width="8.53515625" style="2645" customWidth="1"/>
    <col min="6176" max="6176" width="14.53515625" style="2645" customWidth="1"/>
    <col min="6177" max="6177" width="10" style="2645" customWidth="1"/>
    <col min="6178" max="6178" width="7.69140625" style="2645" bestFit="1" customWidth="1"/>
    <col min="6179" max="6179" width="9.69140625" style="2645" customWidth="1"/>
    <col min="6180" max="6396" width="8.69140625" style="2645"/>
    <col min="6397" max="6397" width="38.4609375" style="2645" customWidth="1"/>
    <col min="6398" max="6398" width="8.53515625" style="2645" customWidth="1"/>
    <col min="6399" max="6399" width="1.07421875" style="2645" customWidth="1"/>
    <col min="6400" max="6400" width="8.69140625" style="2645" customWidth="1"/>
    <col min="6401" max="6401" width="1.07421875" style="2645" customWidth="1"/>
    <col min="6402" max="6402" width="9.07421875" style="2645" customWidth="1"/>
    <col min="6403" max="6403" width="1.07421875" style="2645" customWidth="1"/>
    <col min="6404" max="6404" width="10" style="2645" customWidth="1"/>
    <col min="6405" max="6405" width="1.07421875" style="2645" customWidth="1"/>
    <col min="6406" max="6406" width="9.07421875" style="2645" customWidth="1"/>
    <col min="6407" max="6407" width="1.07421875" style="2645" customWidth="1"/>
    <col min="6408" max="6408" width="11.07421875" style="2645" customWidth="1"/>
    <col min="6409" max="6409" width="1.07421875" style="2645" customWidth="1"/>
    <col min="6410" max="6410" width="9.07421875" style="2645" customWidth="1"/>
    <col min="6411" max="6411" width="1.69140625" style="2645" customWidth="1"/>
    <col min="6412" max="6412" width="11" style="2645" customWidth="1"/>
    <col min="6413" max="6413" width="1.07421875" style="2645" customWidth="1"/>
    <col min="6414" max="6414" width="10.69140625" style="2645" customWidth="1"/>
    <col min="6415" max="6415" width="1.07421875" style="2645" customWidth="1"/>
    <col min="6416" max="6416" width="10" style="2645" customWidth="1"/>
    <col min="6417" max="6417" width="1.07421875" style="2645" customWidth="1"/>
    <col min="6418" max="6418" width="9.07421875" style="2645" customWidth="1"/>
    <col min="6419" max="6419" width="1.07421875" style="2645" customWidth="1"/>
    <col min="6420" max="6420" width="7.69140625" style="2645" customWidth="1"/>
    <col min="6421" max="6421" width="1.07421875" style="2645" customWidth="1"/>
    <col min="6422" max="6422" width="0.69140625" style="2645" customWidth="1"/>
    <col min="6423" max="6423" width="9.07421875" style="2645" customWidth="1"/>
    <col min="6424" max="6424" width="1.07421875" style="2645" customWidth="1"/>
    <col min="6425" max="6425" width="0.69140625" style="2645" customWidth="1"/>
    <col min="6426" max="6426" width="9.53515625" style="2645" bestFit="1" customWidth="1"/>
    <col min="6427" max="6428" width="0.69140625" style="2645" customWidth="1"/>
    <col min="6429" max="6429" width="9.69140625" style="2645" customWidth="1"/>
    <col min="6430" max="6430" width="1.07421875" style="2645" customWidth="1"/>
    <col min="6431" max="6431" width="8.53515625" style="2645" customWidth="1"/>
    <col min="6432" max="6432" width="14.53515625" style="2645" customWidth="1"/>
    <col min="6433" max="6433" width="10" style="2645" customWidth="1"/>
    <col min="6434" max="6434" width="7.69140625" style="2645" bestFit="1" customWidth="1"/>
    <col min="6435" max="6435" width="9.69140625" style="2645" customWidth="1"/>
    <col min="6436" max="6652" width="8.69140625" style="2645"/>
    <col min="6653" max="6653" width="38.4609375" style="2645" customWidth="1"/>
    <col min="6654" max="6654" width="8.53515625" style="2645" customWidth="1"/>
    <col min="6655" max="6655" width="1.07421875" style="2645" customWidth="1"/>
    <col min="6656" max="6656" width="8.69140625" style="2645" customWidth="1"/>
    <col min="6657" max="6657" width="1.07421875" style="2645" customWidth="1"/>
    <col min="6658" max="6658" width="9.07421875" style="2645" customWidth="1"/>
    <col min="6659" max="6659" width="1.07421875" style="2645" customWidth="1"/>
    <col min="6660" max="6660" width="10" style="2645" customWidth="1"/>
    <col min="6661" max="6661" width="1.07421875" style="2645" customWidth="1"/>
    <col min="6662" max="6662" width="9.07421875" style="2645" customWidth="1"/>
    <col min="6663" max="6663" width="1.07421875" style="2645" customWidth="1"/>
    <col min="6664" max="6664" width="11.07421875" style="2645" customWidth="1"/>
    <col min="6665" max="6665" width="1.07421875" style="2645" customWidth="1"/>
    <col min="6666" max="6666" width="9.07421875" style="2645" customWidth="1"/>
    <col min="6667" max="6667" width="1.69140625" style="2645" customWidth="1"/>
    <col min="6668" max="6668" width="11" style="2645" customWidth="1"/>
    <col min="6669" max="6669" width="1.07421875" style="2645" customWidth="1"/>
    <col min="6670" max="6670" width="10.69140625" style="2645" customWidth="1"/>
    <col min="6671" max="6671" width="1.07421875" style="2645" customWidth="1"/>
    <col min="6672" max="6672" width="10" style="2645" customWidth="1"/>
    <col min="6673" max="6673" width="1.07421875" style="2645" customWidth="1"/>
    <col min="6674" max="6674" width="9.07421875" style="2645" customWidth="1"/>
    <col min="6675" max="6675" width="1.07421875" style="2645" customWidth="1"/>
    <col min="6676" max="6676" width="7.69140625" style="2645" customWidth="1"/>
    <col min="6677" max="6677" width="1.07421875" style="2645" customWidth="1"/>
    <col min="6678" max="6678" width="0.69140625" style="2645" customWidth="1"/>
    <col min="6679" max="6679" width="9.07421875" style="2645" customWidth="1"/>
    <col min="6680" max="6680" width="1.07421875" style="2645" customWidth="1"/>
    <col min="6681" max="6681" width="0.69140625" style="2645" customWidth="1"/>
    <col min="6682" max="6682" width="9.53515625" style="2645" bestFit="1" customWidth="1"/>
    <col min="6683" max="6684" width="0.69140625" style="2645" customWidth="1"/>
    <col min="6685" max="6685" width="9.69140625" style="2645" customWidth="1"/>
    <col min="6686" max="6686" width="1.07421875" style="2645" customWidth="1"/>
    <col min="6687" max="6687" width="8.53515625" style="2645" customWidth="1"/>
    <col min="6688" max="6688" width="14.53515625" style="2645" customWidth="1"/>
    <col min="6689" max="6689" width="10" style="2645" customWidth="1"/>
    <col min="6690" max="6690" width="7.69140625" style="2645" bestFit="1" customWidth="1"/>
    <col min="6691" max="6691" width="9.69140625" style="2645" customWidth="1"/>
    <col min="6692" max="6908" width="8.69140625" style="2645"/>
    <col min="6909" max="6909" width="38.4609375" style="2645" customWidth="1"/>
    <col min="6910" max="6910" width="8.53515625" style="2645" customWidth="1"/>
    <col min="6911" max="6911" width="1.07421875" style="2645" customWidth="1"/>
    <col min="6912" max="6912" width="8.69140625" style="2645" customWidth="1"/>
    <col min="6913" max="6913" width="1.07421875" style="2645" customWidth="1"/>
    <col min="6914" max="6914" width="9.07421875" style="2645" customWidth="1"/>
    <col min="6915" max="6915" width="1.07421875" style="2645" customWidth="1"/>
    <col min="6916" max="6916" width="10" style="2645" customWidth="1"/>
    <col min="6917" max="6917" width="1.07421875" style="2645" customWidth="1"/>
    <col min="6918" max="6918" width="9.07421875" style="2645" customWidth="1"/>
    <col min="6919" max="6919" width="1.07421875" style="2645" customWidth="1"/>
    <col min="6920" max="6920" width="11.07421875" style="2645" customWidth="1"/>
    <col min="6921" max="6921" width="1.07421875" style="2645" customWidth="1"/>
    <col min="6922" max="6922" width="9.07421875" style="2645" customWidth="1"/>
    <col min="6923" max="6923" width="1.69140625" style="2645" customWidth="1"/>
    <col min="6924" max="6924" width="11" style="2645" customWidth="1"/>
    <col min="6925" max="6925" width="1.07421875" style="2645" customWidth="1"/>
    <col min="6926" max="6926" width="10.69140625" style="2645" customWidth="1"/>
    <col min="6927" max="6927" width="1.07421875" style="2645" customWidth="1"/>
    <col min="6928" max="6928" width="10" style="2645" customWidth="1"/>
    <col min="6929" max="6929" width="1.07421875" style="2645" customWidth="1"/>
    <col min="6930" max="6930" width="9.07421875" style="2645" customWidth="1"/>
    <col min="6931" max="6931" width="1.07421875" style="2645" customWidth="1"/>
    <col min="6932" max="6932" width="7.69140625" style="2645" customWidth="1"/>
    <col min="6933" max="6933" width="1.07421875" style="2645" customWidth="1"/>
    <col min="6934" max="6934" width="0.69140625" style="2645" customWidth="1"/>
    <col min="6935" max="6935" width="9.07421875" style="2645" customWidth="1"/>
    <col min="6936" max="6936" width="1.07421875" style="2645" customWidth="1"/>
    <col min="6937" max="6937" width="0.69140625" style="2645" customWidth="1"/>
    <col min="6938" max="6938" width="9.53515625" style="2645" bestFit="1" customWidth="1"/>
    <col min="6939" max="6940" width="0.69140625" style="2645" customWidth="1"/>
    <col min="6941" max="6941" width="9.69140625" style="2645" customWidth="1"/>
    <col min="6942" max="6942" width="1.07421875" style="2645" customWidth="1"/>
    <col min="6943" max="6943" width="8.53515625" style="2645" customWidth="1"/>
    <col min="6944" max="6944" width="14.53515625" style="2645" customWidth="1"/>
    <col min="6945" max="6945" width="10" style="2645" customWidth="1"/>
    <col min="6946" max="6946" width="7.69140625" style="2645" bestFit="1" customWidth="1"/>
    <col min="6947" max="6947" width="9.69140625" style="2645" customWidth="1"/>
    <col min="6948" max="7164" width="8.69140625" style="2645"/>
    <col min="7165" max="7165" width="38.4609375" style="2645" customWidth="1"/>
    <col min="7166" max="7166" width="8.53515625" style="2645" customWidth="1"/>
    <col min="7167" max="7167" width="1.07421875" style="2645" customWidth="1"/>
    <col min="7168" max="7168" width="8.69140625" style="2645" customWidth="1"/>
    <col min="7169" max="7169" width="1.07421875" style="2645" customWidth="1"/>
    <col min="7170" max="7170" width="9.07421875" style="2645" customWidth="1"/>
    <col min="7171" max="7171" width="1.07421875" style="2645" customWidth="1"/>
    <col min="7172" max="7172" width="10" style="2645" customWidth="1"/>
    <col min="7173" max="7173" width="1.07421875" style="2645" customWidth="1"/>
    <col min="7174" max="7174" width="9.07421875" style="2645" customWidth="1"/>
    <col min="7175" max="7175" width="1.07421875" style="2645" customWidth="1"/>
    <col min="7176" max="7176" width="11.07421875" style="2645" customWidth="1"/>
    <col min="7177" max="7177" width="1.07421875" style="2645" customWidth="1"/>
    <col min="7178" max="7178" width="9.07421875" style="2645" customWidth="1"/>
    <col min="7179" max="7179" width="1.69140625" style="2645" customWidth="1"/>
    <col min="7180" max="7180" width="11" style="2645" customWidth="1"/>
    <col min="7181" max="7181" width="1.07421875" style="2645" customWidth="1"/>
    <col min="7182" max="7182" width="10.69140625" style="2645" customWidth="1"/>
    <col min="7183" max="7183" width="1.07421875" style="2645" customWidth="1"/>
    <col min="7184" max="7184" width="10" style="2645" customWidth="1"/>
    <col min="7185" max="7185" width="1.07421875" style="2645" customWidth="1"/>
    <col min="7186" max="7186" width="9.07421875" style="2645" customWidth="1"/>
    <col min="7187" max="7187" width="1.07421875" style="2645" customWidth="1"/>
    <col min="7188" max="7188" width="7.69140625" style="2645" customWidth="1"/>
    <col min="7189" max="7189" width="1.07421875" style="2645" customWidth="1"/>
    <col min="7190" max="7190" width="0.69140625" style="2645" customWidth="1"/>
    <col min="7191" max="7191" width="9.07421875" style="2645" customWidth="1"/>
    <col min="7192" max="7192" width="1.07421875" style="2645" customWidth="1"/>
    <col min="7193" max="7193" width="0.69140625" style="2645" customWidth="1"/>
    <col min="7194" max="7194" width="9.53515625" style="2645" bestFit="1" customWidth="1"/>
    <col min="7195" max="7196" width="0.69140625" style="2645" customWidth="1"/>
    <col min="7197" max="7197" width="9.69140625" style="2645" customWidth="1"/>
    <col min="7198" max="7198" width="1.07421875" style="2645" customWidth="1"/>
    <col min="7199" max="7199" width="8.53515625" style="2645" customWidth="1"/>
    <col min="7200" max="7200" width="14.53515625" style="2645" customWidth="1"/>
    <col min="7201" max="7201" width="10" style="2645" customWidth="1"/>
    <col min="7202" max="7202" width="7.69140625" style="2645" bestFit="1" customWidth="1"/>
    <col min="7203" max="7203" width="9.69140625" style="2645" customWidth="1"/>
    <col min="7204" max="7420" width="8.69140625" style="2645"/>
    <col min="7421" max="7421" width="38.4609375" style="2645" customWidth="1"/>
    <col min="7422" max="7422" width="8.53515625" style="2645" customWidth="1"/>
    <col min="7423" max="7423" width="1.07421875" style="2645" customWidth="1"/>
    <col min="7424" max="7424" width="8.69140625" style="2645" customWidth="1"/>
    <col min="7425" max="7425" width="1.07421875" style="2645" customWidth="1"/>
    <col min="7426" max="7426" width="9.07421875" style="2645" customWidth="1"/>
    <col min="7427" max="7427" width="1.07421875" style="2645" customWidth="1"/>
    <col min="7428" max="7428" width="10" style="2645" customWidth="1"/>
    <col min="7429" max="7429" width="1.07421875" style="2645" customWidth="1"/>
    <col min="7430" max="7430" width="9.07421875" style="2645" customWidth="1"/>
    <col min="7431" max="7431" width="1.07421875" style="2645" customWidth="1"/>
    <col min="7432" max="7432" width="11.07421875" style="2645" customWidth="1"/>
    <col min="7433" max="7433" width="1.07421875" style="2645" customWidth="1"/>
    <col min="7434" max="7434" width="9.07421875" style="2645" customWidth="1"/>
    <col min="7435" max="7435" width="1.69140625" style="2645" customWidth="1"/>
    <col min="7436" max="7436" width="11" style="2645" customWidth="1"/>
    <col min="7437" max="7437" width="1.07421875" style="2645" customWidth="1"/>
    <col min="7438" max="7438" width="10.69140625" style="2645" customWidth="1"/>
    <col min="7439" max="7439" width="1.07421875" style="2645" customWidth="1"/>
    <col min="7440" max="7440" width="10" style="2645" customWidth="1"/>
    <col min="7441" max="7441" width="1.07421875" style="2645" customWidth="1"/>
    <col min="7442" max="7442" width="9.07421875" style="2645" customWidth="1"/>
    <col min="7443" max="7443" width="1.07421875" style="2645" customWidth="1"/>
    <col min="7444" max="7444" width="7.69140625" style="2645" customWidth="1"/>
    <col min="7445" max="7445" width="1.07421875" style="2645" customWidth="1"/>
    <col min="7446" max="7446" width="0.69140625" style="2645" customWidth="1"/>
    <col min="7447" max="7447" width="9.07421875" style="2645" customWidth="1"/>
    <col min="7448" max="7448" width="1.07421875" style="2645" customWidth="1"/>
    <col min="7449" max="7449" width="0.69140625" style="2645" customWidth="1"/>
    <col min="7450" max="7450" width="9.53515625" style="2645" bestFit="1" customWidth="1"/>
    <col min="7451" max="7452" width="0.69140625" style="2645" customWidth="1"/>
    <col min="7453" max="7453" width="9.69140625" style="2645" customWidth="1"/>
    <col min="7454" max="7454" width="1.07421875" style="2645" customWidth="1"/>
    <col min="7455" max="7455" width="8.53515625" style="2645" customWidth="1"/>
    <col min="7456" max="7456" width="14.53515625" style="2645" customWidth="1"/>
    <col min="7457" max="7457" width="10" style="2645" customWidth="1"/>
    <col min="7458" max="7458" width="7.69140625" style="2645" bestFit="1" customWidth="1"/>
    <col min="7459" max="7459" width="9.69140625" style="2645" customWidth="1"/>
    <col min="7460" max="7676" width="8.69140625" style="2645"/>
    <col min="7677" max="7677" width="38.4609375" style="2645" customWidth="1"/>
    <col min="7678" max="7678" width="8.53515625" style="2645" customWidth="1"/>
    <col min="7679" max="7679" width="1.07421875" style="2645" customWidth="1"/>
    <col min="7680" max="7680" width="8.69140625" style="2645" customWidth="1"/>
    <col min="7681" max="7681" width="1.07421875" style="2645" customWidth="1"/>
    <col min="7682" max="7682" width="9.07421875" style="2645" customWidth="1"/>
    <col min="7683" max="7683" width="1.07421875" style="2645" customWidth="1"/>
    <col min="7684" max="7684" width="10" style="2645" customWidth="1"/>
    <col min="7685" max="7685" width="1.07421875" style="2645" customWidth="1"/>
    <col min="7686" max="7686" width="9.07421875" style="2645" customWidth="1"/>
    <col min="7687" max="7687" width="1.07421875" style="2645" customWidth="1"/>
    <col min="7688" max="7688" width="11.07421875" style="2645" customWidth="1"/>
    <col min="7689" max="7689" width="1.07421875" style="2645" customWidth="1"/>
    <col min="7690" max="7690" width="9.07421875" style="2645" customWidth="1"/>
    <col min="7691" max="7691" width="1.69140625" style="2645" customWidth="1"/>
    <col min="7692" max="7692" width="11" style="2645" customWidth="1"/>
    <col min="7693" max="7693" width="1.07421875" style="2645" customWidth="1"/>
    <col min="7694" max="7694" width="10.69140625" style="2645" customWidth="1"/>
    <col min="7695" max="7695" width="1.07421875" style="2645" customWidth="1"/>
    <col min="7696" max="7696" width="10" style="2645" customWidth="1"/>
    <col min="7697" max="7697" width="1.07421875" style="2645" customWidth="1"/>
    <col min="7698" max="7698" width="9.07421875" style="2645" customWidth="1"/>
    <col min="7699" max="7699" width="1.07421875" style="2645" customWidth="1"/>
    <col min="7700" max="7700" width="7.69140625" style="2645" customWidth="1"/>
    <col min="7701" max="7701" width="1.07421875" style="2645" customWidth="1"/>
    <col min="7702" max="7702" width="0.69140625" style="2645" customWidth="1"/>
    <col min="7703" max="7703" width="9.07421875" style="2645" customWidth="1"/>
    <col min="7704" max="7704" width="1.07421875" style="2645" customWidth="1"/>
    <col min="7705" max="7705" width="0.69140625" style="2645" customWidth="1"/>
    <col min="7706" max="7706" width="9.53515625" style="2645" bestFit="1" customWidth="1"/>
    <col min="7707" max="7708" width="0.69140625" style="2645" customWidth="1"/>
    <col min="7709" max="7709" width="9.69140625" style="2645" customWidth="1"/>
    <col min="7710" max="7710" width="1.07421875" style="2645" customWidth="1"/>
    <col min="7711" max="7711" width="8.53515625" style="2645" customWidth="1"/>
    <col min="7712" max="7712" width="14.53515625" style="2645" customWidth="1"/>
    <col min="7713" max="7713" width="10" style="2645" customWidth="1"/>
    <col min="7714" max="7714" width="7.69140625" style="2645" bestFit="1" customWidth="1"/>
    <col min="7715" max="7715" width="9.69140625" style="2645" customWidth="1"/>
    <col min="7716" max="7932" width="8.69140625" style="2645"/>
    <col min="7933" max="7933" width="38.4609375" style="2645" customWidth="1"/>
    <col min="7934" max="7934" width="8.53515625" style="2645" customWidth="1"/>
    <col min="7935" max="7935" width="1.07421875" style="2645" customWidth="1"/>
    <col min="7936" max="7936" width="8.69140625" style="2645" customWidth="1"/>
    <col min="7937" max="7937" width="1.07421875" style="2645" customWidth="1"/>
    <col min="7938" max="7938" width="9.07421875" style="2645" customWidth="1"/>
    <col min="7939" max="7939" width="1.07421875" style="2645" customWidth="1"/>
    <col min="7940" max="7940" width="10" style="2645" customWidth="1"/>
    <col min="7941" max="7941" width="1.07421875" style="2645" customWidth="1"/>
    <col min="7942" max="7942" width="9.07421875" style="2645" customWidth="1"/>
    <col min="7943" max="7943" width="1.07421875" style="2645" customWidth="1"/>
    <col min="7944" max="7944" width="11.07421875" style="2645" customWidth="1"/>
    <col min="7945" max="7945" width="1.07421875" style="2645" customWidth="1"/>
    <col min="7946" max="7946" width="9.07421875" style="2645" customWidth="1"/>
    <col min="7947" max="7947" width="1.69140625" style="2645" customWidth="1"/>
    <col min="7948" max="7948" width="11" style="2645" customWidth="1"/>
    <col min="7949" max="7949" width="1.07421875" style="2645" customWidth="1"/>
    <col min="7950" max="7950" width="10.69140625" style="2645" customWidth="1"/>
    <col min="7951" max="7951" width="1.07421875" style="2645" customWidth="1"/>
    <col min="7952" max="7952" width="10" style="2645" customWidth="1"/>
    <col min="7953" max="7953" width="1.07421875" style="2645" customWidth="1"/>
    <col min="7954" max="7954" width="9.07421875" style="2645" customWidth="1"/>
    <col min="7955" max="7955" width="1.07421875" style="2645" customWidth="1"/>
    <col min="7956" max="7956" width="7.69140625" style="2645" customWidth="1"/>
    <col min="7957" max="7957" width="1.07421875" style="2645" customWidth="1"/>
    <col min="7958" max="7958" width="0.69140625" style="2645" customWidth="1"/>
    <col min="7959" max="7959" width="9.07421875" style="2645" customWidth="1"/>
    <col min="7960" max="7960" width="1.07421875" style="2645" customWidth="1"/>
    <col min="7961" max="7961" width="0.69140625" style="2645" customWidth="1"/>
    <col min="7962" max="7962" width="9.53515625" style="2645" bestFit="1" customWidth="1"/>
    <col min="7963" max="7964" width="0.69140625" style="2645" customWidth="1"/>
    <col min="7965" max="7965" width="9.69140625" style="2645" customWidth="1"/>
    <col min="7966" max="7966" width="1.07421875" style="2645" customWidth="1"/>
    <col min="7967" max="7967" width="8.53515625" style="2645" customWidth="1"/>
    <col min="7968" max="7968" width="14.53515625" style="2645" customWidth="1"/>
    <col min="7969" max="7969" width="10" style="2645" customWidth="1"/>
    <col min="7970" max="7970" width="7.69140625" style="2645" bestFit="1" customWidth="1"/>
    <col min="7971" max="7971" width="9.69140625" style="2645" customWidth="1"/>
    <col min="7972" max="8188" width="8.69140625" style="2645"/>
    <col min="8189" max="8189" width="38.4609375" style="2645" customWidth="1"/>
    <col min="8190" max="8190" width="8.53515625" style="2645" customWidth="1"/>
    <col min="8191" max="8191" width="1.07421875" style="2645" customWidth="1"/>
    <col min="8192" max="8192" width="8.69140625" style="2645" customWidth="1"/>
    <col min="8193" max="8193" width="1.07421875" style="2645" customWidth="1"/>
    <col min="8194" max="8194" width="9.07421875" style="2645" customWidth="1"/>
    <col min="8195" max="8195" width="1.07421875" style="2645" customWidth="1"/>
    <col min="8196" max="8196" width="10" style="2645" customWidth="1"/>
    <col min="8197" max="8197" width="1.07421875" style="2645" customWidth="1"/>
    <col min="8198" max="8198" width="9.07421875" style="2645" customWidth="1"/>
    <col min="8199" max="8199" width="1.07421875" style="2645" customWidth="1"/>
    <col min="8200" max="8200" width="11.07421875" style="2645" customWidth="1"/>
    <col min="8201" max="8201" width="1.07421875" style="2645" customWidth="1"/>
    <col min="8202" max="8202" width="9.07421875" style="2645" customWidth="1"/>
    <col min="8203" max="8203" width="1.69140625" style="2645" customWidth="1"/>
    <col min="8204" max="8204" width="11" style="2645" customWidth="1"/>
    <col min="8205" max="8205" width="1.07421875" style="2645" customWidth="1"/>
    <col min="8206" max="8206" width="10.69140625" style="2645" customWidth="1"/>
    <col min="8207" max="8207" width="1.07421875" style="2645" customWidth="1"/>
    <col min="8208" max="8208" width="10" style="2645" customWidth="1"/>
    <col min="8209" max="8209" width="1.07421875" style="2645" customWidth="1"/>
    <col min="8210" max="8210" width="9.07421875" style="2645" customWidth="1"/>
    <col min="8211" max="8211" width="1.07421875" style="2645" customWidth="1"/>
    <col min="8212" max="8212" width="7.69140625" style="2645" customWidth="1"/>
    <col min="8213" max="8213" width="1.07421875" style="2645" customWidth="1"/>
    <col min="8214" max="8214" width="0.69140625" style="2645" customWidth="1"/>
    <col min="8215" max="8215" width="9.07421875" style="2645" customWidth="1"/>
    <col min="8216" max="8216" width="1.07421875" style="2645" customWidth="1"/>
    <col min="8217" max="8217" width="0.69140625" style="2645" customWidth="1"/>
    <col min="8218" max="8218" width="9.53515625" style="2645" bestFit="1" customWidth="1"/>
    <col min="8219" max="8220" width="0.69140625" style="2645" customWidth="1"/>
    <col min="8221" max="8221" width="9.69140625" style="2645" customWidth="1"/>
    <col min="8222" max="8222" width="1.07421875" style="2645" customWidth="1"/>
    <col min="8223" max="8223" width="8.53515625" style="2645" customWidth="1"/>
    <col min="8224" max="8224" width="14.53515625" style="2645" customWidth="1"/>
    <col min="8225" max="8225" width="10" style="2645" customWidth="1"/>
    <col min="8226" max="8226" width="7.69140625" style="2645" bestFit="1" customWidth="1"/>
    <col min="8227" max="8227" width="9.69140625" style="2645" customWidth="1"/>
    <col min="8228" max="8444" width="8.69140625" style="2645"/>
    <col min="8445" max="8445" width="38.4609375" style="2645" customWidth="1"/>
    <col min="8446" max="8446" width="8.53515625" style="2645" customWidth="1"/>
    <col min="8447" max="8447" width="1.07421875" style="2645" customWidth="1"/>
    <col min="8448" max="8448" width="8.69140625" style="2645" customWidth="1"/>
    <col min="8449" max="8449" width="1.07421875" style="2645" customWidth="1"/>
    <col min="8450" max="8450" width="9.07421875" style="2645" customWidth="1"/>
    <col min="8451" max="8451" width="1.07421875" style="2645" customWidth="1"/>
    <col min="8452" max="8452" width="10" style="2645" customWidth="1"/>
    <col min="8453" max="8453" width="1.07421875" style="2645" customWidth="1"/>
    <col min="8454" max="8454" width="9.07421875" style="2645" customWidth="1"/>
    <col min="8455" max="8455" width="1.07421875" style="2645" customWidth="1"/>
    <col min="8456" max="8456" width="11.07421875" style="2645" customWidth="1"/>
    <col min="8457" max="8457" width="1.07421875" style="2645" customWidth="1"/>
    <col min="8458" max="8458" width="9.07421875" style="2645" customWidth="1"/>
    <col min="8459" max="8459" width="1.69140625" style="2645" customWidth="1"/>
    <col min="8460" max="8460" width="11" style="2645" customWidth="1"/>
    <col min="8461" max="8461" width="1.07421875" style="2645" customWidth="1"/>
    <col min="8462" max="8462" width="10.69140625" style="2645" customWidth="1"/>
    <col min="8463" max="8463" width="1.07421875" style="2645" customWidth="1"/>
    <col min="8464" max="8464" width="10" style="2645" customWidth="1"/>
    <col min="8465" max="8465" width="1.07421875" style="2645" customWidth="1"/>
    <col min="8466" max="8466" width="9.07421875" style="2645" customWidth="1"/>
    <col min="8467" max="8467" width="1.07421875" style="2645" customWidth="1"/>
    <col min="8468" max="8468" width="7.69140625" style="2645" customWidth="1"/>
    <col min="8469" max="8469" width="1.07421875" style="2645" customWidth="1"/>
    <col min="8470" max="8470" width="0.69140625" style="2645" customWidth="1"/>
    <col min="8471" max="8471" width="9.07421875" style="2645" customWidth="1"/>
    <col min="8472" max="8472" width="1.07421875" style="2645" customWidth="1"/>
    <col min="8473" max="8473" width="0.69140625" style="2645" customWidth="1"/>
    <col min="8474" max="8474" width="9.53515625" style="2645" bestFit="1" customWidth="1"/>
    <col min="8475" max="8476" width="0.69140625" style="2645" customWidth="1"/>
    <col min="8477" max="8477" width="9.69140625" style="2645" customWidth="1"/>
    <col min="8478" max="8478" width="1.07421875" style="2645" customWidth="1"/>
    <col min="8479" max="8479" width="8.53515625" style="2645" customWidth="1"/>
    <col min="8480" max="8480" width="14.53515625" style="2645" customWidth="1"/>
    <col min="8481" max="8481" width="10" style="2645" customWidth="1"/>
    <col min="8482" max="8482" width="7.69140625" style="2645" bestFit="1" customWidth="1"/>
    <col min="8483" max="8483" width="9.69140625" style="2645" customWidth="1"/>
    <col min="8484" max="8700" width="8.69140625" style="2645"/>
    <col min="8701" max="8701" width="38.4609375" style="2645" customWidth="1"/>
    <col min="8702" max="8702" width="8.53515625" style="2645" customWidth="1"/>
    <col min="8703" max="8703" width="1.07421875" style="2645" customWidth="1"/>
    <col min="8704" max="8704" width="8.69140625" style="2645" customWidth="1"/>
    <col min="8705" max="8705" width="1.07421875" style="2645" customWidth="1"/>
    <col min="8706" max="8706" width="9.07421875" style="2645" customWidth="1"/>
    <col min="8707" max="8707" width="1.07421875" style="2645" customWidth="1"/>
    <col min="8708" max="8708" width="10" style="2645" customWidth="1"/>
    <col min="8709" max="8709" width="1.07421875" style="2645" customWidth="1"/>
    <col min="8710" max="8710" width="9.07421875" style="2645" customWidth="1"/>
    <col min="8711" max="8711" width="1.07421875" style="2645" customWidth="1"/>
    <col min="8712" max="8712" width="11.07421875" style="2645" customWidth="1"/>
    <col min="8713" max="8713" width="1.07421875" style="2645" customWidth="1"/>
    <col min="8714" max="8714" width="9.07421875" style="2645" customWidth="1"/>
    <col min="8715" max="8715" width="1.69140625" style="2645" customWidth="1"/>
    <col min="8716" max="8716" width="11" style="2645" customWidth="1"/>
    <col min="8717" max="8717" width="1.07421875" style="2645" customWidth="1"/>
    <col min="8718" max="8718" width="10.69140625" style="2645" customWidth="1"/>
    <col min="8719" max="8719" width="1.07421875" style="2645" customWidth="1"/>
    <col min="8720" max="8720" width="10" style="2645" customWidth="1"/>
    <col min="8721" max="8721" width="1.07421875" style="2645" customWidth="1"/>
    <col min="8722" max="8722" width="9.07421875" style="2645" customWidth="1"/>
    <col min="8723" max="8723" width="1.07421875" style="2645" customWidth="1"/>
    <col min="8724" max="8724" width="7.69140625" style="2645" customWidth="1"/>
    <col min="8725" max="8725" width="1.07421875" style="2645" customWidth="1"/>
    <col min="8726" max="8726" width="0.69140625" style="2645" customWidth="1"/>
    <col min="8727" max="8727" width="9.07421875" style="2645" customWidth="1"/>
    <col min="8728" max="8728" width="1.07421875" style="2645" customWidth="1"/>
    <col min="8729" max="8729" width="0.69140625" style="2645" customWidth="1"/>
    <col min="8730" max="8730" width="9.53515625" style="2645" bestFit="1" customWidth="1"/>
    <col min="8731" max="8732" width="0.69140625" style="2645" customWidth="1"/>
    <col min="8733" max="8733" width="9.69140625" style="2645" customWidth="1"/>
    <col min="8734" max="8734" width="1.07421875" style="2645" customWidth="1"/>
    <col min="8735" max="8735" width="8.53515625" style="2645" customWidth="1"/>
    <col min="8736" max="8736" width="14.53515625" style="2645" customWidth="1"/>
    <col min="8737" max="8737" width="10" style="2645" customWidth="1"/>
    <col min="8738" max="8738" width="7.69140625" style="2645" bestFit="1" customWidth="1"/>
    <col min="8739" max="8739" width="9.69140625" style="2645" customWidth="1"/>
    <col min="8740" max="8956" width="8.69140625" style="2645"/>
    <col min="8957" max="8957" width="38.4609375" style="2645" customWidth="1"/>
    <col min="8958" max="8958" width="8.53515625" style="2645" customWidth="1"/>
    <col min="8959" max="8959" width="1.07421875" style="2645" customWidth="1"/>
    <col min="8960" max="8960" width="8.69140625" style="2645" customWidth="1"/>
    <col min="8961" max="8961" width="1.07421875" style="2645" customWidth="1"/>
    <col min="8962" max="8962" width="9.07421875" style="2645" customWidth="1"/>
    <col min="8963" max="8963" width="1.07421875" style="2645" customWidth="1"/>
    <col min="8964" max="8964" width="10" style="2645" customWidth="1"/>
    <col min="8965" max="8965" width="1.07421875" style="2645" customWidth="1"/>
    <col min="8966" max="8966" width="9.07421875" style="2645" customWidth="1"/>
    <col min="8967" max="8967" width="1.07421875" style="2645" customWidth="1"/>
    <col min="8968" max="8968" width="11.07421875" style="2645" customWidth="1"/>
    <col min="8969" max="8969" width="1.07421875" style="2645" customWidth="1"/>
    <col min="8970" max="8970" width="9.07421875" style="2645" customWidth="1"/>
    <col min="8971" max="8971" width="1.69140625" style="2645" customWidth="1"/>
    <col min="8972" max="8972" width="11" style="2645" customWidth="1"/>
    <col min="8973" max="8973" width="1.07421875" style="2645" customWidth="1"/>
    <col min="8974" max="8974" width="10.69140625" style="2645" customWidth="1"/>
    <col min="8975" max="8975" width="1.07421875" style="2645" customWidth="1"/>
    <col min="8976" max="8976" width="10" style="2645" customWidth="1"/>
    <col min="8977" max="8977" width="1.07421875" style="2645" customWidth="1"/>
    <col min="8978" max="8978" width="9.07421875" style="2645" customWidth="1"/>
    <col min="8979" max="8979" width="1.07421875" style="2645" customWidth="1"/>
    <col min="8980" max="8980" width="7.69140625" style="2645" customWidth="1"/>
    <col min="8981" max="8981" width="1.07421875" style="2645" customWidth="1"/>
    <col min="8982" max="8982" width="0.69140625" style="2645" customWidth="1"/>
    <col min="8983" max="8983" width="9.07421875" style="2645" customWidth="1"/>
    <col min="8984" max="8984" width="1.07421875" style="2645" customWidth="1"/>
    <col min="8985" max="8985" width="0.69140625" style="2645" customWidth="1"/>
    <col min="8986" max="8986" width="9.53515625" style="2645" bestFit="1" customWidth="1"/>
    <col min="8987" max="8988" width="0.69140625" style="2645" customWidth="1"/>
    <col min="8989" max="8989" width="9.69140625" style="2645" customWidth="1"/>
    <col min="8990" max="8990" width="1.07421875" style="2645" customWidth="1"/>
    <col min="8991" max="8991" width="8.53515625" style="2645" customWidth="1"/>
    <col min="8992" max="8992" width="14.53515625" style="2645" customWidth="1"/>
    <col min="8993" max="8993" width="10" style="2645" customWidth="1"/>
    <col min="8994" max="8994" width="7.69140625" style="2645" bestFit="1" customWidth="1"/>
    <col min="8995" max="8995" width="9.69140625" style="2645" customWidth="1"/>
    <col min="8996" max="9212" width="8.69140625" style="2645"/>
    <col min="9213" max="9213" width="38.4609375" style="2645" customWidth="1"/>
    <col min="9214" max="9214" width="8.53515625" style="2645" customWidth="1"/>
    <col min="9215" max="9215" width="1.07421875" style="2645" customWidth="1"/>
    <col min="9216" max="9216" width="8.69140625" style="2645" customWidth="1"/>
    <col min="9217" max="9217" width="1.07421875" style="2645" customWidth="1"/>
    <col min="9218" max="9218" width="9.07421875" style="2645" customWidth="1"/>
    <col min="9219" max="9219" width="1.07421875" style="2645" customWidth="1"/>
    <col min="9220" max="9220" width="10" style="2645" customWidth="1"/>
    <col min="9221" max="9221" width="1.07421875" style="2645" customWidth="1"/>
    <col min="9222" max="9222" width="9.07421875" style="2645" customWidth="1"/>
    <col min="9223" max="9223" width="1.07421875" style="2645" customWidth="1"/>
    <col min="9224" max="9224" width="11.07421875" style="2645" customWidth="1"/>
    <col min="9225" max="9225" width="1.07421875" style="2645" customWidth="1"/>
    <col min="9226" max="9226" width="9.07421875" style="2645" customWidth="1"/>
    <col min="9227" max="9227" width="1.69140625" style="2645" customWidth="1"/>
    <col min="9228" max="9228" width="11" style="2645" customWidth="1"/>
    <col min="9229" max="9229" width="1.07421875" style="2645" customWidth="1"/>
    <col min="9230" max="9230" width="10.69140625" style="2645" customWidth="1"/>
    <col min="9231" max="9231" width="1.07421875" style="2645" customWidth="1"/>
    <col min="9232" max="9232" width="10" style="2645" customWidth="1"/>
    <col min="9233" max="9233" width="1.07421875" style="2645" customWidth="1"/>
    <col min="9234" max="9234" width="9.07421875" style="2645" customWidth="1"/>
    <col min="9235" max="9235" width="1.07421875" style="2645" customWidth="1"/>
    <col min="9236" max="9236" width="7.69140625" style="2645" customWidth="1"/>
    <col min="9237" max="9237" width="1.07421875" style="2645" customWidth="1"/>
    <col min="9238" max="9238" width="0.69140625" style="2645" customWidth="1"/>
    <col min="9239" max="9239" width="9.07421875" style="2645" customWidth="1"/>
    <col min="9240" max="9240" width="1.07421875" style="2645" customWidth="1"/>
    <col min="9241" max="9241" width="0.69140625" style="2645" customWidth="1"/>
    <col min="9242" max="9242" width="9.53515625" style="2645" bestFit="1" customWidth="1"/>
    <col min="9243" max="9244" width="0.69140625" style="2645" customWidth="1"/>
    <col min="9245" max="9245" width="9.69140625" style="2645" customWidth="1"/>
    <col min="9246" max="9246" width="1.07421875" style="2645" customWidth="1"/>
    <col min="9247" max="9247" width="8.53515625" style="2645" customWidth="1"/>
    <col min="9248" max="9248" width="14.53515625" style="2645" customWidth="1"/>
    <col min="9249" max="9249" width="10" style="2645" customWidth="1"/>
    <col min="9250" max="9250" width="7.69140625" style="2645" bestFit="1" customWidth="1"/>
    <col min="9251" max="9251" width="9.69140625" style="2645" customWidth="1"/>
    <col min="9252" max="9468" width="8.69140625" style="2645"/>
    <col min="9469" max="9469" width="38.4609375" style="2645" customWidth="1"/>
    <col min="9470" max="9470" width="8.53515625" style="2645" customWidth="1"/>
    <col min="9471" max="9471" width="1.07421875" style="2645" customWidth="1"/>
    <col min="9472" max="9472" width="8.69140625" style="2645" customWidth="1"/>
    <col min="9473" max="9473" width="1.07421875" style="2645" customWidth="1"/>
    <col min="9474" max="9474" width="9.07421875" style="2645" customWidth="1"/>
    <col min="9475" max="9475" width="1.07421875" style="2645" customWidth="1"/>
    <col min="9476" max="9476" width="10" style="2645" customWidth="1"/>
    <col min="9477" max="9477" width="1.07421875" style="2645" customWidth="1"/>
    <col min="9478" max="9478" width="9.07421875" style="2645" customWidth="1"/>
    <col min="9479" max="9479" width="1.07421875" style="2645" customWidth="1"/>
    <col min="9480" max="9480" width="11.07421875" style="2645" customWidth="1"/>
    <col min="9481" max="9481" width="1.07421875" style="2645" customWidth="1"/>
    <col min="9482" max="9482" width="9.07421875" style="2645" customWidth="1"/>
    <col min="9483" max="9483" width="1.69140625" style="2645" customWidth="1"/>
    <col min="9484" max="9484" width="11" style="2645" customWidth="1"/>
    <col min="9485" max="9485" width="1.07421875" style="2645" customWidth="1"/>
    <col min="9486" max="9486" width="10.69140625" style="2645" customWidth="1"/>
    <col min="9487" max="9487" width="1.07421875" style="2645" customWidth="1"/>
    <col min="9488" max="9488" width="10" style="2645" customWidth="1"/>
    <col min="9489" max="9489" width="1.07421875" style="2645" customWidth="1"/>
    <col min="9490" max="9490" width="9.07421875" style="2645" customWidth="1"/>
    <col min="9491" max="9491" width="1.07421875" style="2645" customWidth="1"/>
    <col min="9492" max="9492" width="7.69140625" style="2645" customWidth="1"/>
    <col min="9493" max="9493" width="1.07421875" style="2645" customWidth="1"/>
    <col min="9494" max="9494" width="0.69140625" style="2645" customWidth="1"/>
    <col min="9495" max="9495" width="9.07421875" style="2645" customWidth="1"/>
    <col min="9496" max="9496" width="1.07421875" style="2645" customWidth="1"/>
    <col min="9497" max="9497" width="0.69140625" style="2645" customWidth="1"/>
    <col min="9498" max="9498" width="9.53515625" style="2645" bestFit="1" customWidth="1"/>
    <col min="9499" max="9500" width="0.69140625" style="2645" customWidth="1"/>
    <col min="9501" max="9501" width="9.69140625" style="2645" customWidth="1"/>
    <col min="9502" max="9502" width="1.07421875" style="2645" customWidth="1"/>
    <col min="9503" max="9503" width="8.53515625" style="2645" customWidth="1"/>
    <col min="9504" max="9504" width="14.53515625" style="2645" customWidth="1"/>
    <col min="9505" max="9505" width="10" style="2645" customWidth="1"/>
    <col min="9506" max="9506" width="7.69140625" style="2645" bestFit="1" customWidth="1"/>
    <col min="9507" max="9507" width="9.69140625" style="2645" customWidth="1"/>
    <col min="9508" max="9724" width="8.69140625" style="2645"/>
    <col min="9725" max="9725" width="38.4609375" style="2645" customWidth="1"/>
    <col min="9726" max="9726" width="8.53515625" style="2645" customWidth="1"/>
    <col min="9727" max="9727" width="1.07421875" style="2645" customWidth="1"/>
    <col min="9728" max="9728" width="8.69140625" style="2645" customWidth="1"/>
    <col min="9729" max="9729" width="1.07421875" style="2645" customWidth="1"/>
    <col min="9730" max="9730" width="9.07421875" style="2645" customWidth="1"/>
    <col min="9731" max="9731" width="1.07421875" style="2645" customWidth="1"/>
    <col min="9732" max="9732" width="10" style="2645" customWidth="1"/>
    <col min="9733" max="9733" width="1.07421875" style="2645" customWidth="1"/>
    <col min="9734" max="9734" width="9.07421875" style="2645" customWidth="1"/>
    <col min="9735" max="9735" width="1.07421875" style="2645" customWidth="1"/>
    <col min="9736" max="9736" width="11.07421875" style="2645" customWidth="1"/>
    <col min="9737" max="9737" width="1.07421875" style="2645" customWidth="1"/>
    <col min="9738" max="9738" width="9.07421875" style="2645" customWidth="1"/>
    <col min="9739" max="9739" width="1.69140625" style="2645" customWidth="1"/>
    <col min="9740" max="9740" width="11" style="2645" customWidth="1"/>
    <col min="9741" max="9741" width="1.07421875" style="2645" customWidth="1"/>
    <col min="9742" max="9742" width="10.69140625" style="2645" customWidth="1"/>
    <col min="9743" max="9743" width="1.07421875" style="2645" customWidth="1"/>
    <col min="9744" max="9744" width="10" style="2645" customWidth="1"/>
    <col min="9745" max="9745" width="1.07421875" style="2645" customWidth="1"/>
    <col min="9746" max="9746" width="9.07421875" style="2645" customWidth="1"/>
    <col min="9747" max="9747" width="1.07421875" style="2645" customWidth="1"/>
    <col min="9748" max="9748" width="7.69140625" style="2645" customWidth="1"/>
    <col min="9749" max="9749" width="1.07421875" style="2645" customWidth="1"/>
    <col min="9750" max="9750" width="0.69140625" style="2645" customWidth="1"/>
    <col min="9751" max="9751" width="9.07421875" style="2645" customWidth="1"/>
    <col min="9752" max="9752" width="1.07421875" style="2645" customWidth="1"/>
    <col min="9753" max="9753" width="0.69140625" style="2645" customWidth="1"/>
    <col min="9754" max="9754" width="9.53515625" style="2645" bestFit="1" customWidth="1"/>
    <col min="9755" max="9756" width="0.69140625" style="2645" customWidth="1"/>
    <col min="9757" max="9757" width="9.69140625" style="2645" customWidth="1"/>
    <col min="9758" max="9758" width="1.07421875" style="2645" customWidth="1"/>
    <col min="9759" max="9759" width="8.53515625" style="2645" customWidth="1"/>
    <col min="9760" max="9760" width="14.53515625" style="2645" customWidth="1"/>
    <col min="9761" max="9761" width="10" style="2645" customWidth="1"/>
    <col min="9762" max="9762" width="7.69140625" style="2645" bestFit="1" customWidth="1"/>
    <col min="9763" max="9763" width="9.69140625" style="2645" customWidth="1"/>
    <col min="9764" max="9980" width="8.69140625" style="2645"/>
    <col min="9981" max="9981" width="38.4609375" style="2645" customWidth="1"/>
    <col min="9982" max="9982" width="8.53515625" style="2645" customWidth="1"/>
    <col min="9983" max="9983" width="1.07421875" style="2645" customWidth="1"/>
    <col min="9984" max="9984" width="8.69140625" style="2645" customWidth="1"/>
    <col min="9985" max="9985" width="1.07421875" style="2645" customWidth="1"/>
    <col min="9986" max="9986" width="9.07421875" style="2645" customWidth="1"/>
    <col min="9987" max="9987" width="1.07421875" style="2645" customWidth="1"/>
    <col min="9988" max="9988" width="10" style="2645" customWidth="1"/>
    <col min="9989" max="9989" width="1.07421875" style="2645" customWidth="1"/>
    <col min="9990" max="9990" width="9.07421875" style="2645" customWidth="1"/>
    <col min="9991" max="9991" width="1.07421875" style="2645" customWidth="1"/>
    <col min="9992" max="9992" width="11.07421875" style="2645" customWidth="1"/>
    <col min="9993" max="9993" width="1.07421875" style="2645" customWidth="1"/>
    <col min="9994" max="9994" width="9.07421875" style="2645" customWidth="1"/>
    <col min="9995" max="9995" width="1.69140625" style="2645" customWidth="1"/>
    <col min="9996" max="9996" width="11" style="2645" customWidth="1"/>
    <col min="9997" max="9997" width="1.07421875" style="2645" customWidth="1"/>
    <col min="9998" max="9998" width="10.69140625" style="2645" customWidth="1"/>
    <col min="9999" max="9999" width="1.07421875" style="2645" customWidth="1"/>
    <col min="10000" max="10000" width="10" style="2645" customWidth="1"/>
    <col min="10001" max="10001" width="1.07421875" style="2645" customWidth="1"/>
    <col min="10002" max="10002" width="9.07421875" style="2645" customWidth="1"/>
    <col min="10003" max="10003" width="1.07421875" style="2645" customWidth="1"/>
    <col min="10004" max="10004" width="7.69140625" style="2645" customWidth="1"/>
    <col min="10005" max="10005" width="1.07421875" style="2645" customWidth="1"/>
    <col min="10006" max="10006" width="0.69140625" style="2645" customWidth="1"/>
    <col min="10007" max="10007" width="9.07421875" style="2645" customWidth="1"/>
    <col min="10008" max="10008" width="1.07421875" style="2645" customWidth="1"/>
    <col min="10009" max="10009" width="0.69140625" style="2645" customWidth="1"/>
    <col min="10010" max="10010" width="9.53515625" style="2645" bestFit="1" customWidth="1"/>
    <col min="10011" max="10012" width="0.69140625" style="2645" customWidth="1"/>
    <col min="10013" max="10013" width="9.69140625" style="2645" customWidth="1"/>
    <col min="10014" max="10014" width="1.07421875" style="2645" customWidth="1"/>
    <col min="10015" max="10015" width="8.53515625" style="2645" customWidth="1"/>
    <col min="10016" max="10016" width="14.53515625" style="2645" customWidth="1"/>
    <col min="10017" max="10017" width="10" style="2645" customWidth="1"/>
    <col min="10018" max="10018" width="7.69140625" style="2645" bestFit="1" customWidth="1"/>
    <col min="10019" max="10019" width="9.69140625" style="2645" customWidth="1"/>
    <col min="10020" max="10236" width="8.69140625" style="2645"/>
    <col min="10237" max="10237" width="38.4609375" style="2645" customWidth="1"/>
    <col min="10238" max="10238" width="8.53515625" style="2645" customWidth="1"/>
    <col min="10239" max="10239" width="1.07421875" style="2645" customWidth="1"/>
    <col min="10240" max="10240" width="8.69140625" style="2645" customWidth="1"/>
    <col min="10241" max="10241" width="1.07421875" style="2645" customWidth="1"/>
    <col min="10242" max="10242" width="9.07421875" style="2645" customWidth="1"/>
    <col min="10243" max="10243" width="1.07421875" style="2645" customWidth="1"/>
    <col min="10244" max="10244" width="10" style="2645" customWidth="1"/>
    <col min="10245" max="10245" width="1.07421875" style="2645" customWidth="1"/>
    <col min="10246" max="10246" width="9.07421875" style="2645" customWidth="1"/>
    <col min="10247" max="10247" width="1.07421875" style="2645" customWidth="1"/>
    <col min="10248" max="10248" width="11.07421875" style="2645" customWidth="1"/>
    <col min="10249" max="10249" width="1.07421875" style="2645" customWidth="1"/>
    <col min="10250" max="10250" width="9.07421875" style="2645" customWidth="1"/>
    <col min="10251" max="10251" width="1.69140625" style="2645" customWidth="1"/>
    <col min="10252" max="10252" width="11" style="2645" customWidth="1"/>
    <col min="10253" max="10253" width="1.07421875" style="2645" customWidth="1"/>
    <col min="10254" max="10254" width="10.69140625" style="2645" customWidth="1"/>
    <col min="10255" max="10255" width="1.07421875" style="2645" customWidth="1"/>
    <col min="10256" max="10256" width="10" style="2645" customWidth="1"/>
    <col min="10257" max="10257" width="1.07421875" style="2645" customWidth="1"/>
    <col min="10258" max="10258" width="9.07421875" style="2645" customWidth="1"/>
    <col min="10259" max="10259" width="1.07421875" style="2645" customWidth="1"/>
    <col min="10260" max="10260" width="7.69140625" style="2645" customWidth="1"/>
    <col min="10261" max="10261" width="1.07421875" style="2645" customWidth="1"/>
    <col min="10262" max="10262" width="0.69140625" style="2645" customWidth="1"/>
    <col min="10263" max="10263" width="9.07421875" style="2645" customWidth="1"/>
    <col min="10264" max="10264" width="1.07421875" style="2645" customWidth="1"/>
    <col min="10265" max="10265" width="0.69140625" style="2645" customWidth="1"/>
    <col min="10266" max="10266" width="9.53515625" style="2645" bestFit="1" customWidth="1"/>
    <col min="10267" max="10268" width="0.69140625" style="2645" customWidth="1"/>
    <col min="10269" max="10269" width="9.69140625" style="2645" customWidth="1"/>
    <col min="10270" max="10270" width="1.07421875" style="2645" customWidth="1"/>
    <col min="10271" max="10271" width="8.53515625" style="2645" customWidth="1"/>
    <col min="10272" max="10272" width="14.53515625" style="2645" customWidth="1"/>
    <col min="10273" max="10273" width="10" style="2645" customWidth="1"/>
    <col min="10274" max="10274" width="7.69140625" style="2645" bestFit="1" customWidth="1"/>
    <col min="10275" max="10275" width="9.69140625" style="2645" customWidth="1"/>
    <col min="10276" max="10492" width="8.69140625" style="2645"/>
    <col min="10493" max="10493" width="38.4609375" style="2645" customWidth="1"/>
    <col min="10494" max="10494" width="8.53515625" style="2645" customWidth="1"/>
    <col min="10495" max="10495" width="1.07421875" style="2645" customWidth="1"/>
    <col min="10496" max="10496" width="8.69140625" style="2645" customWidth="1"/>
    <col min="10497" max="10497" width="1.07421875" style="2645" customWidth="1"/>
    <col min="10498" max="10498" width="9.07421875" style="2645" customWidth="1"/>
    <col min="10499" max="10499" width="1.07421875" style="2645" customWidth="1"/>
    <col min="10500" max="10500" width="10" style="2645" customWidth="1"/>
    <col min="10501" max="10501" width="1.07421875" style="2645" customWidth="1"/>
    <col min="10502" max="10502" width="9.07421875" style="2645" customWidth="1"/>
    <col min="10503" max="10503" width="1.07421875" style="2645" customWidth="1"/>
    <col min="10504" max="10504" width="11.07421875" style="2645" customWidth="1"/>
    <col min="10505" max="10505" width="1.07421875" style="2645" customWidth="1"/>
    <col min="10506" max="10506" width="9.07421875" style="2645" customWidth="1"/>
    <col min="10507" max="10507" width="1.69140625" style="2645" customWidth="1"/>
    <col min="10508" max="10508" width="11" style="2645" customWidth="1"/>
    <col min="10509" max="10509" width="1.07421875" style="2645" customWidth="1"/>
    <col min="10510" max="10510" width="10.69140625" style="2645" customWidth="1"/>
    <col min="10511" max="10511" width="1.07421875" style="2645" customWidth="1"/>
    <col min="10512" max="10512" width="10" style="2645" customWidth="1"/>
    <col min="10513" max="10513" width="1.07421875" style="2645" customWidth="1"/>
    <col min="10514" max="10514" width="9.07421875" style="2645" customWidth="1"/>
    <col min="10515" max="10515" width="1.07421875" style="2645" customWidth="1"/>
    <col min="10516" max="10516" width="7.69140625" style="2645" customWidth="1"/>
    <col min="10517" max="10517" width="1.07421875" style="2645" customWidth="1"/>
    <col min="10518" max="10518" width="0.69140625" style="2645" customWidth="1"/>
    <col min="10519" max="10519" width="9.07421875" style="2645" customWidth="1"/>
    <col min="10520" max="10520" width="1.07421875" style="2645" customWidth="1"/>
    <col min="10521" max="10521" width="0.69140625" style="2645" customWidth="1"/>
    <col min="10522" max="10522" width="9.53515625" style="2645" bestFit="1" customWidth="1"/>
    <col min="10523" max="10524" width="0.69140625" style="2645" customWidth="1"/>
    <col min="10525" max="10525" width="9.69140625" style="2645" customWidth="1"/>
    <col min="10526" max="10526" width="1.07421875" style="2645" customWidth="1"/>
    <col min="10527" max="10527" width="8.53515625" style="2645" customWidth="1"/>
    <col min="10528" max="10528" width="14.53515625" style="2645" customWidth="1"/>
    <col min="10529" max="10529" width="10" style="2645" customWidth="1"/>
    <col min="10530" max="10530" width="7.69140625" style="2645" bestFit="1" customWidth="1"/>
    <col min="10531" max="10531" width="9.69140625" style="2645" customWidth="1"/>
    <col min="10532" max="10748" width="8.69140625" style="2645"/>
    <col min="10749" max="10749" width="38.4609375" style="2645" customWidth="1"/>
    <col min="10750" max="10750" width="8.53515625" style="2645" customWidth="1"/>
    <col min="10751" max="10751" width="1.07421875" style="2645" customWidth="1"/>
    <col min="10752" max="10752" width="8.69140625" style="2645" customWidth="1"/>
    <col min="10753" max="10753" width="1.07421875" style="2645" customWidth="1"/>
    <col min="10754" max="10754" width="9.07421875" style="2645" customWidth="1"/>
    <col min="10755" max="10755" width="1.07421875" style="2645" customWidth="1"/>
    <col min="10756" max="10756" width="10" style="2645" customWidth="1"/>
    <col min="10757" max="10757" width="1.07421875" style="2645" customWidth="1"/>
    <col min="10758" max="10758" width="9.07421875" style="2645" customWidth="1"/>
    <col min="10759" max="10759" width="1.07421875" style="2645" customWidth="1"/>
    <col min="10760" max="10760" width="11.07421875" style="2645" customWidth="1"/>
    <col min="10761" max="10761" width="1.07421875" style="2645" customWidth="1"/>
    <col min="10762" max="10762" width="9.07421875" style="2645" customWidth="1"/>
    <col min="10763" max="10763" width="1.69140625" style="2645" customWidth="1"/>
    <col min="10764" max="10764" width="11" style="2645" customWidth="1"/>
    <col min="10765" max="10765" width="1.07421875" style="2645" customWidth="1"/>
    <col min="10766" max="10766" width="10.69140625" style="2645" customWidth="1"/>
    <col min="10767" max="10767" width="1.07421875" style="2645" customWidth="1"/>
    <col min="10768" max="10768" width="10" style="2645" customWidth="1"/>
    <col min="10769" max="10769" width="1.07421875" style="2645" customWidth="1"/>
    <col min="10770" max="10770" width="9.07421875" style="2645" customWidth="1"/>
    <col min="10771" max="10771" width="1.07421875" style="2645" customWidth="1"/>
    <col min="10772" max="10772" width="7.69140625" style="2645" customWidth="1"/>
    <col min="10773" max="10773" width="1.07421875" style="2645" customWidth="1"/>
    <col min="10774" max="10774" width="0.69140625" style="2645" customWidth="1"/>
    <col min="10775" max="10775" width="9.07421875" style="2645" customWidth="1"/>
    <col min="10776" max="10776" width="1.07421875" style="2645" customWidth="1"/>
    <col min="10777" max="10777" width="0.69140625" style="2645" customWidth="1"/>
    <col min="10778" max="10778" width="9.53515625" style="2645" bestFit="1" customWidth="1"/>
    <col min="10779" max="10780" width="0.69140625" style="2645" customWidth="1"/>
    <col min="10781" max="10781" width="9.69140625" style="2645" customWidth="1"/>
    <col min="10782" max="10782" width="1.07421875" style="2645" customWidth="1"/>
    <col min="10783" max="10783" width="8.53515625" style="2645" customWidth="1"/>
    <col min="10784" max="10784" width="14.53515625" style="2645" customWidth="1"/>
    <col min="10785" max="10785" width="10" style="2645" customWidth="1"/>
    <col min="10786" max="10786" width="7.69140625" style="2645" bestFit="1" customWidth="1"/>
    <col min="10787" max="10787" width="9.69140625" style="2645" customWidth="1"/>
    <col min="10788" max="11004" width="8.69140625" style="2645"/>
    <col min="11005" max="11005" width="38.4609375" style="2645" customWidth="1"/>
    <col min="11006" max="11006" width="8.53515625" style="2645" customWidth="1"/>
    <col min="11007" max="11007" width="1.07421875" style="2645" customWidth="1"/>
    <col min="11008" max="11008" width="8.69140625" style="2645" customWidth="1"/>
    <col min="11009" max="11009" width="1.07421875" style="2645" customWidth="1"/>
    <col min="11010" max="11010" width="9.07421875" style="2645" customWidth="1"/>
    <col min="11011" max="11011" width="1.07421875" style="2645" customWidth="1"/>
    <col min="11012" max="11012" width="10" style="2645" customWidth="1"/>
    <col min="11013" max="11013" width="1.07421875" style="2645" customWidth="1"/>
    <col min="11014" max="11014" width="9.07421875" style="2645" customWidth="1"/>
    <col min="11015" max="11015" width="1.07421875" style="2645" customWidth="1"/>
    <col min="11016" max="11016" width="11.07421875" style="2645" customWidth="1"/>
    <col min="11017" max="11017" width="1.07421875" style="2645" customWidth="1"/>
    <col min="11018" max="11018" width="9.07421875" style="2645" customWidth="1"/>
    <col min="11019" max="11019" width="1.69140625" style="2645" customWidth="1"/>
    <col min="11020" max="11020" width="11" style="2645" customWidth="1"/>
    <col min="11021" max="11021" width="1.07421875" style="2645" customWidth="1"/>
    <col min="11022" max="11022" width="10.69140625" style="2645" customWidth="1"/>
    <col min="11023" max="11023" width="1.07421875" style="2645" customWidth="1"/>
    <col min="11024" max="11024" width="10" style="2645" customWidth="1"/>
    <col min="11025" max="11025" width="1.07421875" style="2645" customWidth="1"/>
    <col min="11026" max="11026" width="9.07421875" style="2645" customWidth="1"/>
    <col min="11027" max="11027" width="1.07421875" style="2645" customWidth="1"/>
    <col min="11028" max="11028" width="7.69140625" style="2645" customWidth="1"/>
    <col min="11029" max="11029" width="1.07421875" style="2645" customWidth="1"/>
    <col min="11030" max="11030" width="0.69140625" style="2645" customWidth="1"/>
    <col min="11031" max="11031" width="9.07421875" style="2645" customWidth="1"/>
    <col min="11032" max="11032" width="1.07421875" style="2645" customWidth="1"/>
    <col min="11033" max="11033" width="0.69140625" style="2645" customWidth="1"/>
    <col min="11034" max="11034" width="9.53515625" style="2645" bestFit="1" customWidth="1"/>
    <col min="11035" max="11036" width="0.69140625" style="2645" customWidth="1"/>
    <col min="11037" max="11037" width="9.69140625" style="2645" customWidth="1"/>
    <col min="11038" max="11038" width="1.07421875" style="2645" customWidth="1"/>
    <col min="11039" max="11039" width="8.53515625" style="2645" customWidth="1"/>
    <col min="11040" max="11040" width="14.53515625" style="2645" customWidth="1"/>
    <col min="11041" max="11041" width="10" style="2645" customWidth="1"/>
    <col min="11042" max="11042" width="7.69140625" style="2645" bestFit="1" customWidth="1"/>
    <col min="11043" max="11043" width="9.69140625" style="2645" customWidth="1"/>
    <col min="11044" max="11260" width="8.69140625" style="2645"/>
    <col min="11261" max="11261" width="38.4609375" style="2645" customWidth="1"/>
    <col min="11262" max="11262" width="8.53515625" style="2645" customWidth="1"/>
    <col min="11263" max="11263" width="1.07421875" style="2645" customWidth="1"/>
    <col min="11264" max="11264" width="8.69140625" style="2645" customWidth="1"/>
    <col min="11265" max="11265" width="1.07421875" style="2645" customWidth="1"/>
    <col min="11266" max="11266" width="9.07421875" style="2645" customWidth="1"/>
    <col min="11267" max="11267" width="1.07421875" style="2645" customWidth="1"/>
    <col min="11268" max="11268" width="10" style="2645" customWidth="1"/>
    <col min="11269" max="11269" width="1.07421875" style="2645" customWidth="1"/>
    <col min="11270" max="11270" width="9.07421875" style="2645" customWidth="1"/>
    <col min="11271" max="11271" width="1.07421875" style="2645" customWidth="1"/>
    <col min="11272" max="11272" width="11.07421875" style="2645" customWidth="1"/>
    <col min="11273" max="11273" width="1.07421875" style="2645" customWidth="1"/>
    <col min="11274" max="11274" width="9.07421875" style="2645" customWidth="1"/>
    <col min="11275" max="11275" width="1.69140625" style="2645" customWidth="1"/>
    <col min="11276" max="11276" width="11" style="2645" customWidth="1"/>
    <col min="11277" max="11277" width="1.07421875" style="2645" customWidth="1"/>
    <col min="11278" max="11278" width="10.69140625" style="2645" customWidth="1"/>
    <col min="11279" max="11279" width="1.07421875" style="2645" customWidth="1"/>
    <col min="11280" max="11280" width="10" style="2645" customWidth="1"/>
    <col min="11281" max="11281" width="1.07421875" style="2645" customWidth="1"/>
    <col min="11282" max="11282" width="9.07421875" style="2645" customWidth="1"/>
    <col min="11283" max="11283" width="1.07421875" style="2645" customWidth="1"/>
    <col min="11284" max="11284" width="7.69140625" style="2645" customWidth="1"/>
    <col min="11285" max="11285" width="1.07421875" style="2645" customWidth="1"/>
    <col min="11286" max="11286" width="0.69140625" style="2645" customWidth="1"/>
    <col min="11287" max="11287" width="9.07421875" style="2645" customWidth="1"/>
    <col min="11288" max="11288" width="1.07421875" style="2645" customWidth="1"/>
    <col min="11289" max="11289" width="0.69140625" style="2645" customWidth="1"/>
    <col min="11290" max="11290" width="9.53515625" style="2645" bestFit="1" customWidth="1"/>
    <col min="11291" max="11292" width="0.69140625" style="2645" customWidth="1"/>
    <col min="11293" max="11293" width="9.69140625" style="2645" customWidth="1"/>
    <col min="11294" max="11294" width="1.07421875" style="2645" customWidth="1"/>
    <col min="11295" max="11295" width="8.53515625" style="2645" customWidth="1"/>
    <col min="11296" max="11296" width="14.53515625" style="2645" customWidth="1"/>
    <col min="11297" max="11297" width="10" style="2645" customWidth="1"/>
    <col min="11298" max="11298" width="7.69140625" style="2645" bestFit="1" customWidth="1"/>
    <col min="11299" max="11299" width="9.69140625" style="2645" customWidth="1"/>
    <col min="11300" max="11516" width="8.69140625" style="2645"/>
    <col min="11517" max="11517" width="38.4609375" style="2645" customWidth="1"/>
    <col min="11518" max="11518" width="8.53515625" style="2645" customWidth="1"/>
    <col min="11519" max="11519" width="1.07421875" style="2645" customWidth="1"/>
    <col min="11520" max="11520" width="8.69140625" style="2645" customWidth="1"/>
    <col min="11521" max="11521" width="1.07421875" style="2645" customWidth="1"/>
    <col min="11522" max="11522" width="9.07421875" style="2645" customWidth="1"/>
    <col min="11523" max="11523" width="1.07421875" style="2645" customWidth="1"/>
    <col min="11524" max="11524" width="10" style="2645" customWidth="1"/>
    <col min="11525" max="11525" width="1.07421875" style="2645" customWidth="1"/>
    <col min="11526" max="11526" width="9.07421875" style="2645" customWidth="1"/>
    <col min="11527" max="11527" width="1.07421875" style="2645" customWidth="1"/>
    <col min="11528" max="11528" width="11.07421875" style="2645" customWidth="1"/>
    <col min="11529" max="11529" width="1.07421875" style="2645" customWidth="1"/>
    <col min="11530" max="11530" width="9.07421875" style="2645" customWidth="1"/>
    <col min="11531" max="11531" width="1.69140625" style="2645" customWidth="1"/>
    <col min="11532" max="11532" width="11" style="2645" customWidth="1"/>
    <col min="11533" max="11533" width="1.07421875" style="2645" customWidth="1"/>
    <col min="11534" max="11534" width="10.69140625" style="2645" customWidth="1"/>
    <col min="11535" max="11535" width="1.07421875" style="2645" customWidth="1"/>
    <col min="11536" max="11536" width="10" style="2645" customWidth="1"/>
    <col min="11537" max="11537" width="1.07421875" style="2645" customWidth="1"/>
    <col min="11538" max="11538" width="9.07421875" style="2645" customWidth="1"/>
    <col min="11539" max="11539" width="1.07421875" style="2645" customWidth="1"/>
    <col min="11540" max="11540" width="7.69140625" style="2645" customWidth="1"/>
    <col min="11541" max="11541" width="1.07421875" style="2645" customWidth="1"/>
    <col min="11542" max="11542" width="0.69140625" style="2645" customWidth="1"/>
    <col min="11543" max="11543" width="9.07421875" style="2645" customWidth="1"/>
    <col min="11544" max="11544" width="1.07421875" style="2645" customWidth="1"/>
    <col min="11545" max="11545" width="0.69140625" style="2645" customWidth="1"/>
    <col min="11546" max="11546" width="9.53515625" style="2645" bestFit="1" customWidth="1"/>
    <col min="11547" max="11548" width="0.69140625" style="2645" customWidth="1"/>
    <col min="11549" max="11549" width="9.69140625" style="2645" customWidth="1"/>
    <col min="11550" max="11550" width="1.07421875" style="2645" customWidth="1"/>
    <col min="11551" max="11551" width="8.53515625" style="2645" customWidth="1"/>
    <col min="11552" max="11552" width="14.53515625" style="2645" customWidth="1"/>
    <col min="11553" max="11553" width="10" style="2645" customWidth="1"/>
    <col min="11554" max="11554" width="7.69140625" style="2645" bestFit="1" customWidth="1"/>
    <col min="11555" max="11555" width="9.69140625" style="2645" customWidth="1"/>
    <col min="11556" max="11772" width="8.69140625" style="2645"/>
    <col min="11773" max="11773" width="38.4609375" style="2645" customWidth="1"/>
    <col min="11774" max="11774" width="8.53515625" style="2645" customWidth="1"/>
    <col min="11775" max="11775" width="1.07421875" style="2645" customWidth="1"/>
    <col min="11776" max="11776" width="8.69140625" style="2645" customWidth="1"/>
    <col min="11777" max="11777" width="1.07421875" style="2645" customWidth="1"/>
    <col min="11778" max="11778" width="9.07421875" style="2645" customWidth="1"/>
    <col min="11779" max="11779" width="1.07421875" style="2645" customWidth="1"/>
    <col min="11780" max="11780" width="10" style="2645" customWidth="1"/>
    <col min="11781" max="11781" width="1.07421875" style="2645" customWidth="1"/>
    <col min="11782" max="11782" width="9.07421875" style="2645" customWidth="1"/>
    <col min="11783" max="11783" width="1.07421875" style="2645" customWidth="1"/>
    <col min="11784" max="11784" width="11.07421875" style="2645" customWidth="1"/>
    <col min="11785" max="11785" width="1.07421875" style="2645" customWidth="1"/>
    <col min="11786" max="11786" width="9.07421875" style="2645" customWidth="1"/>
    <col min="11787" max="11787" width="1.69140625" style="2645" customWidth="1"/>
    <col min="11788" max="11788" width="11" style="2645" customWidth="1"/>
    <col min="11789" max="11789" width="1.07421875" style="2645" customWidth="1"/>
    <col min="11790" max="11790" width="10.69140625" style="2645" customWidth="1"/>
    <col min="11791" max="11791" width="1.07421875" style="2645" customWidth="1"/>
    <col min="11792" max="11792" width="10" style="2645" customWidth="1"/>
    <col min="11793" max="11793" width="1.07421875" style="2645" customWidth="1"/>
    <col min="11794" max="11794" width="9.07421875" style="2645" customWidth="1"/>
    <col min="11795" max="11795" width="1.07421875" style="2645" customWidth="1"/>
    <col min="11796" max="11796" width="7.69140625" style="2645" customWidth="1"/>
    <col min="11797" max="11797" width="1.07421875" style="2645" customWidth="1"/>
    <col min="11798" max="11798" width="0.69140625" style="2645" customWidth="1"/>
    <col min="11799" max="11799" width="9.07421875" style="2645" customWidth="1"/>
    <col min="11800" max="11800" width="1.07421875" style="2645" customWidth="1"/>
    <col min="11801" max="11801" width="0.69140625" style="2645" customWidth="1"/>
    <col min="11802" max="11802" width="9.53515625" style="2645" bestFit="1" customWidth="1"/>
    <col min="11803" max="11804" width="0.69140625" style="2645" customWidth="1"/>
    <col min="11805" max="11805" width="9.69140625" style="2645" customWidth="1"/>
    <col min="11806" max="11806" width="1.07421875" style="2645" customWidth="1"/>
    <col min="11807" max="11807" width="8.53515625" style="2645" customWidth="1"/>
    <col min="11808" max="11808" width="14.53515625" style="2645" customWidth="1"/>
    <col min="11809" max="11809" width="10" style="2645" customWidth="1"/>
    <col min="11810" max="11810" width="7.69140625" style="2645" bestFit="1" customWidth="1"/>
    <col min="11811" max="11811" width="9.69140625" style="2645" customWidth="1"/>
    <col min="11812" max="12028" width="8.69140625" style="2645"/>
    <col min="12029" max="12029" width="38.4609375" style="2645" customWidth="1"/>
    <col min="12030" max="12030" width="8.53515625" style="2645" customWidth="1"/>
    <col min="12031" max="12031" width="1.07421875" style="2645" customWidth="1"/>
    <col min="12032" max="12032" width="8.69140625" style="2645" customWidth="1"/>
    <col min="12033" max="12033" width="1.07421875" style="2645" customWidth="1"/>
    <col min="12034" max="12034" width="9.07421875" style="2645" customWidth="1"/>
    <col min="12035" max="12035" width="1.07421875" style="2645" customWidth="1"/>
    <col min="12036" max="12036" width="10" style="2645" customWidth="1"/>
    <col min="12037" max="12037" width="1.07421875" style="2645" customWidth="1"/>
    <col min="12038" max="12038" width="9.07421875" style="2645" customWidth="1"/>
    <col min="12039" max="12039" width="1.07421875" style="2645" customWidth="1"/>
    <col min="12040" max="12040" width="11.07421875" style="2645" customWidth="1"/>
    <col min="12041" max="12041" width="1.07421875" style="2645" customWidth="1"/>
    <col min="12042" max="12042" width="9.07421875" style="2645" customWidth="1"/>
    <col min="12043" max="12043" width="1.69140625" style="2645" customWidth="1"/>
    <col min="12044" max="12044" width="11" style="2645" customWidth="1"/>
    <col min="12045" max="12045" width="1.07421875" style="2645" customWidth="1"/>
    <col min="12046" max="12046" width="10.69140625" style="2645" customWidth="1"/>
    <col min="12047" max="12047" width="1.07421875" style="2645" customWidth="1"/>
    <col min="12048" max="12048" width="10" style="2645" customWidth="1"/>
    <col min="12049" max="12049" width="1.07421875" style="2645" customWidth="1"/>
    <col min="12050" max="12050" width="9.07421875" style="2645" customWidth="1"/>
    <col min="12051" max="12051" width="1.07421875" style="2645" customWidth="1"/>
    <col min="12052" max="12052" width="7.69140625" style="2645" customWidth="1"/>
    <col min="12053" max="12053" width="1.07421875" style="2645" customWidth="1"/>
    <col min="12054" max="12054" width="0.69140625" style="2645" customWidth="1"/>
    <col min="12055" max="12055" width="9.07421875" style="2645" customWidth="1"/>
    <col min="12056" max="12056" width="1.07421875" style="2645" customWidth="1"/>
    <col min="12057" max="12057" width="0.69140625" style="2645" customWidth="1"/>
    <col min="12058" max="12058" width="9.53515625" style="2645" bestFit="1" customWidth="1"/>
    <col min="12059" max="12060" width="0.69140625" style="2645" customWidth="1"/>
    <col min="12061" max="12061" width="9.69140625" style="2645" customWidth="1"/>
    <col min="12062" max="12062" width="1.07421875" style="2645" customWidth="1"/>
    <col min="12063" max="12063" width="8.53515625" style="2645" customWidth="1"/>
    <col min="12064" max="12064" width="14.53515625" style="2645" customWidth="1"/>
    <col min="12065" max="12065" width="10" style="2645" customWidth="1"/>
    <col min="12066" max="12066" width="7.69140625" style="2645" bestFit="1" customWidth="1"/>
    <col min="12067" max="12067" width="9.69140625" style="2645" customWidth="1"/>
    <col min="12068" max="12284" width="8.69140625" style="2645"/>
    <col min="12285" max="12285" width="38.4609375" style="2645" customWidth="1"/>
    <col min="12286" max="12286" width="8.53515625" style="2645" customWidth="1"/>
    <col min="12287" max="12287" width="1.07421875" style="2645" customWidth="1"/>
    <col min="12288" max="12288" width="8.69140625" style="2645" customWidth="1"/>
    <col min="12289" max="12289" width="1.07421875" style="2645" customWidth="1"/>
    <col min="12290" max="12290" width="9.07421875" style="2645" customWidth="1"/>
    <col min="12291" max="12291" width="1.07421875" style="2645" customWidth="1"/>
    <col min="12292" max="12292" width="10" style="2645" customWidth="1"/>
    <col min="12293" max="12293" width="1.07421875" style="2645" customWidth="1"/>
    <col min="12294" max="12294" width="9.07421875" style="2645" customWidth="1"/>
    <col min="12295" max="12295" width="1.07421875" style="2645" customWidth="1"/>
    <col min="12296" max="12296" width="11.07421875" style="2645" customWidth="1"/>
    <col min="12297" max="12297" width="1.07421875" style="2645" customWidth="1"/>
    <col min="12298" max="12298" width="9.07421875" style="2645" customWidth="1"/>
    <col min="12299" max="12299" width="1.69140625" style="2645" customWidth="1"/>
    <col min="12300" max="12300" width="11" style="2645" customWidth="1"/>
    <col min="12301" max="12301" width="1.07421875" style="2645" customWidth="1"/>
    <col min="12302" max="12302" width="10.69140625" style="2645" customWidth="1"/>
    <col min="12303" max="12303" width="1.07421875" style="2645" customWidth="1"/>
    <col min="12304" max="12304" width="10" style="2645" customWidth="1"/>
    <col min="12305" max="12305" width="1.07421875" style="2645" customWidth="1"/>
    <col min="12306" max="12306" width="9.07421875" style="2645" customWidth="1"/>
    <col min="12307" max="12307" width="1.07421875" style="2645" customWidth="1"/>
    <col min="12308" max="12308" width="7.69140625" style="2645" customWidth="1"/>
    <col min="12309" max="12309" width="1.07421875" style="2645" customWidth="1"/>
    <col min="12310" max="12310" width="0.69140625" style="2645" customWidth="1"/>
    <col min="12311" max="12311" width="9.07421875" style="2645" customWidth="1"/>
    <col min="12312" max="12312" width="1.07421875" style="2645" customWidth="1"/>
    <col min="12313" max="12313" width="0.69140625" style="2645" customWidth="1"/>
    <col min="12314" max="12314" width="9.53515625" style="2645" bestFit="1" customWidth="1"/>
    <col min="12315" max="12316" width="0.69140625" style="2645" customWidth="1"/>
    <col min="12317" max="12317" width="9.69140625" style="2645" customWidth="1"/>
    <col min="12318" max="12318" width="1.07421875" style="2645" customWidth="1"/>
    <col min="12319" max="12319" width="8.53515625" style="2645" customWidth="1"/>
    <col min="12320" max="12320" width="14.53515625" style="2645" customWidth="1"/>
    <col min="12321" max="12321" width="10" style="2645" customWidth="1"/>
    <col min="12322" max="12322" width="7.69140625" style="2645" bestFit="1" customWidth="1"/>
    <col min="12323" max="12323" width="9.69140625" style="2645" customWidth="1"/>
    <col min="12324" max="12540" width="8.69140625" style="2645"/>
    <col min="12541" max="12541" width="38.4609375" style="2645" customWidth="1"/>
    <col min="12542" max="12542" width="8.53515625" style="2645" customWidth="1"/>
    <col min="12543" max="12543" width="1.07421875" style="2645" customWidth="1"/>
    <col min="12544" max="12544" width="8.69140625" style="2645" customWidth="1"/>
    <col min="12545" max="12545" width="1.07421875" style="2645" customWidth="1"/>
    <col min="12546" max="12546" width="9.07421875" style="2645" customWidth="1"/>
    <col min="12547" max="12547" width="1.07421875" style="2645" customWidth="1"/>
    <col min="12548" max="12548" width="10" style="2645" customWidth="1"/>
    <col min="12549" max="12549" width="1.07421875" style="2645" customWidth="1"/>
    <col min="12550" max="12550" width="9.07421875" style="2645" customWidth="1"/>
    <col min="12551" max="12551" width="1.07421875" style="2645" customWidth="1"/>
    <col min="12552" max="12552" width="11.07421875" style="2645" customWidth="1"/>
    <col min="12553" max="12553" width="1.07421875" style="2645" customWidth="1"/>
    <col min="12554" max="12554" width="9.07421875" style="2645" customWidth="1"/>
    <col min="12555" max="12555" width="1.69140625" style="2645" customWidth="1"/>
    <col min="12556" max="12556" width="11" style="2645" customWidth="1"/>
    <col min="12557" max="12557" width="1.07421875" style="2645" customWidth="1"/>
    <col min="12558" max="12558" width="10.69140625" style="2645" customWidth="1"/>
    <col min="12559" max="12559" width="1.07421875" style="2645" customWidth="1"/>
    <col min="12560" max="12560" width="10" style="2645" customWidth="1"/>
    <col min="12561" max="12561" width="1.07421875" style="2645" customWidth="1"/>
    <col min="12562" max="12562" width="9.07421875" style="2645" customWidth="1"/>
    <col min="12563" max="12563" width="1.07421875" style="2645" customWidth="1"/>
    <col min="12564" max="12564" width="7.69140625" style="2645" customWidth="1"/>
    <col min="12565" max="12565" width="1.07421875" style="2645" customWidth="1"/>
    <col min="12566" max="12566" width="0.69140625" style="2645" customWidth="1"/>
    <col min="12567" max="12567" width="9.07421875" style="2645" customWidth="1"/>
    <col min="12568" max="12568" width="1.07421875" style="2645" customWidth="1"/>
    <col min="12569" max="12569" width="0.69140625" style="2645" customWidth="1"/>
    <col min="12570" max="12570" width="9.53515625" style="2645" bestFit="1" customWidth="1"/>
    <col min="12571" max="12572" width="0.69140625" style="2645" customWidth="1"/>
    <col min="12573" max="12573" width="9.69140625" style="2645" customWidth="1"/>
    <col min="12574" max="12574" width="1.07421875" style="2645" customWidth="1"/>
    <col min="12575" max="12575" width="8.53515625" style="2645" customWidth="1"/>
    <col min="12576" max="12576" width="14.53515625" style="2645" customWidth="1"/>
    <col min="12577" max="12577" width="10" style="2645" customWidth="1"/>
    <col min="12578" max="12578" width="7.69140625" style="2645" bestFit="1" customWidth="1"/>
    <col min="12579" max="12579" width="9.69140625" style="2645" customWidth="1"/>
    <col min="12580" max="12796" width="8.69140625" style="2645"/>
    <col min="12797" max="12797" width="38.4609375" style="2645" customWidth="1"/>
    <col min="12798" max="12798" width="8.53515625" style="2645" customWidth="1"/>
    <col min="12799" max="12799" width="1.07421875" style="2645" customWidth="1"/>
    <col min="12800" max="12800" width="8.69140625" style="2645" customWidth="1"/>
    <col min="12801" max="12801" width="1.07421875" style="2645" customWidth="1"/>
    <col min="12802" max="12802" width="9.07421875" style="2645" customWidth="1"/>
    <col min="12803" max="12803" width="1.07421875" style="2645" customWidth="1"/>
    <col min="12804" max="12804" width="10" style="2645" customWidth="1"/>
    <col min="12805" max="12805" width="1.07421875" style="2645" customWidth="1"/>
    <col min="12806" max="12806" width="9.07421875" style="2645" customWidth="1"/>
    <col min="12807" max="12807" width="1.07421875" style="2645" customWidth="1"/>
    <col min="12808" max="12808" width="11.07421875" style="2645" customWidth="1"/>
    <col min="12809" max="12809" width="1.07421875" style="2645" customWidth="1"/>
    <col min="12810" max="12810" width="9.07421875" style="2645" customWidth="1"/>
    <col min="12811" max="12811" width="1.69140625" style="2645" customWidth="1"/>
    <col min="12812" max="12812" width="11" style="2645" customWidth="1"/>
    <col min="12813" max="12813" width="1.07421875" style="2645" customWidth="1"/>
    <col min="12814" max="12814" width="10.69140625" style="2645" customWidth="1"/>
    <col min="12815" max="12815" width="1.07421875" style="2645" customWidth="1"/>
    <col min="12816" max="12816" width="10" style="2645" customWidth="1"/>
    <col min="12817" max="12817" width="1.07421875" style="2645" customWidth="1"/>
    <col min="12818" max="12818" width="9.07421875" style="2645" customWidth="1"/>
    <col min="12819" max="12819" width="1.07421875" style="2645" customWidth="1"/>
    <col min="12820" max="12820" width="7.69140625" style="2645" customWidth="1"/>
    <col min="12821" max="12821" width="1.07421875" style="2645" customWidth="1"/>
    <col min="12822" max="12822" width="0.69140625" style="2645" customWidth="1"/>
    <col min="12823" max="12823" width="9.07421875" style="2645" customWidth="1"/>
    <col min="12824" max="12824" width="1.07421875" style="2645" customWidth="1"/>
    <col min="12825" max="12825" width="0.69140625" style="2645" customWidth="1"/>
    <col min="12826" max="12826" width="9.53515625" style="2645" bestFit="1" customWidth="1"/>
    <col min="12827" max="12828" width="0.69140625" style="2645" customWidth="1"/>
    <col min="12829" max="12829" width="9.69140625" style="2645" customWidth="1"/>
    <col min="12830" max="12830" width="1.07421875" style="2645" customWidth="1"/>
    <col min="12831" max="12831" width="8.53515625" style="2645" customWidth="1"/>
    <col min="12832" max="12832" width="14.53515625" style="2645" customWidth="1"/>
    <col min="12833" max="12833" width="10" style="2645" customWidth="1"/>
    <col min="12834" max="12834" width="7.69140625" style="2645" bestFit="1" customWidth="1"/>
    <col min="12835" max="12835" width="9.69140625" style="2645" customWidth="1"/>
    <col min="12836" max="13052" width="8.69140625" style="2645"/>
    <col min="13053" max="13053" width="38.4609375" style="2645" customWidth="1"/>
    <col min="13054" max="13054" width="8.53515625" style="2645" customWidth="1"/>
    <col min="13055" max="13055" width="1.07421875" style="2645" customWidth="1"/>
    <col min="13056" max="13056" width="8.69140625" style="2645" customWidth="1"/>
    <col min="13057" max="13057" width="1.07421875" style="2645" customWidth="1"/>
    <col min="13058" max="13058" width="9.07421875" style="2645" customWidth="1"/>
    <col min="13059" max="13059" width="1.07421875" style="2645" customWidth="1"/>
    <col min="13060" max="13060" width="10" style="2645" customWidth="1"/>
    <col min="13061" max="13061" width="1.07421875" style="2645" customWidth="1"/>
    <col min="13062" max="13062" width="9.07421875" style="2645" customWidth="1"/>
    <col min="13063" max="13063" width="1.07421875" style="2645" customWidth="1"/>
    <col min="13064" max="13064" width="11.07421875" style="2645" customWidth="1"/>
    <col min="13065" max="13065" width="1.07421875" style="2645" customWidth="1"/>
    <col min="13066" max="13066" width="9.07421875" style="2645" customWidth="1"/>
    <col min="13067" max="13067" width="1.69140625" style="2645" customWidth="1"/>
    <col min="13068" max="13068" width="11" style="2645" customWidth="1"/>
    <col min="13069" max="13069" width="1.07421875" style="2645" customWidth="1"/>
    <col min="13070" max="13070" width="10.69140625" style="2645" customWidth="1"/>
    <col min="13071" max="13071" width="1.07421875" style="2645" customWidth="1"/>
    <col min="13072" max="13072" width="10" style="2645" customWidth="1"/>
    <col min="13073" max="13073" width="1.07421875" style="2645" customWidth="1"/>
    <col min="13074" max="13074" width="9.07421875" style="2645" customWidth="1"/>
    <col min="13075" max="13075" width="1.07421875" style="2645" customWidth="1"/>
    <col min="13076" max="13076" width="7.69140625" style="2645" customWidth="1"/>
    <col min="13077" max="13077" width="1.07421875" style="2645" customWidth="1"/>
    <col min="13078" max="13078" width="0.69140625" style="2645" customWidth="1"/>
    <col min="13079" max="13079" width="9.07421875" style="2645" customWidth="1"/>
    <col min="13080" max="13080" width="1.07421875" style="2645" customWidth="1"/>
    <col min="13081" max="13081" width="0.69140625" style="2645" customWidth="1"/>
    <col min="13082" max="13082" width="9.53515625" style="2645" bestFit="1" customWidth="1"/>
    <col min="13083" max="13084" width="0.69140625" style="2645" customWidth="1"/>
    <col min="13085" max="13085" width="9.69140625" style="2645" customWidth="1"/>
    <col min="13086" max="13086" width="1.07421875" style="2645" customWidth="1"/>
    <col min="13087" max="13087" width="8.53515625" style="2645" customWidth="1"/>
    <col min="13088" max="13088" width="14.53515625" style="2645" customWidth="1"/>
    <col min="13089" max="13089" width="10" style="2645" customWidth="1"/>
    <col min="13090" max="13090" width="7.69140625" style="2645" bestFit="1" customWidth="1"/>
    <col min="13091" max="13091" width="9.69140625" style="2645" customWidth="1"/>
    <col min="13092" max="13308" width="8.69140625" style="2645"/>
    <col min="13309" max="13309" width="38.4609375" style="2645" customWidth="1"/>
    <col min="13310" max="13310" width="8.53515625" style="2645" customWidth="1"/>
    <col min="13311" max="13311" width="1.07421875" style="2645" customWidth="1"/>
    <col min="13312" max="13312" width="8.69140625" style="2645" customWidth="1"/>
    <col min="13313" max="13313" width="1.07421875" style="2645" customWidth="1"/>
    <col min="13314" max="13314" width="9.07421875" style="2645" customWidth="1"/>
    <col min="13315" max="13315" width="1.07421875" style="2645" customWidth="1"/>
    <col min="13316" max="13316" width="10" style="2645" customWidth="1"/>
    <col min="13317" max="13317" width="1.07421875" style="2645" customWidth="1"/>
    <col min="13318" max="13318" width="9.07421875" style="2645" customWidth="1"/>
    <col min="13319" max="13319" width="1.07421875" style="2645" customWidth="1"/>
    <col min="13320" max="13320" width="11.07421875" style="2645" customWidth="1"/>
    <col min="13321" max="13321" width="1.07421875" style="2645" customWidth="1"/>
    <col min="13322" max="13322" width="9.07421875" style="2645" customWidth="1"/>
    <col min="13323" max="13323" width="1.69140625" style="2645" customWidth="1"/>
    <col min="13324" max="13324" width="11" style="2645" customWidth="1"/>
    <col min="13325" max="13325" width="1.07421875" style="2645" customWidth="1"/>
    <col min="13326" max="13326" width="10.69140625" style="2645" customWidth="1"/>
    <col min="13327" max="13327" width="1.07421875" style="2645" customWidth="1"/>
    <col min="13328" max="13328" width="10" style="2645" customWidth="1"/>
    <col min="13329" max="13329" width="1.07421875" style="2645" customWidth="1"/>
    <col min="13330" max="13330" width="9.07421875" style="2645" customWidth="1"/>
    <col min="13331" max="13331" width="1.07421875" style="2645" customWidth="1"/>
    <col min="13332" max="13332" width="7.69140625" style="2645" customWidth="1"/>
    <col min="13333" max="13333" width="1.07421875" style="2645" customWidth="1"/>
    <col min="13334" max="13334" width="0.69140625" style="2645" customWidth="1"/>
    <col min="13335" max="13335" width="9.07421875" style="2645" customWidth="1"/>
    <col min="13336" max="13336" width="1.07421875" style="2645" customWidth="1"/>
    <col min="13337" max="13337" width="0.69140625" style="2645" customWidth="1"/>
    <col min="13338" max="13338" width="9.53515625" style="2645" bestFit="1" customWidth="1"/>
    <col min="13339" max="13340" width="0.69140625" style="2645" customWidth="1"/>
    <col min="13341" max="13341" width="9.69140625" style="2645" customWidth="1"/>
    <col min="13342" max="13342" width="1.07421875" style="2645" customWidth="1"/>
    <col min="13343" max="13343" width="8.53515625" style="2645" customWidth="1"/>
    <col min="13344" max="13344" width="14.53515625" style="2645" customWidth="1"/>
    <col min="13345" max="13345" width="10" style="2645" customWidth="1"/>
    <col min="13346" max="13346" width="7.69140625" style="2645" bestFit="1" customWidth="1"/>
    <col min="13347" max="13347" width="9.69140625" style="2645" customWidth="1"/>
    <col min="13348" max="13564" width="8.69140625" style="2645"/>
    <col min="13565" max="13565" width="38.4609375" style="2645" customWidth="1"/>
    <col min="13566" max="13566" width="8.53515625" style="2645" customWidth="1"/>
    <col min="13567" max="13567" width="1.07421875" style="2645" customWidth="1"/>
    <col min="13568" max="13568" width="8.69140625" style="2645" customWidth="1"/>
    <col min="13569" max="13569" width="1.07421875" style="2645" customWidth="1"/>
    <col min="13570" max="13570" width="9.07421875" style="2645" customWidth="1"/>
    <col min="13571" max="13571" width="1.07421875" style="2645" customWidth="1"/>
    <col min="13572" max="13572" width="10" style="2645" customWidth="1"/>
    <col min="13573" max="13573" width="1.07421875" style="2645" customWidth="1"/>
    <col min="13574" max="13574" width="9.07421875" style="2645" customWidth="1"/>
    <col min="13575" max="13575" width="1.07421875" style="2645" customWidth="1"/>
    <col min="13576" max="13576" width="11.07421875" style="2645" customWidth="1"/>
    <col min="13577" max="13577" width="1.07421875" style="2645" customWidth="1"/>
    <col min="13578" max="13578" width="9.07421875" style="2645" customWidth="1"/>
    <col min="13579" max="13579" width="1.69140625" style="2645" customWidth="1"/>
    <col min="13580" max="13580" width="11" style="2645" customWidth="1"/>
    <col min="13581" max="13581" width="1.07421875" style="2645" customWidth="1"/>
    <col min="13582" max="13582" width="10.69140625" style="2645" customWidth="1"/>
    <col min="13583" max="13583" width="1.07421875" style="2645" customWidth="1"/>
    <col min="13584" max="13584" width="10" style="2645" customWidth="1"/>
    <col min="13585" max="13585" width="1.07421875" style="2645" customWidth="1"/>
    <col min="13586" max="13586" width="9.07421875" style="2645" customWidth="1"/>
    <col min="13587" max="13587" width="1.07421875" style="2645" customWidth="1"/>
    <col min="13588" max="13588" width="7.69140625" style="2645" customWidth="1"/>
    <col min="13589" max="13589" width="1.07421875" style="2645" customWidth="1"/>
    <col min="13590" max="13590" width="0.69140625" style="2645" customWidth="1"/>
    <col min="13591" max="13591" width="9.07421875" style="2645" customWidth="1"/>
    <col min="13592" max="13592" width="1.07421875" style="2645" customWidth="1"/>
    <col min="13593" max="13593" width="0.69140625" style="2645" customWidth="1"/>
    <col min="13594" max="13594" width="9.53515625" style="2645" bestFit="1" customWidth="1"/>
    <col min="13595" max="13596" width="0.69140625" style="2645" customWidth="1"/>
    <col min="13597" max="13597" width="9.69140625" style="2645" customWidth="1"/>
    <col min="13598" max="13598" width="1.07421875" style="2645" customWidth="1"/>
    <col min="13599" max="13599" width="8.53515625" style="2645" customWidth="1"/>
    <col min="13600" max="13600" width="14.53515625" style="2645" customWidth="1"/>
    <col min="13601" max="13601" width="10" style="2645" customWidth="1"/>
    <col min="13602" max="13602" width="7.69140625" style="2645" bestFit="1" customWidth="1"/>
    <col min="13603" max="13603" width="9.69140625" style="2645" customWidth="1"/>
    <col min="13604" max="13820" width="8.69140625" style="2645"/>
    <col min="13821" max="13821" width="38.4609375" style="2645" customWidth="1"/>
    <col min="13822" max="13822" width="8.53515625" style="2645" customWidth="1"/>
    <col min="13823" max="13823" width="1.07421875" style="2645" customWidth="1"/>
    <col min="13824" max="13824" width="8.69140625" style="2645" customWidth="1"/>
    <col min="13825" max="13825" width="1.07421875" style="2645" customWidth="1"/>
    <col min="13826" max="13826" width="9.07421875" style="2645" customWidth="1"/>
    <col min="13827" max="13827" width="1.07421875" style="2645" customWidth="1"/>
    <col min="13828" max="13828" width="10" style="2645" customWidth="1"/>
    <col min="13829" max="13829" width="1.07421875" style="2645" customWidth="1"/>
    <col min="13830" max="13830" width="9.07421875" style="2645" customWidth="1"/>
    <col min="13831" max="13831" width="1.07421875" style="2645" customWidth="1"/>
    <col min="13832" max="13832" width="11.07421875" style="2645" customWidth="1"/>
    <col min="13833" max="13833" width="1.07421875" style="2645" customWidth="1"/>
    <col min="13834" max="13834" width="9.07421875" style="2645" customWidth="1"/>
    <col min="13835" max="13835" width="1.69140625" style="2645" customWidth="1"/>
    <col min="13836" max="13836" width="11" style="2645" customWidth="1"/>
    <col min="13837" max="13837" width="1.07421875" style="2645" customWidth="1"/>
    <col min="13838" max="13838" width="10.69140625" style="2645" customWidth="1"/>
    <col min="13839" max="13839" width="1.07421875" style="2645" customWidth="1"/>
    <col min="13840" max="13840" width="10" style="2645" customWidth="1"/>
    <col min="13841" max="13841" width="1.07421875" style="2645" customWidth="1"/>
    <col min="13842" max="13842" width="9.07421875" style="2645" customWidth="1"/>
    <col min="13843" max="13843" width="1.07421875" style="2645" customWidth="1"/>
    <col min="13844" max="13844" width="7.69140625" style="2645" customWidth="1"/>
    <col min="13845" max="13845" width="1.07421875" style="2645" customWidth="1"/>
    <col min="13846" max="13846" width="0.69140625" style="2645" customWidth="1"/>
    <col min="13847" max="13847" width="9.07421875" style="2645" customWidth="1"/>
    <col min="13848" max="13848" width="1.07421875" style="2645" customWidth="1"/>
    <col min="13849" max="13849" width="0.69140625" style="2645" customWidth="1"/>
    <col min="13850" max="13850" width="9.53515625" style="2645" bestFit="1" customWidth="1"/>
    <col min="13851" max="13852" width="0.69140625" style="2645" customWidth="1"/>
    <col min="13853" max="13853" width="9.69140625" style="2645" customWidth="1"/>
    <col min="13854" max="13854" width="1.07421875" style="2645" customWidth="1"/>
    <col min="13855" max="13855" width="8.53515625" style="2645" customWidth="1"/>
    <col min="13856" max="13856" width="14.53515625" style="2645" customWidth="1"/>
    <col min="13857" max="13857" width="10" style="2645" customWidth="1"/>
    <col min="13858" max="13858" width="7.69140625" style="2645" bestFit="1" customWidth="1"/>
    <col min="13859" max="13859" width="9.69140625" style="2645" customWidth="1"/>
    <col min="13860" max="14076" width="8.69140625" style="2645"/>
    <col min="14077" max="14077" width="38.4609375" style="2645" customWidth="1"/>
    <col min="14078" max="14078" width="8.53515625" style="2645" customWidth="1"/>
    <col min="14079" max="14079" width="1.07421875" style="2645" customWidth="1"/>
    <col min="14080" max="14080" width="8.69140625" style="2645" customWidth="1"/>
    <col min="14081" max="14081" width="1.07421875" style="2645" customWidth="1"/>
    <col min="14082" max="14082" width="9.07421875" style="2645" customWidth="1"/>
    <col min="14083" max="14083" width="1.07421875" style="2645" customWidth="1"/>
    <col min="14084" max="14084" width="10" style="2645" customWidth="1"/>
    <col min="14085" max="14085" width="1.07421875" style="2645" customWidth="1"/>
    <col min="14086" max="14086" width="9.07421875" style="2645" customWidth="1"/>
    <col min="14087" max="14087" width="1.07421875" style="2645" customWidth="1"/>
    <col min="14088" max="14088" width="11.07421875" style="2645" customWidth="1"/>
    <col min="14089" max="14089" width="1.07421875" style="2645" customWidth="1"/>
    <col min="14090" max="14090" width="9.07421875" style="2645" customWidth="1"/>
    <col min="14091" max="14091" width="1.69140625" style="2645" customWidth="1"/>
    <col min="14092" max="14092" width="11" style="2645" customWidth="1"/>
    <col min="14093" max="14093" width="1.07421875" style="2645" customWidth="1"/>
    <col min="14094" max="14094" width="10.69140625" style="2645" customWidth="1"/>
    <col min="14095" max="14095" width="1.07421875" style="2645" customWidth="1"/>
    <col min="14096" max="14096" width="10" style="2645" customWidth="1"/>
    <col min="14097" max="14097" width="1.07421875" style="2645" customWidth="1"/>
    <col min="14098" max="14098" width="9.07421875" style="2645" customWidth="1"/>
    <col min="14099" max="14099" width="1.07421875" style="2645" customWidth="1"/>
    <col min="14100" max="14100" width="7.69140625" style="2645" customWidth="1"/>
    <col min="14101" max="14101" width="1.07421875" style="2645" customWidth="1"/>
    <col min="14102" max="14102" width="0.69140625" style="2645" customWidth="1"/>
    <col min="14103" max="14103" width="9.07421875" style="2645" customWidth="1"/>
    <col min="14104" max="14104" width="1.07421875" style="2645" customWidth="1"/>
    <col min="14105" max="14105" width="0.69140625" style="2645" customWidth="1"/>
    <col min="14106" max="14106" width="9.53515625" style="2645" bestFit="1" customWidth="1"/>
    <col min="14107" max="14108" width="0.69140625" style="2645" customWidth="1"/>
    <col min="14109" max="14109" width="9.69140625" style="2645" customWidth="1"/>
    <col min="14110" max="14110" width="1.07421875" style="2645" customWidth="1"/>
    <col min="14111" max="14111" width="8.53515625" style="2645" customWidth="1"/>
    <col min="14112" max="14112" width="14.53515625" style="2645" customWidth="1"/>
    <col min="14113" max="14113" width="10" style="2645" customWidth="1"/>
    <col min="14114" max="14114" width="7.69140625" style="2645" bestFit="1" customWidth="1"/>
    <col min="14115" max="14115" width="9.69140625" style="2645" customWidth="1"/>
    <col min="14116" max="14332" width="8.69140625" style="2645"/>
    <col min="14333" max="14333" width="38.4609375" style="2645" customWidth="1"/>
    <col min="14334" max="14334" width="8.53515625" style="2645" customWidth="1"/>
    <col min="14335" max="14335" width="1.07421875" style="2645" customWidth="1"/>
    <col min="14336" max="14336" width="8.69140625" style="2645" customWidth="1"/>
    <col min="14337" max="14337" width="1.07421875" style="2645" customWidth="1"/>
    <col min="14338" max="14338" width="9.07421875" style="2645" customWidth="1"/>
    <col min="14339" max="14339" width="1.07421875" style="2645" customWidth="1"/>
    <col min="14340" max="14340" width="10" style="2645" customWidth="1"/>
    <col min="14341" max="14341" width="1.07421875" style="2645" customWidth="1"/>
    <col min="14342" max="14342" width="9.07421875" style="2645" customWidth="1"/>
    <col min="14343" max="14343" width="1.07421875" style="2645" customWidth="1"/>
    <col min="14344" max="14344" width="11.07421875" style="2645" customWidth="1"/>
    <col min="14345" max="14345" width="1.07421875" style="2645" customWidth="1"/>
    <col min="14346" max="14346" width="9.07421875" style="2645" customWidth="1"/>
    <col min="14347" max="14347" width="1.69140625" style="2645" customWidth="1"/>
    <col min="14348" max="14348" width="11" style="2645" customWidth="1"/>
    <col min="14349" max="14349" width="1.07421875" style="2645" customWidth="1"/>
    <col min="14350" max="14350" width="10.69140625" style="2645" customWidth="1"/>
    <col min="14351" max="14351" width="1.07421875" style="2645" customWidth="1"/>
    <col min="14352" max="14352" width="10" style="2645" customWidth="1"/>
    <col min="14353" max="14353" width="1.07421875" style="2645" customWidth="1"/>
    <col min="14354" max="14354" width="9.07421875" style="2645" customWidth="1"/>
    <col min="14355" max="14355" width="1.07421875" style="2645" customWidth="1"/>
    <col min="14356" max="14356" width="7.69140625" style="2645" customWidth="1"/>
    <col min="14357" max="14357" width="1.07421875" style="2645" customWidth="1"/>
    <col min="14358" max="14358" width="0.69140625" style="2645" customWidth="1"/>
    <col min="14359" max="14359" width="9.07421875" style="2645" customWidth="1"/>
    <col min="14360" max="14360" width="1.07421875" style="2645" customWidth="1"/>
    <col min="14361" max="14361" width="0.69140625" style="2645" customWidth="1"/>
    <col min="14362" max="14362" width="9.53515625" style="2645" bestFit="1" customWidth="1"/>
    <col min="14363" max="14364" width="0.69140625" style="2645" customWidth="1"/>
    <col min="14365" max="14365" width="9.69140625" style="2645" customWidth="1"/>
    <col min="14366" max="14366" width="1.07421875" style="2645" customWidth="1"/>
    <col min="14367" max="14367" width="8.53515625" style="2645" customWidth="1"/>
    <col min="14368" max="14368" width="14.53515625" style="2645" customWidth="1"/>
    <col min="14369" max="14369" width="10" style="2645" customWidth="1"/>
    <col min="14370" max="14370" width="7.69140625" style="2645" bestFit="1" customWidth="1"/>
    <col min="14371" max="14371" width="9.69140625" style="2645" customWidth="1"/>
    <col min="14372" max="14588" width="8.69140625" style="2645"/>
    <col min="14589" max="14589" width="38.4609375" style="2645" customWidth="1"/>
    <col min="14590" max="14590" width="8.53515625" style="2645" customWidth="1"/>
    <col min="14591" max="14591" width="1.07421875" style="2645" customWidth="1"/>
    <col min="14592" max="14592" width="8.69140625" style="2645" customWidth="1"/>
    <col min="14593" max="14593" width="1.07421875" style="2645" customWidth="1"/>
    <col min="14594" max="14594" width="9.07421875" style="2645" customWidth="1"/>
    <col min="14595" max="14595" width="1.07421875" style="2645" customWidth="1"/>
    <col min="14596" max="14596" width="10" style="2645" customWidth="1"/>
    <col min="14597" max="14597" width="1.07421875" style="2645" customWidth="1"/>
    <col min="14598" max="14598" width="9.07421875" style="2645" customWidth="1"/>
    <col min="14599" max="14599" width="1.07421875" style="2645" customWidth="1"/>
    <col min="14600" max="14600" width="11.07421875" style="2645" customWidth="1"/>
    <col min="14601" max="14601" width="1.07421875" style="2645" customWidth="1"/>
    <col min="14602" max="14602" width="9.07421875" style="2645" customWidth="1"/>
    <col min="14603" max="14603" width="1.69140625" style="2645" customWidth="1"/>
    <col min="14604" max="14604" width="11" style="2645" customWidth="1"/>
    <col min="14605" max="14605" width="1.07421875" style="2645" customWidth="1"/>
    <col min="14606" max="14606" width="10.69140625" style="2645" customWidth="1"/>
    <col min="14607" max="14607" width="1.07421875" style="2645" customWidth="1"/>
    <col min="14608" max="14608" width="10" style="2645" customWidth="1"/>
    <col min="14609" max="14609" width="1.07421875" style="2645" customWidth="1"/>
    <col min="14610" max="14610" width="9.07421875" style="2645" customWidth="1"/>
    <col min="14611" max="14611" width="1.07421875" style="2645" customWidth="1"/>
    <col min="14612" max="14612" width="7.69140625" style="2645" customWidth="1"/>
    <col min="14613" max="14613" width="1.07421875" style="2645" customWidth="1"/>
    <col min="14614" max="14614" width="0.69140625" style="2645" customWidth="1"/>
    <col min="14615" max="14615" width="9.07421875" style="2645" customWidth="1"/>
    <col min="14616" max="14616" width="1.07421875" style="2645" customWidth="1"/>
    <col min="14617" max="14617" width="0.69140625" style="2645" customWidth="1"/>
    <col min="14618" max="14618" width="9.53515625" style="2645" bestFit="1" customWidth="1"/>
    <col min="14619" max="14620" width="0.69140625" style="2645" customWidth="1"/>
    <col min="14621" max="14621" width="9.69140625" style="2645" customWidth="1"/>
    <col min="14622" max="14622" width="1.07421875" style="2645" customWidth="1"/>
    <col min="14623" max="14623" width="8.53515625" style="2645" customWidth="1"/>
    <col min="14624" max="14624" width="14.53515625" style="2645" customWidth="1"/>
    <col min="14625" max="14625" width="10" style="2645" customWidth="1"/>
    <col min="14626" max="14626" width="7.69140625" style="2645" bestFit="1" customWidth="1"/>
    <col min="14627" max="14627" width="9.69140625" style="2645" customWidth="1"/>
    <col min="14628" max="14844" width="8.69140625" style="2645"/>
    <col min="14845" max="14845" width="38.4609375" style="2645" customWidth="1"/>
    <col min="14846" max="14846" width="8.53515625" style="2645" customWidth="1"/>
    <col min="14847" max="14847" width="1.07421875" style="2645" customWidth="1"/>
    <col min="14848" max="14848" width="8.69140625" style="2645" customWidth="1"/>
    <col min="14849" max="14849" width="1.07421875" style="2645" customWidth="1"/>
    <col min="14850" max="14850" width="9.07421875" style="2645" customWidth="1"/>
    <col min="14851" max="14851" width="1.07421875" style="2645" customWidth="1"/>
    <col min="14852" max="14852" width="10" style="2645" customWidth="1"/>
    <col min="14853" max="14853" width="1.07421875" style="2645" customWidth="1"/>
    <col min="14854" max="14854" width="9.07421875" style="2645" customWidth="1"/>
    <col min="14855" max="14855" width="1.07421875" style="2645" customWidth="1"/>
    <col min="14856" max="14856" width="11.07421875" style="2645" customWidth="1"/>
    <col min="14857" max="14857" width="1.07421875" style="2645" customWidth="1"/>
    <col min="14858" max="14858" width="9.07421875" style="2645" customWidth="1"/>
    <col min="14859" max="14859" width="1.69140625" style="2645" customWidth="1"/>
    <col min="14860" max="14860" width="11" style="2645" customWidth="1"/>
    <col min="14861" max="14861" width="1.07421875" style="2645" customWidth="1"/>
    <col min="14862" max="14862" width="10.69140625" style="2645" customWidth="1"/>
    <col min="14863" max="14863" width="1.07421875" style="2645" customWidth="1"/>
    <col min="14864" max="14864" width="10" style="2645" customWidth="1"/>
    <col min="14865" max="14865" width="1.07421875" style="2645" customWidth="1"/>
    <col min="14866" max="14866" width="9.07421875" style="2645" customWidth="1"/>
    <col min="14867" max="14867" width="1.07421875" style="2645" customWidth="1"/>
    <col min="14868" max="14868" width="7.69140625" style="2645" customWidth="1"/>
    <col min="14869" max="14869" width="1.07421875" style="2645" customWidth="1"/>
    <col min="14870" max="14870" width="0.69140625" style="2645" customWidth="1"/>
    <col min="14871" max="14871" width="9.07421875" style="2645" customWidth="1"/>
    <col min="14872" max="14872" width="1.07421875" style="2645" customWidth="1"/>
    <col min="14873" max="14873" width="0.69140625" style="2645" customWidth="1"/>
    <col min="14874" max="14874" width="9.53515625" style="2645" bestFit="1" customWidth="1"/>
    <col min="14875" max="14876" width="0.69140625" style="2645" customWidth="1"/>
    <col min="14877" max="14877" width="9.69140625" style="2645" customWidth="1"/>
    <col min="14878" max="14878" width="1.07421875" style="2645" customWidth="1"/>
    <col min="14879" max="14879" width="8.53515625" style="2645" customWidth="1"/>
    <col min="14880" max="14880" width="14.53515625" style="2645" customWidth="1"/>
    <col min="14881" max="14881" width="10" style="2645" customWidth="1"/>
    <col min="14882" max="14882" width="7.69140625" style="2645" bestFit="1" customWidth="1"/>
    <col min="14883" max="14883" width="9.69140625" style="2645" customWidth="1"/>
    <col min="14884" max="15100" width="8.69140625" style="2645"/>
    <col min="15101" max="15101" width="38.4609375" style="2645" customWidth="1"/>
    <col min="15102" max="15102" width="8.53515625" style="2645" customWidth="1"/>
    <col min="15103" max="15103" width="1.07421875" style="2645" customWidth="1"/>
    <col min="15104" max="15104" width="8.69140625" style="2645" customWidth="1"/>
    <col min="15105" max="15105" width="1.07421875" style="2645" customWidth="1"/>
    <col min="15106" max="15106" width="9.07421875" style="2645" customWidth="1"/>
    <col min="15107" max="15107" width="1.07421875" style="2645" customWidth="1"/>
    <col min="15108" max="15108" width="10" style="2645" customWidth="1"/>
    <col min="15109" max="15109" width="1.07421875" style="2645" customWidth="1"/>
    <col min="15110" max="15110" width="9.07421875" style="2645" customWidth="1"/>
    <col min="15111" max="15111" width="1.07421875" style="2645" customWidth="1"/>
    <col min="15112" max="15112" width="11.07421875" style="2645" customWidth="1"/>
    <col min="15113" max="15113" width="1.07421875" style="2645" customWidth="1"/>
    <col min="15114" max="15114" width="9.07421875" style="2645" customWidth="1"/>
    <col min="15115" max="15115" width="1.69140625" style="2645" customWidth="1"/>
    <col min="15116" max="15116" width="11" style="2645" customWidth="1"/>
    <col min="15117" max="15117" width="1.07421875" style="2645" customWidth="1"/>
    <col min="15118" max="15118" width="10.69140625" style="2645" customWidth="1"/>
    <col min="15119" max="15119" width="1.07421875" style="2645" customWidth="1"/>
    <col min="15120" max="15120" width="10" style="2645" customWidth="1"/>
    <col min="15121" max="15121" width="1.07421875" style="2645" customWidth="1"/>
    <col min="15122" max="15122" width="9.07421875" style="2645" customWidth="1"/>
    <col min="15123" max="15123" width="1.07421875" style="2645" customWidth="1"/>
    <col min="15124" max="15124" width="7.69140625" style="2645" customWidth="1"/>
    <col min="15125" max="15125" width="1.07421875" style="2645" customWidth="1"/>
    <col min="15126" max="15126" width="0.69140625" style="2645" customWidth="1"/>
    <col min="15127" max="15127" width="9.07421875" style="2645" customWidth="1"/>
    <col min="15128" max="15128" width="1.07421875" style="2645" customWidth="1"/>
    <col min="15129" max="15129" width="0.69140625" style="2645" customWidth="1"/>
    <col min="15130" max="15130" width="9.53515625" style="2645" bestFit="1" customWidth="1"/>
    <col min="15131" max="15132" width="0.69140625" style="2645" customWidth="1"/>
    <col min="15133" max="15133" width="9.69140625" style="2645" customWidth="1"/>
    <col min="15134" max="15134" width="1.07421875" style="2645" customWidth="1"/>
    <col min="15135" max="15135" width="8.53515625" style="2645" customWidth="1"/>
    <col min="15136" max="15136" width="14.53515625" style="2645" customWidth="1"/>
    <col min="15137" max="15137" width="10" style="2645" customWidth="1"/>
    <col min="15138" max="15138" width="7.69140625" style="2645" bestFit="1" customWidth="1"/>
    <col min="15139" max="15139" width="9.69140625" style="2645" customWidth="1"/>
    <col min="15140" max="15356" width="8.69140625" style="2645"/>
    <col min="15357" max="15357" width="38.4609375" style="2645" customWidth="1"/>
    <col min="15358" max="15358" width="8.53515625" style="2645" customWidth="1"/>
    <col min="15359" max="15359" width="1.07421875" style="2645" customWidth="1"/>
    <col min="15360" max="15360" width="8.69140625" style="2645" customWidth="1"/>
    <col min="15361" max="15361" width="1.07421875" style="2645" customWidth="1"/>
    <col min="15362" max="15362" width="9.07421875" style="2645" customWidth="1"/>
    <col min="15363" max="15363" width="1.07421875" style="2645" customWidth="1"/>
    <col min="15364" max="15364" width="10" style="2645" customWidth="1"/>
    <col min="15365" max="15365" width="1.07421875" style="2645" customWidth="1"/>
    <col min="15366" max="15366" width="9.07421875" style="2645" customWidth="1"/>
    <col min="15367" max="15367" width="1.07421875" style="2645" customWidth="1"/>
    <col min="15368" max="15368" width="11.07421875" style="2645" customWidth="1"/>
    <col min="15369" max="15369" width="1.07421875" style="2645" customWidth="1"/>
    <col min="15370" max="15370" width="9.07421875" style="2645" customWidth="1"/>
    <col min="15371" max="15371" width="1.69140625" style="2645" customWidth="1"/>
    <col min="15372" max="15372" width="11" style="2645" customWidth="1"/>
    <col min="15373" max="15373" width="1.07421875" style="2645" customWidth="1"/>
    <col min="15374" max="15374" width="10.69140625" style="2645" customWidth="1"/>
    <col min="15375" max="15375" width="1.07421875" style="2645" customWidth="1"/>
    <col min="15376" max="15376" width="10" style="2645" customWidth="1"/>
    <col min="15377" max="15377" width="1.07421875" style="2645" customWidth="1"/>
    <col min="15378" max="15378" width="9.07421875" style="2645" customWidth="1"/>
    <col min="15379" max="15379" width="1.07421875" style="2645" customWidth="1"/>
    <col min="15380" max="15380" width="7.69140625" style="2645" customWidth="1"/>
    <col min="15381" max="15381" width="1.07421875" style="2645" customWidth="1"/>
    <col min="15382" max="15382" width="0.69140625" style="2645" customWidth="1"/>
    <col min="15383" max="15383" width="9.07421875" style="2645" customWidth="1"/>
    <col min="15384" max="15384" width="1.07421875" style="2645" customWidth="1"/>
    <col min="15385" max="15385" width="0.69140625" style="2645" customWidth="1"/>
    <col min="15386" max="15386" width="9.53515625" style="2645" bestFit="1" customWidth="1"/>
    <col min="15387" max="15388" width="0.69140625" style="2645" customWidth="1"/>
    <col min="15389" max="15389" width="9.69140625" style="2645" customWidth="1"/>
    <col min="15390" max="15390" width="1.07421875" style="2645" customWidth="1"/>
    <col min="15391" max="15391" width="8.53515625" style="2645" customWidth="1"/>
    <col min="15392" max="15392" width="14.53515625" style="2645" customWidth="1"/>
    <col min="15393" max="15393" width="10" style="2645" customWidth="1"/>
    <col min="15394" max="15394" width="7.69140625" style="2645" bestFit="1" customWidth="1"/>
    <col min="15395" max="15395" width="9.69140625" style="2645" customWidth="1"/>
    <col min="15396" max="15612" width="8.69140625" style="2645"/>
    <col min="15613" max="15613" width="38.4609375" style="2645" customWidth="1"/>
    <col min="15614" max="15614" width="8.53515625" style="2645" customWidth="1"/>
    <col min="15615" max="15615" width="1.07421875" style="2645" customWidth="1"/>
    <col min="15616" max="15616" width="8.69140625" style="2645" customWidth="1"/>
    <col min="15617" max="15617" width="1.07421875" style="2645" customWidth="1"/>
    <col min="15618" max="15618" width="9.07421875" style="2645" customWidth="1"/>
    <col min="15619" max="15619" width="1.07421875" style="2645" customWidth="1"/>
    <col min="15620" max="15620" width="10" style="2645" customWidth="1"/>
    <col min="15621" max="15621" width="1.07421875" style="2645" customWidth="1"/>
    <col min="15622" max="15622" width="9.07421875" style="2645" customWidth="1"/>
    <col min="15623" max="15623" width="1.07421875" style="2645" customWidth="1"/>
    <col min="15624" max="15624" width="11.07421875" style="2645" customWidth="1"/>
    <col min="15625" max="15625" width="1.07421875" style="2645" customWidth="1"/>
    <col min="15626" max="15626" width="9.07421875" style="2645" customWidth="1"/>
    <col min="15627" max="15627" width="1.69140625" style="2645" customWidth="1"/>
    <col min="15628" max="15628" width="11" style="2645" customWidth="1"/>
    <col min="15629" max="15629" width="1.07421875" style="2645" customWidth="1"/>
    <col min="15630" max="15630" width="10.69140625" style="2645" customWidth="1"/>
    <col min="15631" max="15631" width="1.07421875" style="2645" customWidth="1"/>
    <col min="15632" max="15632" width="10" style="2645" customWidth="1"/>
    <col min="15633" max="15633" width="1.07421875" style="2645" customWidth="1"/>
    <col min="15634" max="15634" width="9.07421875" style="2645" customWidth="1"/>
    <col min="15635" max="15635" width="1.07421875" style="2645" customWidth="1"/>
    <col min="15636" max="15636" width="7.69140625" style="2645" customWidth="1"/>
    <col min="15637" max="15637" width="1.07421875" style="2645" customWidth="1"/>
    <col min="15638" max="15638" width="0.69140625" style="2645" customWidth="1"/>
    <col min="15639" max="15639" width="9.07421875" style="2645" customWidth="1"/>
    <col min="15640" max="15640" width="1.07421875" style="2645" customWidth="1"/>
    <col min="15641" max="15641" width="0.69140625" style="2645" customWidth="1"/>
    <col min="15642" max="15642" width="9.53515625" style="2645" bestFit="1" customWidth="1"/>
    <col min="15643" max="15644" width="0.69140625" style="2645" customWidth="1"/>
    <col min="15645" max="15645" width="9.69140625" style="2645" customWidth="1"/>
    <col min="15646" max="15646" width="1.07421875" style="2645" customWidth="1"/>
    <col min="15647" max="15647" width="8.53515625" style="2645" customWidth="1"/>
    <col min="15648" max="15648" width="14.53515625" style="2645" customWidth="1"/>
    <col min="15649" max="15649" width="10" style="2645" customWidth="1"/>
    <col min="15650" max="15650" width="7.69140625" style="2645" bestFit="1" customWidth="1"/>
    <col min="15651" max="15651" width="9.69140625" style="2645" customWidth="1"/>
    <col min="15652" max="15868" width="8.69140625" style="2645"/>
    <col min="15869" max="15869" width="38.4609375" style="2645" customWidth="1"/>
    <col min="15870" max="15870" width="8.53515625" style="2645" customWidth="1"/>
    <col min="15871" max="15871" width="1.07421875" style="2645" customWidth="1"/>
    <col min="15872" max="15872" width="8.69140625" style="2645" customWidth="1"/>
    <col min="15873" max="15873" width="1.07421875" style="2645" customWidth="1"/>
    <col min="15874" max="15874" width="9.07421875" style="2645" customWidth="1"/>
    <col min="15875" max="15875" width="1.07421875" style="2645" customWidth="1"/>
    <col min="15876" max="15876" width="10" style="2645" customWidth="1"/>
    <col min="15877" max="15877" width="1.07421875" style="2645" customWidth="1"/>
    <col min="15878" max="15878" width="9.07421875" style="2645" customWidth="1"/>
    <col min="15879" max="15879" width="1.07421875" style="2645" customWidth="1"/>
    <col min="15880" max="15880" width="11.07421875" style="2645" customWidth="1"/>
    <col min="15881" max="15881" width="1.07421875" style="2645" customWidth="1"/>
    <col min="15882" max="15882" width="9.07421875" style="2645" customWidth="1"/>
    <col min="15883" max="15883" width="1.69140625" style="2645" customWidth="1"/>
    <col min="15884" max="15884" width="11" style="2645" customWidth="1"/>
    <col min="15885" max="15885" width="1.07421875" style="2645" customWidth="1"/>
    <col min="15886" max="15886" width="10.69140625" style="2645" customWidth="1"/>
    <col min="15887" max="15887" width="1.07421875" style="2645" customWidth="1"/>
    <col min="15888" max="15888" width="10" style="2645" customWidth="1"/>
    <col min="15889" max="15889" width="1.07421875" style="2645" customWidth="1"/>
    <col min="15890" max="15890" width="9.07421875" style="2645" customWidth="1"/>
    <col min="15891" max="15891" width="1.07421875" style="2645" customWidth="1"/>
    <col min="15892" max="15892" width="7.69140625" style="2645" customWidth="1"/>
    <col min="15893" max="15893" width="1.07421875" style="2645" customWidth="1"/>
    <col min="15894" max="15894" width="0.69140625" style="2645" customWidth="1"/>
    <col min="15895" max="15895" width="9.07421875" style="2645" customWidth="1"/>
    <col min="15896" max="15896" width="1.07421875" style="2645" customWidth="1"/>
    <col min="15897" max="15897" width="0.69140625" style="2645" customWidth="1"/>
    <col min="15898" max="15898" width="9.53515625" style="2645" bestFit="1" customWidth="1"/>
    <col min="15899" max="15900" width="0.69140625" style="2645" customWidth="1"/>
    <col min="15901" max="15901" width="9.69140625" style="2645" customWidth="1"/>
    <col min="15902" max="15902" width="1.07421875" style="2645" customWidth="1"/>
    <col min="15903" max="15903" width="8.53515625" style="2645" customWidth="1"/>
    <col min="15904" max="15904" width="14.53515625" style="2645" customWidth="1"/>
    <col min="15905" max="15905" width="10" style="2645" customWidth="1"/>
    <col min="15906" max="15906" width="7.69140625" style="2645" bestFit="1" customWidth="1"/>
    <col min="15907" max="15907" width="9.69140625" style="2645" customWidth="1"/>
    <col min="15908" max="16124" width="8.69140625" style="2645"/>
    <col min="16125" max="16125" width="38.4609375" style="2645" customWidth="1"/>
    <col min="16126" max="16126" width="8.53515625" style="2645" customWidth="1"/>
    <col min="16127" max="16127" width="1.07421875" style="2645" customWidth="1"/>
    <col min="16128" max="16128" width="8.69140625" style="2645" customWidth="1"/>
    <col min="16129" max="16129" width="1.07421875" style="2645" customWidth="1"/>
    <col min="16130" max="16130" width="9.07421875" style="2645" customWidth="1"/>
    <col min="16131" max="16131" width="1.07421875" style="2645" customWidth="1"/>
    <col min="16132" max="16132" width="10" style="2645" customWidth="1"/>
    <col min="16133" max="16133" width="1.07421875" style="2645" customWidth="1"/>
    <col min="16134" max="16134" width="9.07421875" style="2645" customWidth="1"/>
    <col min="16135" max="16135" width="1.07421875" style="2645" customWidth="1"/>
    <col min="16136" max="16136" width="11.07421875" style="2645" customWidth="1"/>
    <col min="16137" max="16137" width="1.07421875" style="2645" customWidth="1"/>
    <col min="16138" max="16138" width="9.07421875" style="2645" customWidth="1"/>
    <col min="16139" max="16139" width="1.69140625" style="2645" customWidth="1"/>
    <col min="16140" max="16140" width="11" style="2645" customWidth="1"/>
    <col min="16141" max="16141" width="1.07421875" style="2645" customWidth="1"/>
    <col min="16142" max="16142" width="10.69140625" style="2645" customWidth="1"/>
    <col min="16143" max="16143" width="1.07421875" style="2645" customWidth="1"/>
    <col min="16144" max="16144" width="10" style="2645" customWidth="1"/>
    <col min="16145" max="16145" width="1.07421875" style="2645" customWidth="1"/>
    <col min="16146" max="16146" width="9.07421875" style="2645" customWidth="1"/>
    <col min="16147" max="16147" width="1.07421875" style="2645" customWidth="1"/>
    <col min="16148" max="16148" width="7.69140625" style="2645" customWidth="1"/>
    <col min="16149" max="16149" width="1.07421875" style="2645" customWidth="1"/>
    <col min="16150" max="16150" width="0.69140625" style="2645" customWidth="1"/>
    <col min="16151" max="16151" width="9.07421875" style="2645" customWidth="1"/>
    <col min="16152" max="16152" width="1.07421875" style="2645" customWidth="1"/>
    <col min="16153" max="16153" width="0.69140625" style="2645" customWidth="1"/>
    <col min="16154" max="16154" width="9.53515625" style="2645" bestFit="1" customWidth="1"/>
    <col min="16155" max="16156" width="0.69140625" style="2645" customWidth="1"/>
    <col min="16157" max="16157" width="9.69140625" style="2645" customWidth="1"/>
    <col min="16158" max="16158" width="1.07421875" style="2645" customWidth="1"/>
    <col min="16159" max="16159" width="8.53515625" style="2645" customWidth="1"/>
    <col min="16160" max="16160" width="14.53515625" style="2645" customWidth="1"/>
    <col min="16161" max="16161" width="10" style="2645" customWidth="1"/>
    <col min="16162" max="16162" width="7.69140625" style="2645" bestFit="1" customWidth="1"/>
    <col min="16163" max="16163" width="9.69140625" style="2645" customWidth="1"/>
    <col min="16164" max="16384" width="8.69140625" style="2645"/>
  </cols>
  <sheetData>
    <row r="1" spans="1:36" ht="15.5">
      <c r="A1" s="2233" t="s">
        <v>963</v>
      </c>
    </row>
    <row r="2" spans="1:36" ht="10.5" customHeight="1"/>
    <row r="3" spans="1:36" ht="18">
      <c r="A3" s="2648" t="s">
        <v>0</v>
      </c>
      <c r="AI3" s="2649" t="s">
        <v>1146</v>
      </c>
    </row>
    <row r="4" spans="1:36" ht="18">
      <c r="A4" s="2650" t="s">
        <v>184</v>
      </c>
    </row>
    <row r="5" spans="1:36" ht="18">
      <c r="A5" s="2650" t="s">
        <v>148</v>
      </c>
      <c r="AB5" s="3934"/>
      <c r="AC5" s="3935"/>
      <c r="AD5" s="3935"/>
      <c r="AE5" s="2651"/>
      <c r="AF5" s="2651"/>
      <c r="AG5" s="2651"/>
      <c r="AH5" s="2651"/>
      <c r="AI5" s="2651"/>
      <c r="AJ5" s="2652"/>
    </row>
    <row r="6" spans="1:36" ht="18">
      <c r="A6" s="2648" t="str">
        <f>'Cashflow Governmental'!A6</f>
        <v xml:space="preserve">FISCAL YEAR 2020-2021   </v>
      </c>
    </row>
    <row r="7" spans="1:36" ht="18">
      <c r="A7" s="2650" t="s">
        <v>1365</v>
      </c>
    </row>
    <row r="8" spans="1:36" ht="15.5">
      <c r="AA8" s="3936" t="s">
        <v>1546</v>
      </c>
      <c r="AB8" s="3936"/>
      <c r="AC8" s="3936"/>
      <c r="AD8" s="3936"/>
      <c r="AE8" s="3936"/>
      <c r="AF8" s="3936"/>
      <c r="AG8" s="3936"/>
      <c r="AH8" s="3936"/>
      <c r="AI8" s="3936"/>
    </row>
    <row r="9" spans="1:36" ht="15.5">
      <c r="B9" s="2653" t="str">
        <f>'Cashflow Governmental'!C13</f>
        <v>2020</v>
      </c>
      <c r="C9" s="2472"/>
      <c r="D9" s="2472"/>
      <c r="E9" s="2472"/>
      <c r="F9" s="2654"/>
      <c r="G9" s="2472"/>
      <c r="H9" s="2472"/>
      <c r="I9" s="2472"/>
      <c r="J9" s="2472"/>
      <c r="K9" s="2472"/>
      <c r="L9" s="2472"/>
      <c r="M9" s="2472"/>
      <c r="N9" s="2472"/>
      <c r="O9" s="2472"/>
      <c r="P9" s="2472"/>
      <c r="Q9" s="2472"/>
      <c r="R9" s="2472"/>
      <c r="S9" s="2472"/>
      <c r="T9" s="2653" t="str">
        <f>'Cashflow Governmental'!U13</f>
        <v>2021</v>
      </c>
      <c r="U9" s="2472"/>
      <c r="V9" s="2472"/>
      <c r="W9" s="2472"/>
      <c r="X9" s="2655"/>
      <c r="Y9" s="2472"/>
      <c r="Z9" s="2472"/>
      <c r="AA9" s="2472"/>
      <c r="AB9" s="2472"/>
      <c r="AC9" s="2472"/>
      <c r="AD9" s="2472"/>
      <c r="AE9" s="2656"/>
      <c r="AF9" s="2472"/>
      <c r="AG9" s="2657" t="s">
        <v>8</v>
      </c>
      <c r="AH9" s="2658"/>
      <c r="AI9" s="2659" t="s">
        <v>9</v>
      </c>
      <c r="AJ9" s="2652"/>
    </row>
    <row r="10" spans="1:36" ht="15.5">
      <c r="B10" s="2660" t="s">
        <v>124</v>
      </c>
      <c r="C10" s="2472"/>
      <c r="D10" s="2660" t="s">
        <v>125</v>
      </c>
      <c r="E10" s="2655"/>
      <c r="F10" s="2661" t="s">
        <v>126</v>
      </c>
      <c r="G10" s="2655"/>
      <c r="H10" s="2660" t="s">
        <v>127</v>
      </c>
      <c r="I10" s="2655"/>
      <c r="J10" s="2660" t="s">
        <v>128</v>
      </c>
      <c r="K10" s="2655"/>
      <c r="L10" s="2662" t="s">
        <v>143</v>
      </c>
      <c r="M10" s="2655"/>
      <c r="N10" s="2660" t="s">
        <v>144</v>
      </c>
      <c r="O10" s="2655"/>
      <c r="P10" s="2660" t="s">
        <v>131</v>
      </c>
      <c r="Q10" s="2655"/>
      <c r="R10" s="2660" t="s">
        <v>132</v>
      </c>
      <c r="S10" s="2472"/>
      <c r="T10" s="2660" t="s">
        <v>133</v>
      </c>
      <c r="U10" s="2655"/>
      <c r="V10" s="2660" t="s">
        <v>134</v>
      </c>
      <c r="W10" s="2655"/>
      <c r="X10" s="2660" t="s">
        <v>185</v>
      </c>
      <c r="Y10" s="2655"/>
      <c r="Z10" s="2655"/>
      <c r="AA10" s="2663">
        <f>'Cashflow Governmental'!AB14</f>
        <v>2020</v>
      </c>
      <c r="AB10" s="2655"/>
      <c r="AC10" s="2655"/>
      <c r="AD10" s="2663">
        <f>'Cashflow Governmental'!AE14</f>
        <v>2019</v>
      </c>
      <c r="AE10" s="2664"/>
      <c r="AF10" s="2664"/>
      <c r="AG10" s="2665" t="s">
        <v>12</v>
      </c>
      <c r="AH10" s="2666"/>
      <c r="AI10" s="2665" t="s">
        <v>13</v>
      </c>
      <c r="AJ10" s="2652"/>
    </row>
    <row r="11" spans="1:36" ht="3" customHeight="1">
      <c r="B11" s="2667"/>
      <c r="C11" s="1457"/>
      <c r="D11" s="2667"/>
      <c r="E11" s="2668"/>
      <c r="F11" s="2669"/>
      <c r="G11" s="2668"/>
      <c r="H11" s="2667"/>
      <c r="I11" s="2668"/>
      <c r="J11" s="2667"/>
      <c r="K11" s="2668"/>
      <c r="L11" s="2670"/>
      <c r="M11" s="2668"/>
      <c r="N11" s="2667"/>
      <c r="O11" s="2668"/>
      <c r="P11" s="2667"/>
      <c r="Q11" s="2668"/>
      <c r="R11" s="2667"/>
      <c r="S11" s="1457"/>
      <c r="T11" s="2671"/>
      <c r="U11" s="2668"/>
      <c r="V11" s="2667"/>
      <c r="W11" s="2668"/>
      <c r="X11" s="2667"/>
      <c r="Y11" s="2668"/>
      <c r="Z11" s="2668"/>
      <c r="AA11" s="2672"/>
      <c r="AB11" s="2668"/>
      <c r="AC11" s="2668"/>
      <c r="AD11" s="2672"/>
      <c r="AE11" s="2672"/>
      <c r="AF11" s="2673"/>
      <c r="AG11" s="2672"/>
      <c r="AH11" s="1454"/>
      <c r="AI11" s="1457"/>
    </row>
    <row r="12" spans="1:36" ht="15.5">
      <c r="A12" s="2674" t="s">
        <v>186</v>
      </c>
      <c r="B12" s="2452">
        <v>63.4</v>
      </c>
      <c r="C12" s="2452"/>
      <c r="D12" s="2675">
        <f>B75</f>
        <v>392.9</v>
      </c>
      <c r="E12" s="2452"/>
      <c r="F12" s="2675">
        <f>D75</f>
        <v>522.1</v>
      </c>
      <c r="G12" s="2452"/>
      <c r="H12" s="2675">
        <f>F75</f>
        <v>495.2</v>
      </c>
      <c r="I12" s="2452"/>
      <c r="J12" s="2675">
        <f>H75</f>
        <v>1603</v>
      </c>
      <c r="K12" s="2452"/>
      <c r="L12" s="2675">
        <f>J75</f>
        <v>2144.5</v>
      </c>
      <c r="M12" s="2452"/>
      <c r="N12" s="2675">
        <f>L75</f>
        <v>2337.3000000000002</v>
      </c>
      <c r="O12" s="2452"/>
      <c r="P12" s="2675"/>
      <c r="Q12" s="2452"/>
      <c r="R12" s="2675"/>
      <c r="S12" s="2452"/>
      <c r="T12" s="2675"/>
      <c r="U12" s="2452"/>
      <c r="V12" s="2675"/>
      <c r="W12" s="2452"/>
      <c r="X12" s="2675"/>
      <c r="Y12" s="2676"/>
      <c r="Z12" s="2452"/>
      <c r="AA12" s="2452">
        <f>B12</f>
        <v>63.4</v>
      </c>
      <c r="AB12" s="2676"/>
      <c r="AC12" s="2452"/>
      <c r="AD12" s="3470">
        <v>64.8</v>
      </c>
      <c r="AE12" s="2677"/>
      <c r="AF12" s="2678"/>
      <c r="AG12" s="2679">
        <f>ROUND(SUM(AA12-AD12),1)</f>
        <v>-1.4</v>
      </c>
      <c r="AH12" s="2656"/>
      <c r="AI12" s="2680">
        <f>ROUND(SUM(AG12/AD12),3)</f>
        <v>-2.1999999999999999E-2</v>
      </c>
      <c r="AJ12" s="2652"/>
    </row>
    <row r="13" spans="1:36" ht="12.75" customHeight="1">
      <c r="A13" s="1457"/>
      <c r="B13" s="1457"/>
      <c r="C13" s="1457"/>
      <c r="D13" s="1457"/>
      <c r="E13" s="1457"/>
      <c r="F13" s="1979"/>
      <c r="G13" s="1457"/>
      <c r="H13" s="1457"/>
      <c r="I13" s="1457"/>
      <c r="J13" s="1457"/>
      <c r="K13" s="1457"/>
      <c r="L13" s="1457"/>
      <c r="M13" s="1457"/>
      <c r="N13" s="1457"/>
      <c r="O13" s="1457"/>
      <c r="P13" s="1457"/>
      <c r="Q13" s="1457"/>
      <c r="R13" s="1457"/>
      <c r="S13" s="1457"/>
      <c r="T13" s="1457"/>
      <c r="U13" s="1457"/>
      <c r="V13" s="1457"/>
      <c r="W13" s="1457"/>
      <c r="X13" s="1457"/>
      <c r="Y13" s="2681"/>
      <c r="Z13" s="1457"/>
      <c r="AA13" s="1979"/>
      <c r="AB13" s="2682"/>
      <c r="AC13" s="1979"/>
      <c r="AD13" s="2605"/>
      <c r="AE13" s="2672"/>
      <c r="AF13" s="2683"/>
      <c r="AG13" s="2684"/>
      <c r="AH13" s="1454"/>
      <c r="AI13" s="1457"/>
    </row>
    <row r="14" spans="1:36" ht="14.25" customHeight="1">
      <c r="A14" s="2472" t="s">
        <v>14</v>
      </c>
      <c r="B14" s="1457"/>
      <c r="C14" s="1457"/>
      <c r="D14" s="1457"/>
      <c r="E14" s="1457"/>
      <c r="F14" s="1979"/>
      <c r="G14" s="1457"/>
      <c r="H14" s="1457"/>
      <c r="I14" s="1457"/>
      <c r="J14" s="1457"/>
      <c r="K14" s="1457"/>
      <c r="L14" s="1457"/>
      <c r="M14" s="1457"/>
      <c r="N14" s="1457"/>
      <c r="O14" s="1457"/>
      <c r="P14" s="1457"/>
      <c r="Q14" s="1457"/>
      <c r="R14" s="1457"/>
      <c r="S14" s="1457"/>
      <c r="T14" s="1457"/>
      <c r="U14" s="1457"/>
      <c r="V14" s="1457"/>
      <c r="W14" s="1457"/>
      <c r="X14" s="1457"/>
      <c r="Y14" s="2681"/>
      <c r="Z14" s="1457"/>
      <c r="AA14" s="1979"/>
      <c r="AB14" s="2682"/>
      <c r="AC14" s="1979"/>
      <c r="AD14" s="2605"/>
      <c r="AE14" s="2672"/>
      <c r="AF14" s="2683"/>
      <c r="AG14" s="2684"/>
      <c r="AH14" s="1454"/>
      <c r="AI14" s="1457"/>
    </row>
    <row r="15" spans="1:36" ht="14.25" customHeight="1">
      <c r="A15" s="2461" t="s">
        <v>1078</v>
      </c>
      <c r="B15" s="1438"/>
      <c r="C15" s="1438"/>
      <c r="D15" s="1438"/>
      <c r="E15" s="2685"/>
      <c r="F15" s="1438"/>
      <c r="G15" s="2685"/>
      <c r="H15" s="1457"/>
      <c r="I15" s="1457"/>
      <c r="J15" s="1457"/>
      <c r="K15" s="1457"/>
      <c r="L15" s="1457"/>
      <c r="M15" s="1457"/>
      <c r="N15" s="1457"/>
      <c r="O15" s="1457"/>
      <c r="P15" s="1457"/>
      <c r="Q15" s="1457"/>
      <c r="R15" s="1457"/>
      <c r="S15" s="1457"/>
      <c r="T15" s="1457"/>
      <c r="U15" s="1457"/>
      <c r="V15" s="1457"/>
      <c r="W15" s="1457"/>
      <c r="X15" s="1457"/>
      <c r="Y15" s="2686"/>
      <c r="Z15" s="1457"/>
      <c r="AA15" s="1979"/>
      <c r="AB15" s="1978"/>
      <c r="AC15" s="1979"/>
      <c r="AD15" s="3101"/>
      <c r="AE15" s="2672"/>
      <c r="AF15" s="2683"/>
      <c r="AG15" s="2684"/>
      <c r="AH15" s="1454"/>
      <c r="AI15" s="1457"/>
    </row>
    <row r="16" spans="1:36" ht="14.25" customHeight="1">
      <c r="A16" s="2540" t="s">
        <v>1081</v>
      </c>
      <c r="B16" s="1363">
        <v>1033.0999999999999</v>
      </c>
      <c r="C16" s="1419"/>
      <c r="D16" s="1363">
        <v>1099.5999999999999</v>
      </c>
      <c r="E16" s="1419"/>
      <c r="F16" s="1363">
        <v>2184.1999999999998</v>
      </c>
      <c r="G16" s="1363"/>
      <c r="H16" s="1363">
        <v>5115.3999999999987</v>
      </c>
      <c r="I16" s="2605"/>
      <c r="J16" s="1363">
        <v>1361.5</v>
      </c>
      <c r="K16" s="2605"/>
      <c r="L16" s="1363">
        <v>2635.7</v>
      </c>
      <c r="M16" s="2605"/>
      <c r="N16" s="1363">
        <f>$AA16-$B16-$D16-$F16-$H16-$J16-$L16</f>
        <v>1265.7999999999993</v>
      </c>
      <c r="O16" s="2605"/>
      <c r="P16" s="1788"/>
      <c r="Q16" s="2605"/>
      <c r="R16" s="1788"/>
      <c r="S16" s="2605"/>
      <c r="T16" s="1788"/>
      <c r="U16" s="2605"/>
      <c r="V16" s="1788"/>
      <c r="W16" s="2605"/>
      <c r="X16" s="1788"/>
      <c r="Y16" s="2686"/>
      <c r="Z16" s="1457"/>
      <c r="AA16" s="1788">
        <v>14695.3</v>
      </c>
      <c r="AB16" s="1978"/>
      <c r="AC16" s="1979"/>
      <c r="AD16" s="1788">
        <v>15279.9</v>
      </c>
      <c r="AE16" s="2672"/>
      <c r="AF16" s="2683"/>
      <c r="AG16" s="2687">
        <f>ROUND(SUM(AA16-AD16),1)</f>
        <v>-584.6</v>
      </c>
      <c r="AH16" s="1454"/>
      <c r="AI16" s="1649">
        <f>ROUND(IF(AD16=0,0,AG16/ABS(AD16)),3)</f>
        <v>-3.7999999999999999E-2</v>
      </c>
    </row>
    <row r="17" spans="1:35" ht="6" customHeight="1">
      <c r="A17" s="2540"/>
      <c r="B17" s="1363"/>
      <c r="C17" s="1419"/>
      <c r="D17" s="1363">
        <v>0</v>
      </c>
      <c r="E17" s="1419"/>
      <c r="F17" s="1363">
        <v>0</v>
      </c>
      <c r="G17" s="2468"/>
      <c r="H17" s="1363"/>
      <c r="I17" s="1457"/>
      <c r="J17" s="1363"/>
      <c r="K17" s="1457"/>
      <c r="L17" s="1363"/>
      <c r="M17" s="1457"/>
      <c r="N17" s="1363"/>
      <c r="O17" s="1457"/>
      <c r="P17" s="1788"/>
      <c r="Q17" s="1457"/>
      <c r="R17" s="1788"/>
      <c r="S17" s="1457"/>
      <c r="T17" s="1788"/>
      <c r="U17" s="1457"/>
      <c r="V17" s="1788"/>
      <c r="W17" s="1457"/>
      <c r="X17" s="1788"/>
      <c r="Y17" s="2688"/>
      <c r="Z17" s="1457"/>
      <c r="AA17" s="1788"/>
      <c r="AB17" s="1980"/>
      <c r="AC17" s="1979"/>
      <c r="AD17" s="1788"/>
      <c r="AE17" s="2672"/>
      <c r="AF17" s="2683"/>
      <c r="AG17" s="2687"/>
      <c r="AH17" s="1454"/>
      <c r="AI17" s="1649"/>
    </row>
    <row r="18" spans="1:35" ht="14.25" customHeight="1">
      <c r="A18" s="2540" t="s">
        <v>1140</v>
      </c>
      <c r="B18" s="1442"/>
      <c r="C18" s="1441"/>
      <c r="D18" s="1363"/>
      <c r="E18" s="1441"/>
      <c r="F18" s="1363"/>
      <c r="G18" s="1441"/>
      <c r="H18" s="1442"/>
      <c r="I18" s="1457"/>
      <c r="J18" s="1363"/>
      <c r="K18" s="1457"/>
      <c r="L18" s="1363"/>
      <c r="M18" s="1457"/>
      <c r="N18" s="1363"/>
      <c r="O18" s="1457"/>
      <c r="P18" s="1788"/>
      <c r="Q18" s="1457"/>
      <c r="R18" s="1788"/>
      <c r="S18" s="1457"/>
      <c r="T18" s="1788"/>
      <c r="U18" s="1457"/>
      <c r="V18" s="1788"/>
      <c r="W18" s="1457"/>
      <c r="X18" s="1788"/>
      <c r="Y18" s="2686"/>
      <c r="Z18" s="1457"/>
      <c r="AA18" s="1460"/>
      <c r="AB18" s="1978"/>
      <c r="AC18" s="1979"/>
      <c r="AD18" s="1460"/>
      <c r="AE18" s="2672"/>
      <c r="AF18" s="2683"/>
      <c r="AG18" s="2684"/>
      <c r="AH18" s="1454"/>
      <c r="AI18" s="1457"/>
    </row>
    <row r="19" spans="1:35" ht="14.25" customHeight="1">
      <c r="A19" s="2233" t="s">
        <v>1093</v>
      </c>
      <c r="B19" s="1363">
        <v>394.2</v>
      </c>
      <c r="C19" s="1419"/>
      <c r="D19" s="1363">
        <v>369.7</v>
      </c>
      <c r="E19" s="1419"/>
      <c r="F19" s="1363">
        <v>572</v>
      </c>
      <c r="G19" s="1441"/>
      <c r="H19" s="1363">
        <v>529.69999999999982</v>
      </c>
      <c r="I19" s="2605"/>
      <c r="J19" s="1363">
        <v>536.30000000000018</v>
      </c>
      <c r="K19" s="2605"/>
      <c r="L19" s="1363">
        <v>708.90000000000055</v>
      </c>
      <c r="M19" s="2605"/>
      <c r="N19" s="1363">
        <f t="shared" ref="N19" si="0">$AA19-$B19-$D19-$F19-$H19-$J19-$L19</f>
        <v>549.89999999999964</v>
      </c>
      <c r="O19" s="2605"/>
      <c r="P19" s="1788"/>
      <c r="Q19" s="2605"/>
      <c r="R19" s="1788"/>
      <c r="S19" s="2605"/>
      <c r="T19" s="1788"/>
      <c r="U19" s="2605"/>
      <c r="V19" s="1788"/>
      <c r="W19" s="2605"/>
      <c r="X19" s="1788"/>
      <c r="Y19" s="2686"/>
      <c r="Z19" s="1457"/>
      <c r="AA19" s="1788">
        <v>3660.7</v>
      </c>
      <c r="AB19" s="1978"/>
      <c r="AC19" s="1979"/>
      <c r="AD19" s="1788">
        <v>4333</v>
      </c>
      <c r="AE19" s="2672"/>
      <c r="AF19" s="2683"/>
      <c r="AG19" s="2687">
        <f>ROUND(SUM(AA19-AD19),1)</f>
        <v>-672.3</v>
      </c>
      <c r="AH19" s="1454"/>
      <c r="AI19" s="1424">
        <f>ROUND(IF(AD19=0,0,AG19/ABS(AD19)),3)</f>
        <v>-0.155</v>
      </c>
    </row>
    <row r="20" spans="1:35" ht="14.25" customHeight="1">
      <c r="A20" s="2472" t="s">
        <v>1092</v>
      </c>
      <c r="B20" s="1458">
        <f>ROUND(SUM(B19:B19),1)</f>
        <v>394.2</v>
      </c>
      <c r="C20" s="1459"/>
      <c r="D20" s="1458">
        <f>ROUND(SUM(D19:D19),1)</f>
        <v>369.7</v>
      </c>
      <c r="E20" s="1459"/>
      <c r="F20" s="1458">
        <f>ROUND(SUM(F19:F19),1)</f>
        <v>572</v>
      </c>
      <c r="G20" s="1459"/>
      <c r="H20" s="1458">
        <f>ROUND(SUM(H19:H19),1)</f>
        <v>529.70000000000005</v>
      </c>
      <c r="I20" s="1457"/>
      <c r="J20" s="1458">
        <f>ROUND(SUM(J19:J19),1)</f>
        <v>536.29999999999995</v>
      </c>
      <c r="K20" s="1457"/>
      <c r="L20" s="1458">
        <f>ROUND(SUM(L19:L19),1)</f>
        <v>708.9</v>
      </c>
      <c r="M20" s="1457"/>
      <c r="N20" s="1458">
        <f>ROUND(SUM(N19:N19),1)</f>
        <v>549.9</v>
      </c>
      <c r="O20" s="1457"/>
      <c r="P20" s="1458">
        <f>ROUND(SUM(P19:P19),1)</f>
        <v>0</v>
      </c>
      <c r="Q20" s="1457"/>
      <c r="R20" s="1458">
        <f>ROUND(SUM(R19:R19),1)</f>
        <v>0</v>
      </c>
      <c r="S20" s="1457"/>
      <c r="T20" s="1458">
        <f>ROUND(SUM(T19:T19),1)</f>
        <v>0</v>
      </c>
      <c r="U20" s="1457"/>
      <c r="V20" s="1458">
        <f>ROUND(SUM(V19:V19),1)</f>
        <v>0</v>
      </c>
      <c r="W20" s="1457"/>
      <c r="X20" s="1458">
        <f>ROUND(SUM(X19:X19),1)</f>
        <v>0</v>
      </c>
      <c r="Y20" s="2686"/>
      <c r="Z20" s="1457"/>
      <c r="AA20" s="1458">
        <f>ROUND(SUM(AA19:AA19),1)</f>
        <v>3660.7</v>
      </c>
      <c r="AB20" s="1978"/>
      <c r="AC20" s="1979"/>
      <c r="AD20" s="1458">
        <f>ROUND(SUM(AD19:AD19),1)</f>
        <v>4333</v>
      </c>
      <c r="AE20" s="2672"/>
      <c r="AF20" s="2683"/>
      <c r="AG20" s="2689">
        <f>ROUND(SUM(AA20-AD20),1)</f>
        <v>-672.3</v>
      </c>
      <c r="AH20" s="2656"/>
      <c r="AI20" s="1440">
        <f>ROUND(IF(AD20=0,0,AG20/ABS(AD20)),3)</f>
        <v>-0.155</v>
      </c>
    </row>
    <row r="21" spans="1:35" ht="14.25" customHeight="1">
      <c r="A21" s="2462" t="s">
        <v>1142</v>
      </c>
      <c r="B21" s="1442"/>
      <c r="C21" s="1459"/>
      <c r="D21" s="1442"/>
      <c r="E21" s="1459"/>
      <c r="F21" s="1442"/>
      <c r="G21" s="1459"/>
      <c r="H21" s="1442"/>
      <c r="I21" s="1457"/>
      <c r="J21" s="1442"/>
      <c r="K21" s="1457"/>
      <c r="L21" s="1442"/>
      <c r="M21" s="1457"/>
      <c r="N21" s="1442"/>
      <c r="O21" s="1457"/>
      <c r="P21" s="1442"/>
      <c r="Q21" s="1457"/>
      <c r="R21" s="1442"/>
      <c r="S21" s="1457"/>
      <c r="T21" s="1442"/>
      <c r="U21" s="1457"/>
      <c r="V21" s="1442"/>
      <c r="W21" s="1457"/>
      <c r="X21" s="1442"/>
      <c r="Y21" s="2686"/>
      <c r="Z21" s="1457"/>
      <c r="AA21" s="1460"/>
      <c r="AB21" s="1978"/>
      <c r="AC21" s="1979"/>
      <c r="AD21" s="1460"/>
      <c r="AE21" s="2672"/>
      <c r="AF21" s="2683"/>
      <c r="AG21" s="2684"/>
      <c r="AH21" s="1454"/>
      <c r="AI21" s="1457"/>
    </row>
    <row r="22" spans="1:35" ht="14.25" customHeight="1">
      <c r="A22" s="2233" t="s">
        <v>1110</v>
      </c>
      <c r="B22" s="1363">
        <v>57.2</v>
      </c>
      <c r="C22" s="1419"/>
      <c r="D22" s="1363">
        <v>48.399999999999991</v>
      </c>
      <c r="E22" s="1419"/>
      <c r="F22" s="1363">
        <v>37.900000000000006</v>
      </c>
      <c r="G22" s="1459"/>
      <c r="H22" s="1788">
        <v>53.000000000000014</v>
      </c>
      <c r="I22" s="2605"/>
      <c r="J22" s="1363">
        <v>56.399999999999991</v>
      </c>
      <c r="K22" s="2605"/>
      <c r="L22" s="1363">
        <v>70.300000000000011</v>
      </c>
      <c r="M22" s="2605"/>
      <c r="N22" s="1788">
        <f>$AA22-$B22-$D22-$F22-$H22-$J22-$L22</f>
        <v>65.800000000000011</v>
      </c>
      <c r="O22" s="2605"/>
      <c r="P22" s="1788"/>
      <c r="Q22" s="2605"/>
      <c r="R22" s="1788"/>
      <c r="S22" s="2605"/>
      <c r="T22" s="1788"/>
      <c r="U22" s="2605"/>
      <c r="V22" s="1788"/>
      <c r="W22" s="2605"/>
      <c r="X22" s="1788"/>
      <c r="Y22" s="2686"/>
      <c r="Z22" s="1457"/>
      <c r="AA22" s="1788">
        <v>389</v>
      </c>
      <c r="AB22" s="1978"/>
      <c r="AC22" s="1979"/>
      <c r="AD22" s="1788">
        <v>611.79999999999995</v>
      </c>
      <c r="AE22" s="2672"/>
      <c r="AF22" s="2683"/>
      <c r="AG22" s="2687">
        <f>ROUND(SUM(AA22-AD22),1)</f>
        <v>-222.8</v>
      </c>
      <c r="AH22" s="1454"/>
      <c r="AI22" s="1424">
        <f>ROUND(IF(AD22=0,0,AG22/ABS(AD22)),3)</f>
        <v>-0.36399999999999999</v>
      </c>
    </row>
    <row r="23" spans="1:35" ht="14.25" customHeight="1">
      <c r="A23" s="2469" t="s">
        <v>1372</v>
      </c>
      <c r="B23" s="1363">
        <v>0.1</v>
      </c>
      <c r="C23" s="1441"/>
      <c r="D23" s="1363">
        <v>-0.1</v>
      </c>
      <c r="E23" s="1441"/>
      <c r="F23" s="1363">
        <v>0.1</v>
      </c>
      <c r="G23" s="1441"/>
      <c r="H23" s="1788">
        <v>0.1</v>
      </c>
      <c r="I23" s="2703"/>
      <c r="J23" s="1363">
        <v>9.9999999999999978E-2</v>
      </c>
      <c r="K23" s="2703"/>
      <c r="L23" s="1363">
        <v>0.10000000000000006</v>
      </c>
      <c r="M23" s="2703"/>
      <c r="N23" s="1788">
        <f>$AA23-$B23-$D23-$F23-$H23-$J23-$L23</f>
        <v>0.19999999999999998</v>
      </c>
      <c r="O23" s="2703"/>
      <c r="P23" s="1788"/>
      <c r="Q23" s="2703"/>
      <c r="R23" s="1788"/>
      <c r="S23" s="2703"/>
      <c r="T23" s="1788"/>
      <c r="U23" s="2703"/>
      <c r="V23" s="1788"/>
      <c r="W23" s="2703"/>
      <c r="X23" s="1788"/>
      <c r="Y23" s="3555"/>
      <c r="Z23" s="2703"/>
      <c r="AA23" s="1788">
        <v>0.6</v>
      </c>
      <c r="AB23" s="3556"/>
      <c r="AC23" s="3557"/>
      <c r="AD23" s="1788">
        <v>0.5</v>
      </c>
      <c r="AE23" s="3558"/>
      <c r="AF23" s="3559"/>
      <c r="AG23" s="2687">
        <f>ROUND(SUM(AA23-AD23),1)</f>
        <v>0.1</v>
      </c>
      <c r="AH23" s="1454"/>
      <c r="AI23" s="1649">
        <f>ROUND(IF(AD23=0,1,AG23/ABS(AD23)),3)</f>
        <v>0.2</v>
      </c>
    </row>
    <row r="24" spans="1:35" ht="14.25" customHeight="1">
      <c r="A24" s="2472" t="s">
        <v>1105</v>
      </c>
      <c r="B24" s="1981">
        <f>ROUND(SUM(B22:B23),1)</f>
        <v>57.3</v>
      </c>
      <c r="C24" s="1459"/>
      <c r="D24" s="2041">
        <f>ROUND(SUM(D22:D23),1)</f>
        <v>48.3</v>
      </c>
      <c r="E24" s="1459"/>
      <c r="F24" s="2041">
        <f>ROUND(SUM(F22:F23),1)</f>
        <v>38</v>
      </c>
      <c r="G24" s="1459"/>
      <c r="H24" s="2041">
        <f>ROUND(SUM(H22:H23),1)</f>
        <v>53.1</v>
      </c>
      <c r="I24" s="1457"/>
      <c r="J24" s="2041">
        <f>ROUND(SUM(J22:J23),1)</f>
        <v>56.5</v>
      </c>
      <c r="K24" s="1457"/>
      <c r="L24" s="2041">
        <f>ROUND(SUM(L22:L23),1)</f>
        <v>70.400000000000006</v>
      </c>
      <c r="M24" s="1457"/>
      <c r="N24" s="2041">
        <f>ROUND(SUM(N22:N23),1)</f>
        <v>66</v>
      </c>
      <c r="O24" s="1457"/>
      <c r="P24" s="2041">
        <f>ROUND(SUM(P22:P23),1)</f>
        <v>0</v>
      </c>
      <c r="Q24" s="1457"/>
      <c r="R24" s="2041">
        <f>ROUND(SUM(R22:R23),1)</f>
        <v>0</v>
      </c>
      <c r="S24" s="1457"/>
      <c r="T24" s="2041">
        <f>ROUND(SUM(T22:T23),1)</f>
        <v>0</v>
      </c>
      <c r="U24" s="1457"/>
      <c r="V24" s="2041">
        <f>ROUND(SUM(V22:V23),1)</f>
        <v>0</v>
      </c>
      <c r="W24" s="1457"/>
      <c r="X24" s="2041">
        <f>ROUND(SUM(X22:X23),1)</f>
        <v>0</v>
      </c>
      <c r="Y24" s="2686"/>
      <c r="Z24" s="1457"/>
      <c r="AA24" s="1458">
        <f>SUM(AA22:AA23)</f>
        <v>389.6</v>
      </c>
      <c r="AB24" s="1978"/>
      <c r="AC24" s="1979"/>
      <c r="AD24" s="1458">
        <f>SUM(AD22:AD23)</f>
        <v>612.29999999999995</v>
      </c>
      <c r="AE24" s="2672"/>
      <c r="AF24" s="2683"/>
      <c r="AG24" s="2690">
        <f>ROUND(SUM(AA24-AD24),1)</f>
        <v>-222.7</v>
      </c>
      <c r="AH24" s="2656"/>
      <c r="AI24" s="1453">
        <f>ROUND(IF(AD24=0,0,AG24/ABS(AD24)),3)</f>
        <v>-0.36399999999999999</v>
      </c>
    </row>
    <row r="25" spans="1:35" ht="14.25" customHeight="1">
      <c r="A25" s="2472"/>
      <c r="B25" s="1981"/>
      <c r="C25" s="1459"/>
      <c r="D25" s="1442"/>
      <c r="E25" s="1459"/>
      <c r="F25" s="1442"/>
      <c r="G25" s="1442"/>
      <c r="H25" s="1442"/>
      <c r="I25" s="1454"/>
      <c r="J25" s="1442"/>
      <c r="K25" s="1454"/>
      <c r="L25" s="1442"/>
      <c r="M25" s="1454"/>
      <c r="N25" s="1442"/>
      <c r="O25" s="1454"/>
      <c r="P25" s="1442"/>
      <c r="Q25" s="1454"/>
      <c r="R25" s="1442"/>
      <c r="S25" s="1454"/>
      <c r="T25" s="1442"/>
      <c r="U25" s="1454"/>
      <c r="V25" s="1442"/>
      <c r="W25" s="1454"/>
      <c r="X25" s="1442"/>
      <c r="Y25" s="2686"/>
      <c r="Z25" s="1457"/>
      <c r="AA25" s="1981"/>
      <c r="AB25" s="1978"/>
      <c r="AC25" s="1979"/>
      <c r="AD25" s="3471"/>
      <c r="AE25" s="2672"/>
      <c r="AF25" s="2683"/>
      <c r="AG25" s="2684"/>
      <c r="AH25" s="1454"/>
      <c r="AI25" s="1454"/>
    </row>
    <row r="26" spans="1:35" ht="14.25" customHeight="1">
      <c r="A26" s="2472" t="s">
        <v>1106</v>
      </c>
      <c r="B26" s="2481">
        <f>ROUND(SUM(B16+B20+B24),1)</f>
        <v>1484.6</v>
      </c>
      <c r="C26" s="1441"/>
      <c r="D26" s="2481">
        <f>ROUND(SUM(D16+D20+D24),1)</f>
        <v>1517.6</v>
      </c>
      <c r="E26" s="1441"/>
      <c r="F26" s="2481">
        <f>ROUND(SUM(F16+F20+F24),1)</f>
        <v>2794.2</v>
      </c>
      <c r="G26" s="1441"/>
      <c r="H26" s="2481">
        <f>ROUND(SUM(H16+H20+H24),1)</f>
        <v>5698.2</v>
      </c>
      <c r="I26" s="1457"/>
      <c r="J26" s="1982">
        <f>ROUND(SUM(J16+J20+J24),1)</f>
        <v>1954.3</v>
      </c>
      <c r="K26" s="1457"/>
      <c r="L26" s="1982">
        <f>ROUND(SUM(L16+L20+L24),1)</f>
        <v>3415</v>
      </c>
      <c r="M26" s="1457"/>
      <c r="N26" s="1982">
        <f>ROUND(SUM(N16+N20+N24),1)</f>
        <v>1881.7</v>
      </c>
      <c r="O26" s="1457"/>
      <c r="P26" s="1982">
        <f>ROUND(SUM(P16+P20+P24),1)</f>
        <v>0</v>
      </c>
      <c r="Q26" s="1457"/>
      <c r="R26" s="1982">
        <f>ROUND(SUM(R16+R20+R24),1)</f>
        <v>0</v>
      </c>
      <c r="S26" s="1457"/>
      <c r="T26" s="1982">
        <f>ROUND(SUM(T16+T20+T24),1)</f>
        <v>0</v>
      </c>
      <c r="U26" s="1457"/>
      <c r="V26" s="1982">
        <f>ROUND(SUM(V16+V20+V24),1)</f>
        <v>0</v>
      </c>
      <c r="W26" s="1457"/>
      <c r="X26" s="1982">
        <f>ROUND(SUM(X16+X20+X24),1)</f>
        <v>0</v>
      </c>
      <c r="Y26" s="2686"/>
      <c r="Z26" s="1457"/>
      <c r="AA26" s="1982">
        <f>ROUND(SUM(AA16+AA20+AA24),1)</f>
        <v>18745.599999999999</v>
      </c>
      <c r="AB26" s="1978"/>
      <c r="AC26" s="1979"/>
      <c r="AD26" s="1982">
        <f>ROUND(SUM(AD16+AD20+AD24),1)</f>
        <v>20225.2</v>
      </c>
      <c r="AE26" s="2672"/>
      <c r="AF26" s="2683"/>
      <c r="AG26" s="1982">
        <f>ROUND(SUM(AG16+AG20+AG24),1)</f>
        <v>-1479.6</v>
      </c>
      <c r="AH26" s="2656"/>
      <c r="AI26" s="1455">
        <f>ROUND(IF(AD26=0,0,AG26/ABS(AD26)),3)</f>
        <v>-7.2999999999999995E-2</v>
      </c>
    </row>
    <row r="27" spans="1:35" ht="14.25" customHeight="1">
      <c r="A27" s="2461"/>
      <c r="B27" s="1441"/>
      <c r="C27" s="1441"/>
      <c r="D27" s="1441"/>
      <c r="E27" s="1441"/>
      <c r="F27" s="1441"/>
      <c r="G27" s="1441"/>
      <c r="H27" s="1441"/>
      <c r="I27" s="1457"/>
      <c r="J27" s="2005"/>
      <c r="K27" s="1457"/>
      <c r="L27" s="2005"/>
      <c r="M27" s="1457"/>
      <c r="N27" s="2005"/>
      <c r="O27" s="1457"/>
      <c r="P27" s="2005"/>
      <c r="Q27" s="1457"/>
      <c r="R27" s="2005"/>
      <c r="S27" s="1457"/>
      <c r="T27" s="2005"/>
      <c r="U27" s="1457"/>
      <c r="V27" s="2005"/>
      <c r="W27" s="1457"/>
      <c r="X27" s="2005"/>
      <c r="Y27" s="2686"/>
      <c r="Z27" s="1457"/>
      <c r="AA27" s="1441"/>
      <c r="AB27" s="1978"/>
      <c r="AC27" s="1979"/>
      <c r="AD27" s="1999"/>
      <c r="AE27" s="2672"/>
      <c r="AF27" s="2683"/>
      <c r="AG27" s="2684"/>
      <c r="AH27" s="1454"/>
      <c r="AI27" s="1457"/>
    </row>
    <row r="28" spans="1:35" ht="14.25" customHeight="1">
      <c r="A28" s="2461" t="s">
        <v>1014</v>
      </c>
      <c r="B28" s="1983"/>
      <c r="C28" s="1997"/>
      <c r="D28" s="1997"/>
      <c r="E28" s="1997"/>
      <c r="F28" s="1997"/>
      <c r="G28" s="1997"/>
      <c r="H28" s="1997"/>
      <c r="I28" s="1977"/>
      <c r="J28" s="1977"/>
      <c r="K28" s="1977"/>
      <c r="L28" s="1977"/>
      <c r="M28" s="1977"/>
      <c r="N28" s="1977"/>
      <c r="O28" s="1977"/>
      <c r="P28" s="1977"/>
      <c r="Q28" s="1977"/>
      <c r="R28" s="1977"/>
      <c r="S28" s="1977"/>
      <c r="T28" s="1977"/>
      <c r="U28" s="1977"/>
      <c r="V28" s="1977"/>
      <c r="W28" s="1977"/>
      <c r="X28" s="1977"/>
      <c r="Y28" s="1984"/>
      <c r="Z28" s="1977"/>
      <c r="AA28" s="1983"/>
      <c r="AB28" s="1984"/>
      <c r="AC28" s="1977"/>
      <c r="AD28" s="1983"/>
      <c r="AE28" s="2691"/>
      <c r="AF28" s="2692"/>
      <c r="AG28" s="2687"/>
      <c r="AH28" s="1454"/>
      <c r="AI28" s="1456"/>
    </row>
    <row r="29" spans="1:35" ht="14.25" customHeight="1">
      <c r="A29" s="2484" t="s">
        <v>1134</v>
      </c>
      <c r="B29" s="1983"/>
      <c r="C29" s="1997"/>
      <c r="D29" s="1997"/>
      <c r="E29" s="1997"/>
      <c r="F29" s="1997"/>
      <c r="G29" s="1997"/>
      <c r="H29" s="1997"/>
      <c r="I29" s="1977"/>
      <c r="J29" s="1977"/>
      <c r="K29" s="1977"/>
      <c r="L29" s="1977"/>
      <c r="M29" s="1977"/>
      <c r="N29" s="1977"/>
      <c r="O29" s="1977"/>
      <c r="P29" s="1977"/>
      <c r="Q29" s="1977"/>
      <c r="R29" s="1977"/>
      <c r="S29" s="1977"/>
      <c r="T29" s="1977"/>
      <c r="U29" s="1977"/>
      <c r="V29" s="1977"/>
      <c r="W29" s="1977"/>
      <c r="X29" s="1977"/>
      <c r="Y29" s="1985"/>
      <c r="Z29" s="1977"/>
      <c r="AA29" s="1983"/>
      <c r="AB29" s="1985"/>
      <c r="AC29" s="1977"/>
      <c r="AD29" s="1983"/>
      <c r="AE29" s="2691"/>
      <c r="AF29" s="2692"/>
      <c r="AG29" s="2687"/>
      <c r="AH29" s="1454"/>
      <c r="AI29" s="1456"/>
    </row>
    <row r="30" spans="1:35" ht="14.25" customHeight="1">
      <c r="A30" s="2484" t="s">
        <v>1018</v>
      </c>
      <c r="B30" s="1363">
        <v>0</v>
      </c>
      <c r="C30" s="1997"/>
      <c r="D30" s="1363">
        <v>0</v>
      </c>
      <c r="E30" s="1997"/>
      <c r="F30" s="1363">
        <v>0</v>
      </c>
      <c r="G30" s="1997"/>
      <c r="H30" s="1363">
        <v>0</v>
      </c>
      <c r="I30" s="2605"/>
      <c r="J30" s="1363">
        <v>0</v>
      </c>
      <c r="K30" s="2605"/>
      <c r="L30" s="1363">
        <v>0</v>
      </c>
      <c r="M30" s="2605"/>
      <c r="N30" s="1363">
        <f>$AA30-$B30-$D30-$F30-$H30-$J30-$L30</f>
        <v>0</v>
      </c>
      <c r="O30" s="2605"/>
      <c r="P30" s="1788"/>
      <c r="Q30" s="2605"/>
      <c r="R30" s="1788"/>
      <c r="S30" s="2605"/>
      <c r="T30" s="1788"/>
      <c r="U30" s="2605"/>
      <c r="V30" s="1788"/>
      <c r="W30" s="2605"/>
      <c r="X30" s="1788"/>
      <c r="Y30" s="2686"/>
      <c r="Z30" s="1457"/>
      <c r="AA30" s="1788">
        <v>0</v>
      </c>
      <c r="AB30" s="1978"/>
      <c r="AC30" s="1979"/>
      <c r="AD30" s="1788">
        <v>0</v>
      </c>
      <c r="AE30" s="2691"/>
      <c r="AF30" s="2692"/>
      <c r="AG30" s="2687">
        <f>ROUND(SUM(AA30-AD30),1)</f>
        <v>0</v>
      </c>
      <c r="AH30" s="1454"/>
      <c r="AI30" s="1424">
        <f>ROUND(IF(AD30=0,0,AG30/ABS(AD30)),3)</f>
        <v>0</v>
      </c>
    </row>
    <row r="31" spans="1:35" ht="14.25" customHeight="1">
      <c r="A31" s="2484" t="s">
        <v>1139</v>
      </c>
      <c r="B31" s="1363" t="s">
        <v>15</v>
      </c>
      <c r="C31" s="1997"/>
      <c r="D31" s="1363"/>
      <c r="E31" s="1997"/>
      <c r="F31" s="1363"/>
      <c r="G31" s="1997"/>
      <c r="H31" s="1363"/>
      <c r="I31" s="2605"/>
      <c r="J31" s="1363"/>
      <c r="K31" s="2605"/>
      <c r="L31" s="1363"/>
      <c r="M31" s="2605"/>
      <c r="N31" s="1363"/>
      <c r="O31" s="2605"/>
      <c r="P31" s="1788"/>
      <c r="Q31" s="2605"/>
      <c r="R31" s="1788"/>
      <c r="S31" s="2605"/>
      <c r="T31" s="1788"/>
      <c r="U31" s="2605"/>
      <c r="V31" s="1788"/>
      <c r="W31" s="2605"/>
      <c r="X31" s="1788"/>
      <c r="Y31" s="2686"/>
      <c r="Z31" s="1457"/>
      <c r="AA31" s="1788"/>
      <c r="AB31" s="1978"/>
      <c r="AC31" s="1979"/>
      <c r="AD31" s="1788"/>
      <c r="AE31" s="2691"/>
      <c r="AF31" s="2692"/>
      <c r="AG31" s="2687"/>
      <c r="AH31" s="1454"/>
      <c r="AI31" s="1456"/>
    </row>
    <row r="32" spans="1:35" ht="14.25" customHeight="1">
      <c r="A32" s="2484" t="s">
        <v>1021</v>
      </c>
      <c r="B32" s="1363">
        <v>0</v>
      </c>
      <c r="C32" s="1997"/>
      <c r="D32" s="1363">
        <v>0</v>
      </c>
      <c r="E32" s="1997"/>
      <c r="F32" s="1363">
        <v>0</v>
      </c>
      <c r="G32" s="1997"/>
      <c r="H32" s="1363">
        <v>0</v>
      </c>
      <c r="I32" s="2605"/>
      <c r="J32" s="1363">
        <v>0</v>
      </c>
      <c r="K32" s="2605"/>
      <c r="L32" s="1363">
        <v>0</v>
      </c>
      <c r="M32" s="2605"/>
      <c r="N32" s="1363">
        <f t="shared" ref="N32:N44" si="1">$AA32-$B32-$D32-$F32-$H32-$J32-$L32</f>
        <v>0</v>
      </c>
      <c r="O32" s="2605"/>
      <c r="P32" s="1788"/>
      <c r="Q32" s="2605"/>
      <c r="R32" s="1788"/>
      <c r="S32" s="2605"/>
      <c r="T32" s="1788"/>
      <c r="U32" s="2605"/>
      <c r="V32" s="1788"/>
      <c r="W32" s="2605"/>
      <c r="X32" s="1788"/>
      <c r="Y32" s="2686"/>
      <c r="Z32" s="1457"/>
      <c r="AA32" s="1788">
        <v>0</v>
      </c>
      <c r="AB32" s="1978"/>
      <c r="AC32" s="1979"/>
      <c r="AD32" s="1788">
        <v>0</v>
      </c>
      <c r="AE32" s="2691"/>
      <c r="AF32" s="2692"/>
      <c r="AG32" s="2687">
        <f t="shared" ref="AG32:AG40" si="2">ROUND(SUM(AA32-AD32),1)</f>
        <v>0</v>
      </c>
      <c r="AH32" s="1454"/>
      <c r="AI32" s="1424">
        <f t="shared" ref="AI32:AI40" si="3">ROUND(IF(AD32=0,0,AG32/ABS(AD32)),3)</f>
        <v>0</v>
      </c>
    </row>
    <row r="33" spans="1:36" ht="14.25" customHeight="1">
      <c r="A33" s="2484" t="s">
        <v>1022</v>
      </c>
      <c r="B33" s="1363">
        <v>0</v>
      </c>
      <c r="C33" s="1997"/>
      <c r="D33" s="1363">
        <v>0</v>
      </c>
      <c r="E33" s="1997"/>
      <c r="F33" s="1363">
        <v>0</v>
      </c>
      <c r="G33" s="1997"/>
      <c r="H33" s="1363">
        <v>0</v>
      </c>
      <c r="I33" s="2605"/>
      <c r="J33" s="1363">
        <v>0</v>
      </c>
      <c r="K33" s="2605"/>
      <c r="L33" s="1363">
        <v>0</v>
      </c>
      <c r="M33" s="2605"/>
      <c r="N33" s="1363">
        <f t="shared" si="1"/>
        <v>0</v>
      </c>
      <c r="O33" s="2605"/>
      <c r="P33" s="1788"/>
      <c r="Q33" s="2605"/>
      <c r="R33" s="1788"/>
      <c r="S33" s="2605"/>
      <c r="T33" s="1788"/>
      <c r="U33" s="2605"/>
      <c r="V33" s="1788"/>
      <c r="W33" s="2605"/>
      <c r="X33" s="1788"/>
      <c r="Y33" s="2686"/>
      <c r="Z33" s="1457"/>
      <c r="AA33" s="1788">
        <v>0</v>
      </c>
      <c r="AB33" s="1978"/>
      <c r="AC33" s="1979"/>
      <c r="AD33" s="1788">
        <v>0</v>
      </c>
      <c r="AE33" s="2691"/>
      <c r="AF33" s="2692"/>
      <c r="AG33" s="2687">
        <f t="shared" si="2"/>
        <v>0</v>
      </c>
      <c r="AH33" s="1454"/>
      <c r="AI33" s="1424">
        <f t="shared" si="3"/>
        <v>0</v>
      </c>
    </row>
    <row r="34" spans="1:36" ht="14.25" customHeight="1">
      <c r="A34" s="2484" t="s">
        <v>1023</v>
      </c>
      <c r="B34" s="1363">
        <v>0</v>
      </c>
      <c r="C34" s="1997"/>
      <c r="D34" s="1363">
        <v>0</v>
      </c>
      <c r="E34" s="1997"/>
      <c r="F34" s="1363">
        <v>0</v>
      </c>
      <c r="G34" s="1997"/>
      <c r="H34" s="1363">
        <v>0</v>
      </c>
      <c r="I34" s="2605"/>
      <c r="J34" s="1363">
        <v>0</v>
      </c>
      <c r="K34" s="2605"/>
      <c r="L34" s="1363">
        <v>0</v>
      </c>
      <c r="M34" s="2605"/>
      <c r="N34" s="1363">
        <f t="shared" si="1"/>
        <v>0</v>
      </c>
      <c r="O34" s="2605"/>
      <c r="P34" s="1788"/>
      <c r="Q34" s="2605"/>
      <c r="R34" s="1788"/>
      <c r="S34" s="2605"/>
      <c r="T34" s="1788"/>
      <c r="U34" s="2605"/>
      <c r="V34" s="1788"/>
      <c r="W34" s="2605"/>
      <c r="X34" s="1788"/>
      <c r="Y34" s="2686"/>
      <c r="Z34" s="1457"/>
      <c r="AA34" s="1788">
        <v>0</v>
      </c>
      <c r="AB34" s="1978"/>
      <c r="AC34" s="1979"/>
      <c r="AD34" s="1788">
        <v>0</v>
      </c>
      <c r="AE34" s="2691"/>
      <c r="AF34" s="2692"/>
      <c r="AG34" s="2687">
        <f t="shared" si="2"/>
        <v>0</v>
      </c>
      <c r="AH34" s="1454"/>
      <c r="AI34" s="1424">
        <f t="shared" si="3"/>
        <v>0</v>
      </c>
    </row>
    <row r="35" spans="1:36" ht="14.25" customHeight="1">
      <c r="A35" s="2484" t="s">
        <v>1024</v>
      </c>
      <c r="B35" s="1363">
        <v>0</v>
      </c>
      <c r="C35" s="1997"/>
      <c r="D35" s="1363">
        <v>0</v>
      </c>
      <c r="E35" s="1997"/>
      <c r="F35" s="1363">
        <v>0</v>
      </c>
      <c r="G35" s="1997"/>
      <c r="H35" s="1363">
        <v>0</v>
      </c>
      <c r="I35" s="2605"/>
      <c r="J35" s="1363">
        <v>0</v>
      </c>
      <c r="K35" s="2605"/>
      <c r="L35" s="1363">
        <v>0</v>
      </c>
      <c r="M35" s="2605"/>
      <c r="N35" s="1363">
        <f t="shared" si="1"/>
        <v>0</v>
      </c>
      <c r="O35" s="2605"/>
      <c r="P35" s="1788"/>
      <c r="Q35" s="2605"/>
      <c r="R35" s="1788"/>
      <c r="S35" s="2605"/>
      <c r="T35" s="1788"/>
      <c r="U35" s="2605"/>
      <c r="V35" s="1788"/>
      <c r="W35" s="2605"/>
      <c r="X35" s="1788"/>
      <c r="Y35" s="2686"/>
      <c r="Z35" s="1457"/>
      <c r="AA35" s="1788">
        <v>0</v>
      </c>
      <c r="AB35" s="1978"/>
      <c r="AC35" s="1979"/>
      <c r="AD35" s="1788">
        <v>0</v>
      </c>
      <c r="AE35" s="2691"/>
      <c r="AF35" s="2692"/>
      <c r="AG35" s="2687">
        <f t="shared" si="2"/>
        <v>0</v>
      </c>
      <c r="AH35" s="1454"/>
      <c r="AI35" s="1424">
        <f t="shared" si="3"/>
        <v>0</v>
      </c>
    </row>
    <row r="36" spans="1:36" ht="14.25" customHeight="1">
      <c r="A36" s="2484" t="s">
        <v>1025</v>
      </c>
      <c r="B36" s="1363">
        <v>0</v>
      </c>
      <c r="C36" s="1997"/>
      <c r="D36" s="1363">
        <v>0</v>
      </c>
      <c r="E36" s="1997"/>
      <c r="F36" s="1363">
        <v>0</v>
      </c>
      <c r="G36" s="1997"/>
      <c r="H36" s="1363">
        <v>0</v>
      </c>
      <c r="I36" s="2605"/>
      <c r="J36" s="1363">
        <v>0</v>
      </c>
      <c r="K36" s="2605"/>
      <c r="L36" s="1363">
        <v>0</v>
      </c>
      <c r="M36" s="2605"/>
      <c r="N36" s="1363">
        <f t="shared" si="1"/>
        <v>0</v>
      </c>
      <c r="O36" s="2605"/>
      <c r="P36" s="1788"/>
      <c r="Q36" s="2605"/>
      <c r="R36" s="1788"/>
      <c r="S36" s="2605"/>
      <c r="T36" s="1788"/>
      <c r="U36" s="2605"/>
      <c r="V36" s="1788"/>
      <c r="W36" s="2605"/>
      <c r="X36" s="1788"/>
      <c r="Y36" s="2686"/>
      <c r="Z36" s="1457"/>
      <c r="AA36" s="1788">
        <v>0</v>
      </c>
      <c r="AB36" s="1978"/>
      <c r="AC36" s="1979"/>
      <c r="AD36" s="1788">
        <v>0</v>
      </c>
      <c r="AE36" s="2691"/>
      <c r="AF36" s="2692"/>
      <c r="AG36" s="2687">
        <f t="shared" si="2"/>
        <v>0</v>
      </c>
      <c r="AH36" s="1454"/>
      <c r="AI36" s="1424">
        <f t="shared" si="3"/>
        <v>0</v>
      </c>
    </row>
    <row r="37" spans="1:36" ht="14.25" customHeight="1">
      <c r="A37" s="2484" t="s">
        <v>1026</v>
      </c>
      <c r="B37" s="1363">
        <v>0</v>
      </c>
      <c r="C37" s="1997"/>
      <c r="D37" s="1363">
        <v>0</v>
      </c>
      <c r="E37" s="1997"/>
      <c r="F37" s="1363">
        <v>0</v>
      </c>
      <c r="G37" s="1997"/>
      <c r="H37" s="1363">
        <v>0</v>
      </c>
      <c r="I37" s="2605"/>
      <c r="J37" s="1363">
        <v>0</v>
      </c>
      <c r="K37" s="2605"/>
      <c r="L37" s="1363">
        <v>0</v>
      </c>
      <c r="M37" s="2605"/>
      <c r="N37" s="1363">
        <f t="shared" si="1"/>
        <v>0</v>
      </c>
      <c r="O37" s="2605"/>
      <c r="P37" s="1788"/>
      <c r="Q37" s="2605"/>
      <c r="R37" s="1788"/>
      <c r="S37" s="2605"/>
      <c r="T37" s="1788"/>
      <c r="U37" s="2605"/>
      <c r="V37" s="1788"/>
      <c r="W37" s="2605"/>
      <c r="X37" s="1788"/>
      <c r="Y37" s="2686"/>
      <c r="Z37" s="1457"/>
      <c r="AA37" s="1788">
        <v>0</v>
      </c>
      <c r="AB37" s="1978"/>
      <c r="AC37" s="1979"/>
      <c r="AD37" s="1788">
        <v>0</v>
      </c>
      <c r="AE37" s="2691"/>
      <c r="AF37" s="2692"/>
      <c r="AG37" s="2687">
        <f t="shared" si="2"/>
        <v>0</v>
      </c>
      <c r="AH37" s="1454"/>
      <c r="AI37" s="1424">
        <f t="shared" si="3"/>
        <v>0</v>
      </c>
    </row>
    <row r="38" spans="1:36" ht="14.25" customHeight="1">
      <c r="A38" s="2484" t="s">
        <v>1016</v>
      </c>
      <c r="B38" s="1363">
        <v>0.1</v>
      </c>
      <c r="C38" s="1997"/>
      <c r="D38" s="1363">
        <v>0.1</v>
      </c>
      <c r="E38" s="1997"/>
      <c r="F38" s="1363">
        <v>0</v>
      </c>
      <c r="G38" s="1997"/>
      <c r="H38" s="1363">
        <v>0</v>
      </c>
      <c r="I38" s="2605"/>
      <c r="J38" s="1363">
        <v>0</v>
      </c>
      <c r="K38" s="2605"/>
      <c r="L38" s="1363">
        <v>0</v>
      </c>
      <c r="M38" s="2605"/>
      <c r="N38" s="1363">
        <f t="shared" si="1"/>
        <v>0</v>
      </c>
      <c r="O38" s="2605"/>
      <c r="P38" s="1788"/>
      <c r="Q38" s="2605"/>
      <c r="R38" s="1788"/>
      <c r="S38" s="2605"/>
      <c r="T38" s="1788"/>
      <c r="U38" s="2605"/>
      <c r="V38" s="1788"/>
      <c r="W38" s="2605"/>
      <c r="X38" s="1788"/>
      <c r="Y38" s="2686"/>
      <c r="Z38" s="1457"/>
      <c r="AA38" s="1788">
        <v>0.2</v>
      </c>
      <c r="AB38" s="1978"/>
      <c r="AC38" s="1979"/>
      <c r="AD38" s="1788">
        <v>1.3</v>
      </c>
      <c r="AE38" s="2691"/>
      <c r="AF38" s="2692"/>
      <c r="AG38" s="2687">
        <f t="shared" si="2"/>
        <v>-1.1000000000000001</v>
      </c>
      <c r="AH38" s="1454"/>
      <c r="AI38" s="1424">
        <f>ROUND(IF(AD38=0,1,AG38/ABS(AD38)),3)</f>
        <v>-0.84599999999999997</v>
      </c>
    </row>
    <row r="39" spans="1:36" ht="14.25" customHeight="1">
      <c r="A39" s="2484" t="s">
        <v>1034</v>
      </c>
      <c r="B39" s="1363">
        <v>0</v>
      </c>
      <c r="C39" s="1997"/>
      <c r="D39" s="1363">
        <v>0.3</v>
      </c>
      <c r="E39" s="1997"/>
      <c r="F39" s="1363">
        <v>0.10000000000000003</v>
      </c>
      <c r="G39" s="1997"/>
      <c r="H39" s="1363">
        <v>9.9999999999999978E-2</v>
      </c>
      <c r="I39" s="2605"/>
      <c r="J39" s="1363">
        <v>0</v>
      </c>
      <c r="K39" s="2605"/>
      <c r="L39" s="1363">
        <v>0</v>
      </c>
      <c r="M39" s="2605"/>
      <c r="N39" s="1363">
        <f t="shared" si="1"/>
        <v>0</v>
      </c>
      <c r="O39" s="2605"/>
      <c r="P39" s="1788"/>
      <c r="Q39" s="2605"/>
      <c r="R39" s="1788"/>
      <c r="S39" s="2605"/>
      <c r="T39" s="1788"/>
      <c r="U39" s="2605"/>
      <c r="V39" s="1788"/>
      <c r="W39" s="2605"/>
      <c r="X39" s="1788"/>
      <c r="Y39" s="2686"/>
      <c r="Z39" s="1457"/>
      <c r="AA39" s="1788">
        <v>0.5</v>
      </c>
      <c r="AB39" s="1978"/>
      <c r="AC39" s="1979"/>
      <c r="AD39" s="1788">
        <v>1.7</v>
      </c>
      <c r="AE39" s="2691"/>
      <c r="AF39" s="2692"/>
      <c r="AG39" s="2687">
        <f t="shared" si="2"/>
        <v>-1.2</v>
      </c>
      <c r="AH39" s="1454"/>
      <c r="AI39" s="1424">
        <f>ROUND(IF(AD39=0,0,AG39/ABS(AD39)),3)</f>
        <v>-0.70599999999999996</v>
      </c>
    </row>
    <row r="40" spans="1:36" ht="14.25" customHeight="1">
      <c r="A40" s="2484" t="s">
        <v>1035</v>
      </c>
      <c r="B40" s="1363">
        <v>0</v>
      </c>
      <c r="C40" s="1997"/>
      <c r="D40" s="1363">
        <v>0</v>
      </c>
      <c r="E40" s="1997"/>
      <c r="F40" s="1363">
        <v>0</v>
      </c>
      <c r="G40" s="1997"/>
      <c r="H40" s="1363">
        <v>0</v>
      </c>
      <c r="I40" s="2605"/>
      <c r="J40" s="1363">
        <v>0</v>
      </c>
      <c r="K40" s="2605"/>
      <c r="L40" s="1363">
        <v>0</v>
      </c>
      <c r="M40" s="2605"/>
      <c r="N40" s="1363">
        <f t="shared" si="1"/>
        <v>0</v>
      </c>
      <c r="O40" s="2605"/>
      <c r="P40" s="1788"/>
      <c r="Q40" s="2605"/>
      <c r="R40" s="1788"/>
      <c r="S40" s="2605"/>
      <c r="T40" s="1788"/>
      <c r="U40" s="2605"/>
      <c r="V40" s="1788"/>
      <c r="W40" s="2605"/>
      <c r="X40" s="1788"/>
      <c r="Y40" s="2686"/>
      <c r="Z40" s="1457"/>
      <c r="AA40" s="1788">
        <v>0</v>
      </c>
      <c r="AB40" s="1978"/>
      <c r="AC40" s="1979"/>
      <c r="AD40" s="1788">
        <v>0</v>
      </c>
      <c r="AE40" s="2691"/>
      <c r="AF40" s="2692"/>
      <c r="AG40" s="2687">
        <f t="shared" si="2"/>
        <v>0</v>
      </c>
      <c r="AH40" s="1454"/>
      <c r="AI40" s="1424">
        <f t="shared" si="3"/>
        <v>0</v>
      </c>
    </row>
    <row r="41" spans="1:36" ht="14.25" customHeight="1">
      <c r="A41" s="2484" t="s">
        <v>1138</v>
      </c>
      <c r="B41" s="1363" t="s">
        <v>15</v>
      </c>
      <c r="C41" s="1997"/>
      <c r="D41" s="1363"/>
      <c r="E41" s="1997"/>
      <c r="F41" s="1363"/>
      <c r="G41" s="1997"/>
      <c r="H41" s="1363"/>
      <c r="I41" s="2605"/>
      <c r="J41" s="1363"/>
      <c r="K41" s="2605"/>
      <c r="L41" s="1363"/>
      <c r="M41" s="2605"/>
      <c r="N41" s="1363"/>
      <c r="O41" s="2605"/>
      <c r="P41" s="1788"/>
      <c r="Q41" s="2605"/>
      <c r="R41" s="1788"/>
      <c r="S41" s="2605"/>
      <c r="T41" s="1788"/>
      <c r="U41" s="2605"/>
      <c r="V41" s="1788"/>
      <c r="W41" s="2605"/>
      <c r="X41" s="1788"/>
      <c r="Y41" s="2686"/>
      <c r="Z41" s="1457"/>
      <c r="AA41" s="1788"/>
      <c r="AB41" s="1978"/>
      <c r="AC41" s="1979"/>
      <c r="AD41" s="1788"/>
      <c r="AE41" s="2691"/>
      <c r="AF41" s="2692"/>
      <c r="AG41" s="2687"/>
      <c r="AH41" s="1454"/>
      <c r="AI41" s="1456"/>
    </row>
    <row r="42" spans="1:36" ht="14.25" customHeight="1">
      <c r="A42" s="2484" t="s">
        <v>1206</v>
      </c>
      <c r="B42" s="1363">
        <v>47.2</v>
      </c>
      <c r="C42" s="1997"/>
      <c r="D42" s="1363">
        <v>13.399999999999999</v>
      </c>
      <c r="E42" s="1997"/>
      <c r="F42" s="1363">
        <v>42.6</v>
      </c>
      <c r="G42" s="1997"/>
      <c r="H42" s="1363">
        <v>45.800000000000004</v>
      </c>
      <c r="I42" s="2605"/>
      <c r="J42" s="1363">
        <v>46.199999999999996</v>
      </c>
      <c r="K42" s="2605"/>
      <c r="L42" s="1363">
        <v>36.199999999999982</v>
      </c>
      <c r="M42" s="2605"/>
      <c r="N42" s="1363">
        <f t="shared" si="1"/>
        <v>20.900000000000034</v>
      </c>
      <c r="O42" s="2605"/>
      <c r="P42" s="1788"/>
      <c r="Q42" s="2605"/>
      <c r="R42" s="1788"/>
      <c r="S42" s="2605"/>
      <c r="T42" s="1788"/>
      <c r="U42" s="2605"/>
      <c r="V42" s="1788"/>
      <c r="W42" s="2605"/>
      <c r="X42" s="1788"/>
      <c r="Y42" s="2686"/>
      <c r="Z42" s="1457"/>
      <c r="AA42" s="1788">
        <v>252.3</v>
      </c>
      <c r="AB42" s="1978"/>
      <c r="AC42" s="1979"/>
      <c r="AD42" s="1788">
        <v>294.10000000000002</v>
      </c>
      <c r="AE42" s="2691"/>
      <c r="AF42" s="2692"/>
      <c r="AG42" s="2687">
        <f>ROUND(SUM(AA42-AD42),1)</f>
        <v>-41.8</v>
      </c>
      <c r="AH42" s="1454"/>
      <c r="AI42" s="1463">
        <f>ROUND(IF(AD42=0,0,AG42/ABS(AD42)),3)</f>
        <v>-0.14199999999999999</v>
      </c>
    </row>
    <row r="43" spans="1:36" ht="14.25" customHeight="1">
      <c r="A43" s="2484" t="s">
        <v>1044</v>
      </c>
      <c r="B43" s="1363">
        <v>0</v>
      </c>
      <c r="C43" s="1997"/>
      <c r="D43" s="1363">
        <v>0</v>
      </c>
      <c r="E43" s="1997"/>
      <c r="F43" s="1363">
        <v>0</v>
      </c>
      <c r="G43" s="1997"/>
      <c r="H43" s="1363">
        <v>0</v>
      </c>
      <c r="I43" s="2605"/>
      <c r="J43" s="1363">
        <v>0</v>
      </c>
      <c r="K43" s="2605"/>
      <c r="L43" s="1363">
        <v>0</v>
      </c>
      <c r="M43" s="2605"/>
      <c r="N43" s="1363">
        <f t="shared" si="1"/>
        <v>0</v>
      </c>
      <c r="O43" s="2605"/>
      <c r="P43" s="1788"/>
      <c r="Q43" s="2605"/>
      <c r="R43" s="1788"/>
      <c r="S43" s="2605"/>
      <c r="T43" s="1788"/>
      <c r="U43" s="2605"/>
      <c r="V43" s="1788"/>
      <c r="W43" s="2605"/>
      <c r="X43" s="1788"/>
      <c r="Y43" s="2693"/>
      <c r="Z43" s="1457"/>
      <c r="AA43" s="1788">
        <v>0</v>
      </c>
      <c r="AB43" s="2157"/>
      <c r="AC43" s="1979"/>
      <c r="AD43" s="1788">
        <v>0.1</v>
      </c>
      <c r="AE43" s="2691"/>
      <c r="AF43" s="2692"/>
      <c r="AG43" s="2687">
        <f>ROUND(SUM(AA43-AD43),1)</f>
        <v>-0.1</v>
      </c>
      <c r="AH43" s="1454"/>
      <c r="AI43" s="1463">
        <f>ROUND(IF(AD43=0,0,AG43/ABS(AD43)),3)</f>
        <v>-1</v>
      </c>
    </row>
    <row r="44" spans="1:36" ht="14.25" customHeight="1">
      <c r="A44" s="2484" t="s">
        <v>1045</v>
      </c>
      <c r="B44" s="1363">
        <v>0</v>
      </c>
      <c r="C44" s="1997"/>
      <c r="D44" s="1363">
        <v>0</v>
      </c>
      <c r="E44" s="1997"/>
      <c r="F44" s="1363">
        <v>0</v>
      </c>
      <c r="G44" s="1997"/>
      <c r="H44" s="1363">
        <v>0</v>
      </c>
      <c r="I44" s="2605"/>
      <c r="J44" s="1363">
        <v>0</v>
      </c>
      <c r="K44" s="2605"/>
      <c r="L44" s="1363">
        <v>0</v>
      </c>
      <c r="M44" s="2605"/>
      <c r="N44" s="1363">
        <f t="shared" si="1"/>
        <v>0</v>
      </c>
      <c r="O44" s="2605"/>
      <c r="P44" s="1788"/>
      <c r="Q44" s="2605"/>
      <c r="R44" s="1788"/>
      <c r="S44" s="2605"/>
      <c r="T44" s="1788"/>
      <c r="U44" s="2605"/>
      <c r="V44" s="1788"/>
      <c r="W44" s="2605"/>
      <c r="X44" s="1788"/>
      <c r="Y44" s="2686"/>
      <c r="Z44" s="1457"/>
      <c r="AA44" s="1788">
        <v>0</v>
      </c>
      <c r="AB44" s="1978"/>
      <c r="AC44" s="1979"/>
      <c r="AD44" s="1788">
        <v>0</v>
      </c>
      <c r="AE44" s="2691"/>
      <c r="AF44" s="2692"/>
      <c r="AG44" s="2687">
        <f>ROUND(SUM(AA44-AD44),1)</f>
        <v>0</v>
      </c>
      <c r="AH44" s="1454"/>
      <c r="AI44" s="1424">
        <f>ROUND(IF(AD44=0,0,AG44/ABS(AD44)),3)</f>
        <v>0</v>
      </c>
    </row>
    <row r="45" spans="1:36" s="2700" customFormat="1" ht="15.5">
      <c r="A45" s="2472" t="s">
        <v>1080</v>
      </c>
      <c r="B45" s="2041">
        <f>ROUND(SUM(B30:B44),1)</f>
        <v>47.3</v>
      </c>
      <c r="C45" s="2694"/>
      <c r="D45" s="2041">
        <f>ROUND(SUM(D30:D44),1)</f>
        <v>13.8</v>
      </c>
      <c r="E45" s="2694"/>
      <c r="F45" s="2041">
        <f>ROUND(SUM(F30:F44),1)</f>
        <v>42.7</v>
      </c>
      <c r="G45" s="2694"/>
      <c r="H45" s="2041">
        <f>ROUND(SUM(H30:H44),1)</f>
        <v>45.9</v>
      </c>
      <c r="I45" s="2695"/>
      <c r="J45" s="2032">
        <f>ROUND(SUM(J30:J44),1)</f>
        <v>46.2</v>
      </c>
      <c r="K45" s="2695"/>
      <c r="L45" s="2032">
        <f>ROUND(SUM(L30:L44),1)</f>
        <v>36.200000000000003</v>
      </c>
      <c r="M45" s="2695"/>
      <c r="N45" s="2032">
        <f>ROUND(SUM(N30:N44),1)</f>
        <v>20.9</v>
      </c>
      <c r="O45" s="2695"/>
      <c r="P45" s="2032">
        <f>ROUND(SUM(P30:P44),1)</f>
        <v>0</v>
      </c>
      <c r="Q45" s="2695"/>
      <c r="R45" s="2032">
        <f>ROUND(SUM(R30:R44),1)</f>
        <v>0</v>
      </c>
      <c r="S45" s="2695"/>
      <c r="T45" s="2032">
        <f>ROUND(SUM(T30:T44),1)</f>
        <v>0</v>
      </c>
      <c r="U45" s="2695"/>
      <c r="V45" s="2016">
        <f>ROUND(SUM(V30:V44),1)</f>
        <v>0</v>
      </c>
      <c r="W45" s="2695"/>
      <c r="X45" s="2016">
        <f>ROUND(SUM(X30:X44),1)</f>
        <v>0</v>
      </c>
      <c r="Y45" s="2696"/>
      <c r="Z45" s="2695"/>
      <c r="AA45" s="2016">
        <f>ROUND(SUM(AA30:AA44),1)</f>
        <v>253</v>
      </c>
      <c r="AB45" s="2696"/>
      <c r="AC45" s="2695"/>
      <c r="AD45" s="2016">
        <f>ROUND(SUM(AD30:AD44),1)</f>
        <v>297.2</v>
      </c>
      <c r="AE45" s="2697"/>
      <c r="AF45" s="2698"/>
      <c r="AG45" s="2032">
        <f>ROUND(SUM(AG30:AG44),1)</f>
        <v>-44.2</v>
      </c>
      <c r="AH45" s="2656"/>
      <c r="AI45" s="2699">
        <f>ROUND(IF(AD45=0,0,AG45/ABS(AD45)),3)</f>
        <v>-0.14899999999999999</v>
      </c>
      <c r="AJ45" s="2652"/>
    </row>
    <row r="46" spans="1:36" s="2700" customFormat="1" ht="14.25" customHeight="1">
      <c r="A46" s="2472"/>
      <c r="B46" s="1442"/>
      <c r="C46" s="2694"/>
      <c r="D46" s="1442"/>
      <c r="E46" s="2694"/>
      <c r="F46" s="1442"/>
      <c r="G46" s="2694"/>
      <c r="H46" s="1442"/>
      <c r="I46" s="2695"/>
      <c r="J46" s="1442"/>
      <c r="K46" s="2695"/>
      <c r="L46" s="1442"/>
      <c r="M46" s="2695"/>
      <c r="N46" s="1442"/>
      <c r="O46" s="2695"/>
      <c r="P46" s="1442"/>
      <c r="Q46" s="2695"/>
      <c r="R46" s="1442"/>
      <c r="S46" s="2695"/>
      <c r="T46" s="1442"/>
      <c r="U46" s="2695"/>
      <c r="V46" s="1460"/>
      <c r="W46" s="2695"/>
      <c r="X46" s="1460"/>
      <c r="Y46" s="2701"/>
      <c r="Z46" s="2695"/>
      <c r="AA46" s="1460"/>
      <c r="AB46" s="2701"/>
      <c r="AC46" s="2695"/>
      <c r="AD46" s="1460"/>
      <c r="AE46" s="2697"/>
      <c r="AF46" s="2698"/>
      <c r="AG46" s="2702"/>
      <c r="AH46" s="2656"/>
      <c r="AI46" s="2680"/>
      <c r="AJ46" s="2652"/>
    </row>
    <row r="47" spans="1:36" ht="15.5">
      <c r="A47" s="2703" t="s">
        <v>927</v>
      </c>
      <c r="B47" s="1363">
        <v>0</v>
      </c>
      <c r="C47" s="2704"/>
      <c r="D47" s="1363">
        <v>0</v>
      </c>
      <c r="E47" s="2704"/>
      <c r="F47" s="1363">
        <v>0</v>
      </c>
      <c r="G47" s="1997"/>
      <c r="H47" s="1788">
        <v>0</v>
      </c>
      <c r="I47" s="1977"/>
      <c r="J47" s="1788">
        <v>0</v>
      </c>
      <c r="K47" s="1977"/>
      <c r="L47" s="1363">
        <v>24.4</v>
      </c>
      <c r="M47" s="1977"/>
      <c r="N47" s="1363">
        <f>$AA47-$B47-$D47-$F47-$H47-$J47-$L47</f>
        <v>0</v>
      </c>
      <c r="O47" s="1977"/>
      <c r="P47" s="1788"/>
      <c r="Q47" s="1977"/>
      <c r="R47" s="1788"/>
      <c r="S47" s="1977"/>
      <c r="T47" s="1788"/>
      <c r="U47" s="1977"/>
      <c r="V47" s="1788"/>
      <c r="W47" s="1977"/>
      <c r="X47" s="1788"/>
      <c r="Y47" s="2705"/>
      <c r="Z47" s="1977"/>
      <c r="AA47" s="2706">
        <v>24.4</v>
      </c>
      <c r="AB47" s="2705"/>
      <c r="AC47" s="1977"/>
      <c r="AD47" s="2706">
        <v>36.799999999999997</v>
      </c>
      <c r="AE47" s="2691"/>
      <c r="AF47" s="2692"/>
      <c r="AG47" s="2707">
        <f>ROUND(SUM(AA47-AD47),1)</f>
        <v>-12.4</v>
      </c>
      <c r="AH47" s="1454"/>
      <c r="AI47" s="1425">
        <f>ROUND(IF(AD47=0,0,AG47/ABS(AD47)),3)</f>
        <v>-0.33700000000000002</v>
      </c>
    </row>
    <row r="48" spans="1:36" ht="12" customHeight="1">
      <c r="A48" s="1457"/>
      <c r="B48" s="2708"/>
      <c r="C48" s="1997"/>
      <c r="D48" s="2708"/>
      <c r="E48" s="1997"/>
      <c r="F48" s="2708"/>
      <c r="G48" s="1997"/>
      <c r="H48" s="2708"/>
      <c r="I48" s="1977"/>
      <c r="J48" s="2709"/>
      <c r="K48" s="1977"/>
      <c r="L48" s="2709"/>
      <c r="M48" s="1977"/>
      <c r="N48" s="2709"/>
      <c r="O48" s="1977"/>
      <c r="P48" s="2709"/>
      <c r="Q48" s="1977"/>
      <c r="R48" s="2709"/>
      <c r="S48" s="1977"/>
      <c r="T48" s="2709"/>
      <c r="U48" s="1977"/>
      <c r="V48" s="2709"/>
      <c r="W48" s="1977"/>
      <c r="X48" s="2709"/>
      <c r="Y48" s="2705"/>
      <c r="Z48" s="1977"/>
      <c r="AA48" s="1997"/>
      <c r="AB48" s="2705"/>
      <c r="AC48" s="1977"/>
      <c r="AD48" s="1997"/>
      <c r="AE48" s="2691"/>
      <c r="AF48" s="2692"/>
      <c r="AG48" s="2687"/>
      <c r="AH48" s="1454"/>
      <c r="AI48" s="1457"/>
    </row>
    <row r="49" spans="1:36" ht="14.25" customHeight="1">
      <c r="A49" s="2472" t="s">
        <v>187</v>
      </c>
      <c r="B49" s="2710">
        <f>B26+B45+B47</f>
        <v>1531.8999999999999</v>
      </c>
      <c r="C49" s="2711"/>
      <c r="D49" s="2710">
        <f>ROUND(SUM(D26+D45+D47),1)</f>
        <v>1531.4</v>
      </c>
      <c r="E49" s="2712"/>
      <c r="F49" s="2710">
        <f>ROUND(SUM(F26+F45+F47),1)</f>
        <v>2836.9</v>
      </c>
      <c r="G49" s="2712"/>
      <c r="H49" s="2710">
        <f>ROUND(SUM(H26+H45+H47),1)</f>
        <v>5744.1</v>
      </c>
      <c r="I49" s="2713"/>
      <c r="J49" s="2714">
        <f>ROUND(SUM(J26+J45+J47),1)</f>
        <v>2000.5</v>
      </c>
      <c r="K49" s="2713"/>
      <c r="L49" s="2714">
        <f>ROUND(SUM(L26+L45+L47),1)</f>
        <v>3475.6</v>
      </c>
      <c r="M49" s="2713"/>
      <c r="N49" s="2714">
        <f>ROUND(SUM(N26+N45+N47),1)</f>
        <v>1902.6</v>
      </c>
      <c r="O49" s="2713"/>
      <c r="P49" s="2714">
        <f>ROUND(SUM(P26+P45+P47),1)</f>
        <v>0</v>
      </c>
      <c r="Q49" s="2713"/>
      <c r="R49" s="2714">
        <f>ROUND(SUM(R26+R45+R47),1)</f>
        <v>0</v>
      </c>
      <c r="S49" s="2713"/>
      <c r="T49" s="2714">
        <f>ROUND(SUM(T26+T45+T47),1)</f>
        <v>0</v>
      </c>
      <c r="U49" s="2713"/>
      <c r="V49" s="2714">
        <f>ROUND(SUM(V26+V45+V47),1)</f>
        <v>0</v>
      </c>
      <c r="W49" s="2713"/>
      <c r="X49" s="2714">
        <f>ROUND(SUM(X26+X45+X47),1)</f>
        <v>0</v>
      </c>
      <c r="Y49" s="2696"/>
      <c r="Z49" s="2695"/>
      <c r="AA49" s="2714">
        <f>ROUND(SUM(AA26+AA45+AA47),1)</f>
        <v>19023</v>
      </c>
      <c r="AB49" s="2696"/>
      <c r="AC49" s="2695"/>
      <c r="AD49" s="2714">
        <f>ROUND(SUM(AD26+AD45+AD47),1)</f>
        <v>20559.2</v>
      </c>
      <c r="AE49" s="2697"/>
      <c r="AF49" s="2698"/>
      <c r="AG49" s="2714">
        <f>ROUND(SUM(AG26+AG45+AG47),1)</f>
        <v>-1536.2</v>
      </c>
      <c r="AH49" s="2656"/>
      <c r="AI49" s="1455">
        <f>ROUND(IF(AD49=0,0,AG49/ABS(AD49)),3)</f>
        <v>-7.4999999999999997E-2</v>
      </c>
      <c r="AJ49" s="2715"/>
    </row>
    <row r="50" spans="1:36" ht="19.5" customHeight="1">
      <c r="A50" s="1457"/>
      <c r="B50" s="1997"/>
      <c r="C50" s="1997"/>
      <c r="D50" s="1997"/>
      <c r="E50" s="1997"/>
      <c r="F50" s="1997"/>
      <c r="G50" s="1997"/>
      <c r="H50" s="1997"/>
      <c r="I50" s="1977"/>
      <c r="J50" s="1977"/>
      <c r="K50" s="1977"/>
      <c r="L50" s="1977"/>
      <c r="M50" s="1977"/>
      <c r="N50" s="1977"/>
      <c r="O50" s="1977"/>
      <c r="P50" s="1977"/>
      <c r="Q50" s="1977"/>
      <c r="R50" s="1977"/>
      <c r="S50" s="1977"/>
      <c r="T50" s="1977"/>
      <c r="U50" s="1977"/>
      <c r="V50" s="1977"/>
      <c r="W50" s="1977"/>
      <c r="X50" s="1977"/>
      <c r="Y50" s="2705"/>
      <c r="Z50" s="1977"/>
      <c r="AA50" s="1997"/>
      <c r="AB50" s="2705"/>
      <c r="AC50" s="1977"/>
      <c r="AD50" s="1997"/>
      <c r="AE50" s="2691"/>
      <c r="AF50" s="2692"/>
      <c r="AG50" s="2687"/>
      <c r="AH50" s="1454"/>
      <c r="AI50" s="1457"/>
    </row>
    <row r="51" spans="1:36" ht="15.5">
      <c r="A51" s="2716" t="s">
        <v>188</v>
      </c>
      <c r="B51" s="1997"/>
      <c r="C51" s="1997"/>
      <c r="D51" s="1997"/>
      <c r="E51" s="1997"/>
      <c r="F51" s="1997"/>
      <c r="G51" s="1997"/>
      <c r="H51" s="1997"/>
      <c r="I51" s="1977"/>
      <c r="J51" s="1977"/>
      <c r="K51" s="1977"/>
      <c r="L51" s="1977"/>
      <c r="M51" s="1977"/>
      <c r="N51" s="1977"/>
      <c r="O51" s="1977"/>
      <c r="P51" s="1977"/>
      <c r="Q51" s="1977"/>
      <c r="R51" s="1977"/>
      <c r="S51" s="1977"/>
      <c r="T51" s="1977"/>
      <c r="U51" s="1977"/>
      <c r="V51" s="1977"/>
      <c r="W51" s="1977"/>
      <c r="X51" s="1977"/>
      <c r="Y51" s="2705"/>
      <c r="Z51" s="1977"/>
      <c r="AA51" s="1997"/>
      <c r="AB51" s="2705"/>
      <c r="AC51" s="1977"/>
      <c r="AD51" s="1997"/>
      <c r="AE51" s="2691"/>
      <c r="AF51" s="2692"/>
      <c r="AG51" s="2687"/>
      <c r="AH51" s="1454"/>
      <c r="AI51" s="1457"/>
    </row>
    <row r="52" spans="1:36" ht="14.25" customHeight="1">
      <c r="A52" s="2717" t="s">
        <v>152</v>
      </c>
      <c r="B52" s="1997"/>
      <c r="C52" s="1997"/>
      <c r="D52" s="1997"/>
      <c r="E52" s="1997"/>
      <c r="F52" s="1997"/>
      <c r="G52" s="1997"/>
      <c r="H52" s="1997"/>
      <c r="I52" s="1977"/>
      <c r="J52" s="1977"/>
      <c r="K52" s="1977"/>
      <c r="L52" s="1977"/>
      <c r="M52" s="1977"/>
      <c r="N52" s="1977"/>
      <c r="O52" s="1977"/>
      <c r="P52" s="1977"/>
      <c r="Q52" s="1977"/>
      <c r="R52" s="1977"/>
      <c r="S52" s="1977"/>
      <c r="T52" s="1977"/>
      <c r="U52" s="1977"/>
      <c r="V52" s="1977"/>
      <c r="W52" s="1977"/>
      <c r="X52" s="1977"/>
      <c r="Y52" s="2705"/>
      <c r="Z52" s="1977"/>
      <c r="AA52" s="1997"/>
      <c r="AB52" s="2705"/>
      <c r="AC52" s="1977"/>
      <c r="AD52" s="1997"/>
      <c r="AE52" s="2691"/>
      <c r="AF52" s="2692"/>
      <c r="AG52" s="2687"/>
      <c r="AH52" s="1454"/>
      <c r="AI52" s="1457"/>
    </row>
    <row r="53" spans="1:36" ht="14.25" customHeight="1">
      <c r="A53" s="2717" t="s">
        <v>38</v>
      </c>
      <c r="B53" s="1363">
        <v>0</v>
      </c>
      <c r="C53" s="1997"/>
      <c r="D53" s="1363">
        <v>0.9</v>
      </c>
      <c r="E53" s="2718"/>
      <c r="F53" s="1363">
        <v>12.1</v>
      </c>
      <c r="G53" s="1997"/>
      <c r="H53" s="1363">
        <v>5.8000000000000025</v>
      </c>
      <c r="I53" s="1977"/>
      <c r="J53" s="1363">
        <v>2.8999999999999986</v>
      </c>
      <c r="K53" s="1977"/>
      <c r="L53" s="1363">
        <v>7.9</v>
      </c>
      <c r="M53" s="1977"/>
      <c r="N53" s="1363">
        <f>$AA53-$B53-$D53-$F53-$H53-$J53-$L53</f>
        <v>0</v>
      </c>
      <c r="O53" s="1977"/>
      <c r="P53" s="1788"/>
      <c r="Q53" s="1977"/>
      <c r="R53" s="1788"/>
      <c r="S53" s="1977"/>
      <c r="T53" s="1788"/>
      <c r="U53" s="1977"/>
      <c r="V53" s="1788"/>
      <c r="W53" s="1977"/>
      <c r="X53" s="1788"/>
      <c r="Y53" s="2705"/>
      <c r="Z53" s="1977"/>
      <c r="AA53" s="1983">
        <v>29.6</v>
      </c>
      <c r="AB53" s="2705"/>
      <c r="AC53" s="1977"/>
      <c r="AD53" s="1983">
        <v>23.1</v>
      </c>
      <c r="AE53" s="2691"/>
      <c r="AF53" s="2692"/>
      <c r="AG53" s="2687">
        <f>ROUND(SUM(AA53-AD53),1)</f>
        <v>6.5</v>
      </c>
      <c r="AH53" s="1454"/>
      <c r="AI53" s="1463">
        <f>ROUND(IF(AD53=0,0,AG53/ABS(AD53)),3)</f>
        <v>0.28100000000000003</v>
      </c>
    </row>
    <row r="54" spans="1:36" ht="14.25" customHeight="1">
      <c r="A54" s="2719" t="s">
        <v>1383</v>
      </c>
      <c r="B54" s="1363" t="s">
        <v>15</v>
      </c>
      <c r="C54" s="1997"/>
      <c r="D54" s="1363"/>
      <c r="E54" s="1997"/>
      <c r="F54" s="1363"/>
      <c r="G54" s="1997"/>
      <c r="H54" s="1363"/>
      <c r="I54" s="1977"/>
      <c r="J54" s="1363"/>
      <c r="K54" s="1977"/>
      <c r="L54" s="1363"/>
      <c r="M54" s="1977"/>
      <c r="N54" s="1363"/>
      <c r="O54" s="1977"/>
      <c r="P54" s="1788"/>
      <c r="Q54" s="1977"/>
      <c r="R54" s="1788"/>
      <c r="S54" s="1977"/>
      <c r="T54" s="1788"/>
      <c r="U54" s="1977"/>
      <c r="V54" s="1788"/>
      <c r="W54" s="1977"/>
      <c r="X54" s="1788"/>
      <c r="Y54" s="2705"/>
      <c r="Z54" s="1977"/>
      <c r="AA54" s="1997"/>
      <c r="AB54" s="2705"/>
      <c r="AC54" s="1977"/>
      <c r="AD54" s="1997"/>
      <c r="AE54" s="2691"/>
      <c r="AF54" s="2692"/>
      <c r="AG54" s="2687"/>
      <c r="AH54" s="1454"/>
      <c r="AI54" s="1457"/>
    </row>
    <row r="55" spans="1:36" ht="14.25" customHeight="1">
      <c r="A55" s="2720" t="s">
        <v>1144</v>
      </c>
      <c r="B55" s="1363">
        <v>36.5</v>
      </c>
      <c r="C55" s="1997"/>
      <c r="D55" s="1363">
        <v>23.5</v>
      </c>
      <c r="E55" s="1997"/>
      <c r="F55" s="1363">
        <v>28.900000000000006</v>
      </c>
      <c r="G55" s="1997"/>
      <c r="H55" s="1363">
        <v>10.699999999999989</v>
      </c>
      <c r="I55" s="1977"/>
      <c r="J55" s="1363">
        <v>337.59999999999997</v>
      </c>
      <c r="K55" s="1977"/>
      <c r="L55" s="1363">
        <v>841.8</v>
      </c>
      <c r="M55" s="1977"/>
      <c r="N55" s="1363">
        <f>$AA55-$B55-$D55-$F55-$H55-$J55-$L55</f>
        <v>39.799999999999955</v>
      </c>
      <c r="O55" s="1977"/>
      <c r="P55" s="1788"/>
      <c r="Q55" s="1977"/>
      <c r="R55" s="1788"/>
      <c r="S55" s="1977"/>
      <c r="T55" s="1788"/>
      <c r="U55" s="1977"/>
      <c r="V55" s="1788"/>
      <c r="W55" s="1977"/>
      <c r="X55" s="1788"/>
      <c r="Y55" s="2705"/>
      <c r="Z55" s="1977"/>
      <c r="AA55" s="2721">
        <v>1318.8</v>
      </c>
      <c r="AB55" s="2705"/>
      <c r="AC55" s="1977"/>
      <c r="AD55" s="2721">
        <v>1025.0999999999999</v>
      </c>
      <c r="AE55" s="2691"/>
      <c r="AF55" s="2692"/>
      <c r="AG55" s="2722">
        <f>ROUND(SUM(AA55-AD55),1)</f>
        <v>293.7</v>
      </c>
      <c r="AH55" s="1454"/>
      <c r="AI55" s="1425">
        <f>ROUND(IF(AD55=0,0,AG55/ABS(AD55)),3)</f>
        <v>0.28699999999999998</v>
      </c>
    </row>
    <row r="56" spans="1:36" ht="15.5">
      <c r="A56" s="1457"/>
      <c r="B56" s="2708"/>
      <c r="C56" s="1997"/>
      <c r="D56" s="2708"/>
      <c r="E56" s="1997"/>
      <c r="F56" s="2708"/>
      <c r="G56" s="1997"/>
      <c r="H56" s="2708"/>
      <c r="I56" s="1977"/>
      <c r="J56" s="2709"/>
      <c r="K56" s="1977"/>
      <c r="L56" s="2709"/>
      <c r="M56" s="1977"/>
      <c r="N56" s="2709"/>
      <c r="O56" s="1977"/>
      <c r="P56" s="2709"/>
      <c r="Q56" s="1977"/>
      <c r="R56" s="2709"/>
      <c r="S56" s="1977"/>
      <c r="T56" s="2709"/>
      <c r="U56" s="1977"/>
      <c r="V56" s="2709"/>
      <c r="W56" s="1977"/>
      <c r="X56" s="2709"/>
      <c r="Y56" s="2705"/>
      <c r="Z56" s="1977"/>
      <c r="AA56" s="1997"/>
      <c r="AB56" s="2705"/>
      <c r="AC56" s="1977"/>
      <c r="AD56" s="1997"/>
      <c r="AE56" s="2691"/>
      <c r="AF56" s="2692"/>
      <c r="AG56" s="2687"/>
      <c r="AH56" s="1454"/>
      <c r="AI56" s="1457"/>
    </row>
    <row r="57" spans="1:36" ht="14.25" customHeight="1">
      <c r="A57" s="2716" t="s">
        <v>189</v>
      </c>
      <c r="B57" s="2710">
        <f>ROUND(SUM(B53:B55),1)</f>
        <v>36.5</v>
      </c>
      <c r="C57" s="2711"/>
      <c r="D57" s="2710">
        <f>ROUND(SUM(D53:D55),1)</f>
        <v>24.4</v>
      </c>
      <c r="E57" s="2712"/>
      <c r="F57" s="2710">
        <f>ROUND(SUM(F53:F55),1)</f>
        <v>41</v>
      </c>
      <c r="G57" s="2712"/>
      <c r="H57" s="2710">
        <f>ROUND(SUM(H53:H55),1)</f>
        <v>16.5</v>
      </c>
      <c r="I57" s="2713"/>
      <c r="J57" s="2714">
        <f>ROUND(SUM(J53:J55),1)</f>
        <v>340.5</v>
      </c>
      <c r="K57" s="2713"/>
      <c r="L57" s="2714">
        <f>ROUND(SUM(L53:L55),1)</f>
        <v>849.7</v>
      </c>
      <c r="M57" s="2713"/>
      <c r="N57" s="2714">
        <f>ROUND(SUM(N53:N55),1)</f>
        <v>39.799999999999997</v>
      </c>
      <c r="O57" s="2713"/>
      <c r="P57" s="2714">
        <f>ROUND(SUM(P53:P55),1)</f>
        <v>0</v>
      </c>
      <c r="Q57" s="2713"/>
      <c r="R57" s="2714">
        <f>ROUND(SUM(R53:R55),1)</f>
        <v>0</v>
      </c>
      <c r="S57" s="2713"/>
      <c r="T57" s="2714">
        <f>ROUND(SUM(T53:T55),1)</f>
        <v>0</v>
      </c>
      <c r="U57" s="2713"/>
      <c r="V57" s="2714">
        <f>ROUND(SUM(V53:V55),1)</f>
        <v>0</v>
      </c>
      <c r="W57" s="2713"/>
      <c r="X57" s="2714">
        <f>ROUND(SUM(X53:X55),1)</f>
        <v>0</v>
      </c>
      <c r="Y57" s="2696"/>
      <c r="Z57" s="2695"/>
      <c r="AA57" s="2714">
        <f>ROUND(SUM(AA53:AA55),1)</f>
        <v>1348.4</v>
      </c>
      <c r="AB57" s="2696"/>
      <c r="AC57" s="2695"/>
      <c r="AD57" s="2714">
        <f>ROUND(SUM(AD53:AD55),1)</f>
        <v>1048.2</v>
      </c>
      <c r="AE57" s="2697"/>
      <c r="AF57" s="2698"/>
      <c r="AG57" s="2714">
        <f>ROUND(SUM(AG53:AG55),1)</f>
        <v>300.2</v>
      </c>
      <c r="AH57" s="2656"/>
      <c r="AI57" s="1455">
        <f>ROUND(IF(AD57=0,0,AG57/ABS(AD57)),3)</f>
        <v>0.28599999999999998</v>
      </c>
      <c r="AJ57" s="2723"/>
    </row>
    <row r="58" spans="1:36" ht="12" customHeight="1">
      <c r="A58" s="1457"/>
      <c r="B58" s="1997"/>
      <c r="C58" s="1997"/>
      <c r="D58" s="2724"/>
      <c r="E58" s="2724"/>
      <c r="F58" s="2724"/>
      <c r="G58" s="2724"/>
      <c r="H58" s="2724"/>
      <c r="I58" s="2725"/>
      <c r="J58" s="2725"/>
      <c r="K58" s="2725"/>
      <c r="L58" s="2725"/>
      <c r="M58" s="2725"/>
      <c r="N58" s="2725"/>
      <c r="O58" s="2725"/>
      <c r="P58" s="2725"/>
      <c r="Q58" s="2725"/>
      <c r="R58" s="2725"/>
      <c r="S58" s="2725"/>
      <c r="T58" s="2725"/>
      <c r="U58" s="2725"/>
      <c r="V58" s="2725"/>
      <c r="W58" s="2725"/>
      <c r="X58" s="2725"/>
      <c r="Y58" s="2705"/>
      <c r="Z58" s="1977"/>
      <c r="AA58" s="1997"/>
      <c r="AB58" s="2705"/>
      <c r="AC58" s="1977"/>
      <c r="AD58" s="1997"/>
      <c r="AE58" s="2691"/>
      <c r="AF58" s="2692"/>
      <c r="AG58" s="2687"/>
      <c r="AH58" s="1454"/>
      <c r="AI58" s="1457"/>
    </row>
    <row r="59" spans="1:36" ht="14.25" customHeight="1">
      <c r="A59" s="2716" t="s">
        <v>44</v>
      </c>
      <c r="B59" s="1997"/>
      <c r="C59" s="1997"/>
      <c r="D59" s="2724"/>
      <c r="E59" s="2724"/>
      <c r="F59" s="2724"/>
      <c r="G59" s="2724"/>
      <c r="H59" s="2724"/>
      <c r="I59" s="2725"/>
      <c r="J59" s="2725"/>
      <c r="K59" s="2725"/>
      <c r="L59" s="2725"/>
      <c r="M59" s="2725"/>
      <c r="N59" s="2725"/>
      <c r="O59" s="2725"/>
      <c r="P59" s="2725"/>
      <c r="Q59" s="2725"/>
      <c r="R59" s="2725"/>
      <c r="S59" s="2725"/>
      <c r="T59" s="2725"/>
      <c r="U59" s="2725"/>
      <c r="V59" s="2725"/>
      <c r="W59" s="2725"/>
      <c r="X59" s="2725"/>
      <c r="Y59" s="2705"/>
      <c r="Z59" s="1977"/>
      <c r="AA59" s="1997"/>
      <c r="AB59" s="2705"/>
      <c r="AC59" s="1977"/>
      <c r="AD59" s="1997"/>
      <c r="AE59" s="2691"/>
      <c r="AF59" s="2692"/>
      <c r="AG59" s="2687"/>
      <c r="AH59" s="1454"/>
      <c r="AI59" s="1457"/>
    </row>
    <row r="60" spans="1:36" ht="14.25" customHeight="1">
      <c r="A60" s="2472" t="s">
        <v>190</v>
      </c>
      <c r="B60" s="2710">
        <f>ROUND(SUM(B49-B57),1)</f>
        <v>1495.4</v>
      </c>
      <c r="C60" s="2711"/>
      <c r="D60" s="2710">
        <f>ROUND(SUM(D49-D57),1)</f>
        <v>1507</v>
      </c>
      <c r="E60" s="2726"/>
      <c r="F60" s="2710">
        <f>ROUND(SUM(F49-F57),1)</f>
        <v>2795.9</v>
      </c>
      <c r="G60" s="2712"/>
      <c r="H60" s="2710">
        <f>ROUND(SUM(H49-H57),1)</f>
        <v>5727.6</v>
      </c>
      <c r="I60" s="2713"/>
      <c r="J60" s="2714">
        <f>ROUND(SUM(J49-J57),1)</f>
        <v>1660</v>
      </c>
      <c r="K60" s="2713"/>
      <c r="L60" s="2714">
        <f>ROUND(SUM(L49-L57),1)</f>
        <v>2625.9</v>
      </c>
      <c r="M60" s="2713"/>
      <c r="N60" s="2714">
        <f>ROUND(SUM(N49-N57),1)</f>
        <v>1862.8</v>
      </c>
      <c r="O60" s="2713"/>
      <c r="P60" s="2714">
        <f>ROUND(SUM(P49-P57),1)</f>
        <v>0</v>
      </c>
      <c r="Q60" s="2713"/>
      <c r="R60" s="2714">
        <f>ROUND(SUM(R49-R57),1)</f>
        <v>0</v>
      </c>
      <c r="S60" s="2713"/>
      <c r="T60" s="2714">
        <f>ROUND(SUM(T49-T57),1)</f>
        <v>0</v>
      </c>
      <c r="U60" s="2713"/>
      <c r="V60" s="2714">
        <f>ROUND(SUM(V49-V57),1)</f>
        <v>0</v>
      </c>
      <c r="W60" s="2713"/>
      <c r="X60" s="2714">
        <f>ROUND(SUM(X49-X57),1)</f>
        <v>0</v>
      </c>
      <c r="Y60" s="2696"/>
      <c r="Z60" s="2695"/>
      <c r="AA60" s="2714">
        <f>ROUND(SUM(AA49-AA57),1)</f>
        <v>17674.599999999999</v>
      </c>
      <c r="AB60" s="2696"/>
      <c r="AC60" s="2695"/>
      <c r="AD60" s="2714">
        <f>ROUND(SUM(AD49-AD57),1)</f>
        <v>19511</v>
      </c>
      <c r="AE60" s="2697"/>
      <c r="AF60" s="2698"/>
      <c r="AG60" s="2714">
        <f>ROUND(SUM(+AG49-AG57),1)</f>
        <v>-1836.4</v>
      </c>
      <c r="AH60" s="2656"/>
      <c r="AI60" s="1455">
        <f>ROUND(IF(AD60=0,0,AG60/ABS(AD60)),3)</f>
        <v>-9.4E-2</v>
      </c>
      <c r="AJ60" s="2715"/>
    </row>
    <row r="61" spans="1:36" ht="19.5" customHeight="1">
      <c r="A61" s="1457"/>
      <c r="B61" s="2704"/>
      <c r="C61" s="1997"/>
      <c r="D61" s="1997"/>
      <c r="E61" s="1997"/>
      <c r="F61" s="1997"/>
      <c r="G61" s="1997"/>
      <c r="H61" s="1997"/>
      <c r="I61" s="1977"/>
      <c r="J61" s="1977"/>
      <c r="K61" s="1977"/>
      <c r="L61" s="1977"/>
      <c r="M61" s="1977"/>
      <c r="N61" s="1977"/>
      <c r="O61" s="1977"/>
      <c r="P61" s="1977"/>
      <c r="Q61" s="1977"/>
      <c r="R61" s="1977"/>
      <c r="S61" s="1977"/>
      <c r="T61" s="1977"/>
      <c r="U61" s="1977"/>
      <c r="V61" s="1977"/>
      <c r="W61" s="1977"/>
      <c r="X61" s="1977"/>
      <c r="Y61" s="2705"/>
      <c r="Z61" s="1977"/>
      <c r="AA61" s="2704"/>
      <c r="AB61" s="2705"/>
      <c r="AC61" s="1977"/>
      <c r="AD61" s="2704"/>
      <c r="AE61" s="2691"/>
      <c r="AF61" s="2692"/>
      <c r="AG61" s="2687"/>
      <c r="AH61" s="1454"/>
      <c r="AI61" s="1457"/>
    </row>
    <row r="62" spans="1:36" ht="19.5" customHeight="1">
      <c r="A62" s="1457"/>
      <c r="B62" s="1997"/>
      <c r="C62" s="1997"/>
      <c r="D62" s="1997"/>
      <c r="E62" s="1997"/>
      <c r="F62" s="1997"/>
      <c r="G62" s="1997"/>
      <c r="H62" s="1997"/>
      <c r="I62" s="1977"/>
      <c r="J62" s="1977"/>
      <c r="K62" s="1977"/>
      <c r="L62" s="1977"/>
      <c r="M62" s="1977"/>
      <c r="N62" s="1977"/>
      <c r="O62" s="1977"/>
      <c r="P62" s="1977"/>
      <c r="Q62" s="1977"/>
      <c r="R62" s="1977"/>
      <c r="S62" s="1977"/>
      <c r="T62" s="1977"/>
      <c r="U62" s="1977"/>
      <c r="V62" s="1977"/>
      <c r="W62" s="1977"/>
      <c r="X62" s="1977"/>
      <c r="Y62" s="2705"/>
      <c r="Z62" s="1977"/>
      <c r="AA62" s="1997"/>
      <c r="AB62" s="2705"/>
      <c r="AC62" s="1977"/>
      <c r="AD62" s="1997"/>
      <c r="AE62" s="2691"/>
      <c r="AF62" s="2692"/>
      <c r="AG62" s="2687"/>
      <c r="AH62" s="1454"/>
      <c r="AI62" s="1457"/>
    </row>
    <row r="63" spans="1:36" ht="14.25" customHeight="1">
      <c r="A63" s="2716" t="s">
        <v>46</v>
      </c>
      <c r="B63" s="1997"/>
      <c r="C63" s="1997"/>
      <c r="D63" s="1997"/>
      <c r="E63" s="1997"/>
      <c r="F63" s="1997"/>
      <c r="G63" s="1997"/>
      <c r="H63" s="1997"/>
      <c r="I63" s="1977"/>
      <c r="J63" s="1977"/>
      <c r="K63" s="1977"/>
      <c r="L63" s="1977"/>
      <c r="M63" s="1977"/>
      <c r="N63" s="1977"/>
      <c r="O63" s="1977"/>
      <c r="P63" s="1977"/>
      <c r="Q63" s="1977"/>
      <c r="R63" s="1977"/>
      <c r="S63" s="1977"/>
      <c r="T63" s="1977"/>
      <c r="U63" s="1977"/>
      <c r="V63" s="1977"/>
      <c r="W63" s="1977"/>
      <c r="X63" s="1977"/>
      <c r="Y63" s="2705"/>
      <c r="Z63" s="1977"/>
      <c r="AA63" s="1997"/>
      <c r="AB63" s="2705"/>
      <c r="AC63" s="1977"/>
      <c r="AD63" s="1997"/>
      <c r="AE63" s="2691"/>
      <c r="AF63" s="2692"/>
      <c r="AG63" s="2687"/>
      <c r="AH63" s="1454"/>
      <c r="AI63" s="1457"/>
    </row>
    <row r="64" spans="1:36" ht="14.25" customHeight="1">
      <c r="A64" s="2717" t="s">
        <v>181</v>
      </c>
      <c r="B64" s="1363">
        <v>280.2</v>
      </c>
      <c r="C64" s="1997"/>
      <c r="D64" s="1363">
        <v>130.30000000000001</v>
      </c>
      <c r="E64" s="1997"/>
      <c r="F64" s="1363">
        <v>39</v>
      </c>
      <c r="G64" s="1997"/>
      <c r="H64" s="1363">
        <v>311.20000000000005</v>
      </c>
      <c r="I64" s="1977"/>
      <c r="J64" s="1363">
        <v>49.400000000000034</v>
      </c>
      <c r="K64" s="1977"/>
      <c r="L64" s="1363">
        <v>247.39999999999992</v>
      </c>
      <c r="M64" s="1977"/>
      <c r="N64" s="1363">
        <f>$AA64-$B64-$D64-$F64-$H64-$J64-$L64</f>
        <v>319.10000000000008</v>
      </c>
      <c r="O64" s="1977"/>
      <c r="P64" s="1788"/>
      <c r="Q64" s="1977"/>
      <c r="R64" s="1788"/>
      <c r="S64" s="1977"/>
      <c r="T64" s="1788"/>
      <c r="U64" s="1977"/>
      <c r="V64" s="1788"/>
      <c r="W64" s="1977"/>
      <c r="X64" s="1788"/>
      <c r="Y64" s="2705"/>
      <c r="Z64" s="1977"/>
      <c r="AA64" s="1983">
        <v>1376.6000000000001</v>
      </c>
      <c r="AB64" s="2705"/>
      <c r="AC64" s="1977"/>
      <c r="AD64" s="1983">
        <v>1569.5</v>
      </c>
      <c r="AE64" s="2691"/>
      <c r="AF64" s="2692"/>
      <c r="AG64" s="2687">
        <f>ROUND(SUM(AA64-AD64),1)</f>
        <v>-192.9</v>
      </c>
      <c r="AH64" s="1454"/>
      <c r="AI64" s="1424">
        <f>ROUND(IF(AD64=0,0,AG64/ABS(AD64)),3)</f>
        <v>-0.123</v>
      </c>
    </row>
    <row r="65" spans="1:38" ht="14.25" customHeight="1">
      <c r="A65" s="2717" t="s">
        <v>191</v>
      </c>
      <c r="B65" s="1363">
        <v>-1446.1</v>
      </c>
      <c r="C65" s="1997"/>
      <c r="D65" s="1363">
        <v>-1508.1</v>
      </c>
      <c r="E65" s="1997"/>
      <c r="F65" s="1363">
        <v>-2861.7999999999997</v>
      </c>
      <c r="G65" s="1997"/>
      <c r="H65" s="1363">
        <v>-4931</v>
      </c>
      <c r="I65" s="1977"/>
      <c r="J65" s="1363">
        <v>-1167.8999999999996</v>
      </c>
      <c r="K65" s="1977"/>
      <c r="L65" s="1363">
        <v>-2680.5</v>
      </c>
      <c r="M65" s="1977"/>
      <c r="N65" s="1363">
        <f>$AA65-$B65-$D65-$F65-$H65-$J65-$L65</f>
        <v>-1218.8999999999996</v>
      </c>
      <c r="O65" s="1977"/>
      <c r="P65" s="1788"/>
      <c r="Q65" s="1977"/>
      <c r="R65" s="1788"/>
      <c r="S65" s="1977"/>
      <c r="T65" s="1788"/>
      <c r="U65" s="1977"/>
      <c r="V65" s="1788"/>
      <c r="W65" s="1977"/>
      <c r="X65" s="1788"/>
      <c r="Y65" s="2705"/>
      <c r="Z65" s="1977"/>
      <c r="AA65" s="2727">
        <v>-15814.3</v>
      </c>
      <c r="AB65" s="2705"/>
      <c r="AC65" s="1977"/>
      <c r="AD65" s="2727">
        <v>-20540.900000000001</v>
      </c>
      <c r="AE65" s="2691"/>
      <c r="AF65" s="2692"/>
      <c r="AG65" s="2722">
        <f>ROUND(SUM(-(AA65-AD65)),1)</f>
        <v>-4726.6000000000004</v>
      </c>
      <c r="AH65" s="1454"/>
      <c r="AI65" s="1425">
        <f>ROUND(IF(AD65=0,0,AG65/ABS(AD65)),3)</f>
        <v>-0.23</v>
      </c>
    </row>
    <row r="66" spans="1:38" ht="15.5">
      <c r="A66" s="1457"/>
      <c r="B66" s="2709"/>
      <c r="C66" s="1977"/>
      <c r="D66" s="2728"/>
      <c r="E66" s="1977"/>
      <c r="F66" s="2728"/>
      <c r="G66" s="1977"/>
      <c r="H66" s="2728"/>
      <c r="I66" s="1977"/>
      <c r="J66" s="2728"/>
      <c r="K66" s="1977"/>
      <c r="L66" s="2728"/>
      <c r="M66" s="1977"/>
      <c r="N66" s="2728"/>
      <c r="O66" s="1977"/>
      <c r="P66" s="2728"/>
      <c r="Q66" s="1977"/>
      <c r="R66" s="2728"/>
      <c r="S66" s="1977"/>
      <c r="T66" s="2728"/>
      <c r="U66" s="1977"/>
      <c r="V66" s="2728"/>
      <c r="W66" s="1977"/>
      <c r="X66" s="2728"/>
      <c r="Y66" s="2705"/>
      <c r="Z66" s="1977"/>
      <c r="AA66" s="1997"/>
      <c r="AB66" s="2705"/>
      <c r="AC66" s="1977"/>
      <c r="AD66" s="1997"/>
      <c r="AE66" s="2691"/>
      <c r="AF66" s="2692"/>
      <c r="AG66" s="2687"/>
      <c r="AH66" s="1454"/>
      <c r="AI66" s="1457"/>
    </row>
    <row r="67" spans="1:38" ht="14.25" customHeight="1">
      <c r="A67" s="2716" t="s">
        <v>947</v>
      </c>
      <c r="B67" s="1982">
        <f>ROUND(SUM(B64:B65),1)</f>
        <v>-1165.9000000000001</v>
      </c>
      <c r="C67" s="2695"/>
      <c r="D67" s="1982">
        <f>ROUND(SUM(D64:D65),1)</f>
        <v>-1377.8</v>
      </c>
      <c r="E67" s="2713"/>
      <c r="F67" s="1982">
        <f>ROUND(SUM(F64:F65),1)</f>
        <v>-2822.8</v>
      </c>
      <c r="G67" s="2713"/>
      <c r="H67" s="1982">
        <f>ROUND(SUM(H64:H65),1)</f>
        <v>-4619.8</v>
      </c>
      <c r="I67" s="2713"/>
      <c r="J67" s="1982">
        <f>ROUND(SUM(J64:J65),1)</f>
        <v>-1118.5</v>
      </c>
      <c r="K67" s="2713"/>
      <c r="L67" s="1982">
        <f>ROUND(SUM(L64:L65),1)</f>
        <v>-2433.1</v>
      </c>
      <c r="M67" s="2713"/>
      <c r="N67" s="1982">
        <f>ROUND(SUM(N64:N65),1)</f>
        <v>-899.8</v>
      </c>
      <c r="O67" s="2713"/>
      <c r="P67" s="1982">
        <f>ROUND(SUM(P64:P65),1)</f>
        <v>0</v>
      </c>
      <c r="Q67" s="2713"/>
      <c r="R67" s="1982">
        <f>ROUND(SUM(R64:R65),1)</f>
        <v>0</v>
      </c>
      <c r="S67" s="2713"/>
      <c r="T67" s="1982">
        <f>ROUND(SUM(T64:T65),1)</f>
        <v>0</v>
      </c>
      <c r="U67" s="2713"/>
      <c r="V67" s="1982">
        <f>ROUND(SUM(V64:V65),1)</f>
        <v>0</v>
      </c>
      <c r="W67" s="2713"/>
      <c r="X67" s="1982">
        <f>ROUND(SUM(X64:X65),1)</f>
        <v>0</v>
      </c>
      <c r="Y67" s="2696"/>
      <c r="Z67" s="2695"/>
      <c r="AA67" s="1982">
        <f>ROUND(SUM(AA64:AA65),1)</f>
        <v>-14437.7</v>
      </c>
      <c r="AB67" s="2696"/>
      <c r="AC67" s="2695"/>
      <c r="AD67" s="1982">
        <f>ROUND(SUM(AD64:AD65),1)</f>
        <v>-18971.400000000001</v>
      </c>
      <c r="AE67" s="2697"/>
      <c r="AF67" s="2698"/>
      <c r="AG67" s="1982">
        <f>ROUND(SUM(AG64-AG65),1)</f>
        <v>4533.7</v>
      </c>
      <c r="AH67" s="2656"/>
      <c r="AI67" s="1455">
        <f>ROUND(IF(AD67=0,0,AG67/ABS(AD67)),3)</f>
        <v>0.23899999999999999</v>
      </c>
      <c r="AJ67" s="2715"/>
    </row>
    <row r="68" spans="1:38" ht="19.5" customHeight="1">
      <c r="A68" s="1457"/>
      <c r="B68" s="1977"/>
      <c r="C68" s="1977"/>
      <c r="D68" s="2729"/>
      <c r="E68" s="1977"/>
      <c r="F68" s="2729"/>
      <c r="G68" s="1977"/>
      <c r="H68" s="2729"/>
      <c r="I68" s="1977"/>
      <c r="J68" s="2729"/>
      <c r="K68" s="1977"/>
      <c r="L68" s="2729"/>
      <c r="M68" s="1977"/>
      <c r="N68" s="2729"/>
      <c r="O68" s="1977"/>
      <c r="P68" s="2729"/>
      <c r="Q68" s="1977"/>
      <c r="R68" s="2729"/>
      <c r="S68" s="1977"/>
      <c r="T68" s="2729"/>
      <c r="U68" s="1977"/>
      <c r="V68" s="2729"/>
      <c r="W68" s="1977"/>
      <c r="X68" s="2729"/>
      <c r="Y68" s="2705"/>
      <c r="Z68" s="1977"/>
      <c r="AA68" s="1997"/>
      <c r="AB68" s="2705"/>
      <c r="AC68" s="1977"/>
      <c r="AD68" s="1997"/>
      <c r="AE68" s="2691"/>
      <c r="AF68" s="2692"/>
      <c r="AG68" s="2687"/>
      <c r="AH68" s="1454"/>
      <c r="AI68" s="1457"/>
    </row>
    <row r="69" spans="1:38" ht="19.5" customHeight="1">
      <c r="A69" s="1457"/>
      <c r="B69" s="1977"/>
      <c r="C69" s="1977"/>
      <c r="D69" s="2729"/>
      <c r="E69" s="1977"/>
      <c r="F69" s="2729"/>
      <c r="G69" s="1977"/>
      <c r="H69" s="2729"/>
      <c r="I69" s="1977"/>
      <c r="J69" s="2729"/>
      <c r="K69" s="1977"/>
      <c r="L69" s="2729"/>
      <c r="M69" s="1977"/>
      <c r="N69" s="2729"/>
      <c r="O69" s="1977"/>
      <c r="P69" s="2729"/>
      <c r="Q69" s="1977"/>
      <c r="R69" s="2729"/>
      <c r="S69" s="1977"/>
      <c r="T69" s="2729"/>
      <c r="U69" s="1977"/>
      <c r="V69" s="2729"/>
      <c r="W69" s="1977"/>
      <c r="X69" s="2729"/>
      <c r="Y69" s="2705"/>
      <c r="Z69" s="1977"/>
      <c r="AA69" s="1997"/>
      <c r="AB69" s="2705"/>
      <c r="AC69" s="1977"/>
      <c r="AD69" s="1997"/>
      <c r="AE69" s="2691"/>
      <c r="AF69" s="2692"/>
      <c r="AG69" s="2687"/>
      <c r="AH69" s="1454"/>
      <c r="AI69" s="1457"/>
    </row>
    <row r="70" spans="1:38" ht="14.25" customHeight="1">
      <c r="A70" s="2472" t="s">
        <v>192</v>
      </c>
      <c r="B70" s="1977"/>
      <c r="C70" s="1977"/>
      <c r="D70" s="2725"/>
      <c r="E70" s="1977"/>
      <c r="F70" s="2725"/>
      <c r="G70" s="1977"/>
      <c r="H70" s="2725"/>
      <c r="I70" s="1977"/>
      <c r="J70" s="2725"/>
      <c r="K70" s="1977"/>
      <c r="L70" s="2725"/>
      <c r="M70" s="1977"/>
      <c r="N70" s="2725"/>
      <c r="O70" s="1977"/>
      <c r="P70" s="2725"/>
      <c r="Q70" s="1977"/>
      <c r="R70" s="2725"/>
      <c r="S70" s="1977"/>
      <c r="T70" s="2725"/>
      <c r="U70" s="1977"/>
      <c r="V70" s="2725"/>
      <c r="W70" s="1977"/>
      <c r="X70" s="2725"/>
      <c r="Y70" s="2705"/>
      <c r="Z70" s="1977"/>
      <c r="AA70" s="1997"/>
      <c r="AB70" s="2705"/>
      <c r="AC70" s="1977"/>
      <c r="AD70" s="1997"/>
      <c r="AE70" s="2691"/>
      <c r="AF70" s="2692"/>
      <c r="AG70" s="2687"/>
      <c r="AH70" s="1454"/>
      <c r="AI70" s="1457"/>
    </row>
    <row r="71" spans="1:38" ht="14.25" customHeight="1">
      <c r="A71" s="2472" t="s">
        <v>193</v>
      </c>
      <c r="B71" s="1977"/>
      <c r="C71" s="1977"/>
      <c r="D71" s="2725"/>
      <c r="E71" s="1977"/>
      <c r="F71" s="2725"/>
      <c r="G71" s="1977"/>
      <c r="H71" s="2725"/>
      <c r="I71" s="1977"/>
      <c r="J71" s="2725"/>
      <c r="K71" s="1977"/>
      <c r="L71" s="2725"/>
      <c r="M71" s="1977"/>
      <c r="N71" s="2725"/>
      <c r="O71" s="1977"/>
      <c r="P71" s="2725"/>
      <c r="Q71" s="1977"/>
      <c r="R71" s="2725"/>
      <c r="S71" s="1977"/>
      <c r="T71" s="2725"/>
      <c r="U71" s="1977"/>
      <c r="V71" s="2725"/>
      <c r="W71" s="1977"/>
      <c r="X71" s="2725"/>
      <c r="Y71" s="2705"/>
      <c r="Z71" s="1977"/>
      <c r="AA71" s="1997"/>
      <c r="AB71" s="2705"/>
      <c r="AC71" s="1977"/>
      <c r="AD71" s="1997"/>
      <c r="AE71" s="2691"/>
      <c r="AF71" s="2692"/>
      <c r="AG71" s="2687"/>
      <c r="AH71" s="1454"/>
      <c r="AI71" s="1457"/>
    </row>
    <row r="72" spans="1:38" ht="14.25" customHeight="1">
      <c r="A72" s="2472" t="s">
        <v>1222</v>
      </c>
      <c r="B72" s="2714">
        <f>ROUND(SUM(+B60+B67),1)</f>
        <v>329.5</v>
      </c>
      <c r="C72" s="2695"/>
      <c r="D72" s="2714">
        <f>ROUND(SUM(+D60+D67),1)</f>
        <v>129.19999999999999</v>
      </c>
      <c r="E72" s="2695"/>
      <c r="F72" s="2714">
        <f>ROUND(SUM(+F60+F67),1)</f>
        <v>-26.9</v>
      </c>
      <c r="G72" s="2695"/>
      <c r="H72" s="2714">
        <f>ROUND(SUM(+H60+H67),1)</f>
        <v>1107.8</v>
      </c>
      <c r="I72" s="2695"/>
      <c r="J72" s="2714">
        <f>ROUND(SUM(+J60+J67),1)</f>
        <v>541.5</v>
      </c>
      <c r="K72" s="2695"/>
      <c r="L72" s="2714">
        <f>ROUND(SUM(+L60+L67),1)</f>
        <v>192.8</v>
      </c>
      <c r="M72" s="2695"/>
      <c r="N72" s="2714">
        <f>ROUND(SUM(+N60+N67),1)</f>
        <v>963</v>
      </c>
      <c r="O72" s="2695"/>
      <c r="P72" s="2714">
        <f>ROUND(SUM(+P60+P67),1)</f>
        <v>0</v>
      </c>
      <c r="Q72" s="2695"/>
      <c r="R72" s="2714">
        <f>ROUND(SUM(+R60+R67),1)</f>
        <v>0</v>
      </c>
      <c r="S72" s="2695"/>
      <c r="T72" s="2714">
        <f>ROUND(SUM(+T60+T67),1)</f>
        <v>0</v>
      </c>
      <c r="U72" s="2695"/>
      <c r="V72" s="2714">
        <f>ROUND(SUM(+V60+V67),1)</f>
        <v>0</v>
      </c>
      <c r="W72" s="2695"/>
      <c r="X72" s="2714">
        <f>ROUND(SUM(+X60+X67),1)</f>
        <v>0</v>
      </c>
      <c r="Y72" s="2696"/>
      <c r="Z72" s="2695"/>
      <c r="AA72" s="2714">
        <f>ROUND(SUM(+AA60+AA67),1)</f>
        <v>3236.9</v>
      </c>
      <c r="AB72" s="2696"/>
      <c r="AC72" s="2695"/>
      <c r="AD72" s="2714">
        <f>ROUND(SUM(+AD60+AD67),1)</f>
        <v>539.6</v>
      </c>
      <c r="AE72" s="2697"/>
      <c r="AF72" s="2698"/>
      <c r="AG72" s="2714">
        <f>ROUND(SUM(+AG60+AG67),1)</f>
        <v>2697.3</v>
      </c>
      <c r="AH72" s="2656"/>
      <c r="AI72" s="1464">
        <f>ROUND(IF(AD72=0,0,AG72/ABS(AD72)),3)</f>
        <v>4.9989999999999997</v>
      </c>
      <c r="AJ72" s="2715"/>
    </row>
    <row r="73" spans="1:38" ht="15.5">
      <c r="A73" s="1457"/>
      <c r="B73" s="1979"/>
      <c r="C73" s="1979"/>
      <c r="D73" s="2730"/>
      <c r="E73" s="1979"/>
      <c r="F73" s="2731"/>
      <c r="G73" s="1979"/>
      <c r="H73" s="2731"/>
      <c r="I73" s="1979"/>
      <c r="J73" s="2731"/>
      <c r="K73" s="1979"/>
      <c r="L73" s="2732"/>
      <c r="M73" s="1979"/>
      <c r="N73" s="2731"/>
      <c r="O73" s="1979"/>
      <c r="P73" s="2731"/>
      <c r="Q73" s="1979"/>
      <c r="R73" s="2731"/>
      <c r="S73" s="1979"/>
      <c r="T73" s="2731"/>
      <c r="U73" s="1979"/>
      <c r="V73" s="2731"/>
      <c r="W73" s="1979"/>
      <c r="X73" s="2731"/>
      <c r="Y73" s="2682"/>
      <c r="Z73" s="1979"/>
      <c r="AA73" s="1979" t="s">
        <v>15</v>
      </c>
      <c r="AB73" s="2682"/>
      <c r="AC73" s="1979"/>
      <c r="AD73" s="3472"/>
      <c r="AE73" s="2669"/>
      <c r="AF73" s="2683"/>
      <c r="AG73" s="2684"/>
      <c r="AH73" s="1454"/>
      <c r="AI73" s="1457"/>
    </row>
    <row r="74" spans="1:38" ht="15.5">
      <c r="A74" s="1457"/>
      <c r="B74" s="1457"/>
      <c r="C74" s="1457"/>
      <c r="D74" s="2668"/>
      <c r="E74" s="1457"/>
      <c r="F74" s="2684"/>
      <c r="G74" s="1457"/>
      <c r="H74" s="1454"/>
      <c r="I74" s="1457"/>
      <c r="J74" s="1454"/>
      <c r="K74" s="1457"/>
      <c r="L74" s="2733"/>
      <c r="M74" s="1457"/>
      <c r="N74" s="1454"/>
      <c r="O74" s="1457"/>
      <c r="P74" s="1454"/>
      <c r="Q74" s="1457"/>
      <c r="R74" s="1454"/>
      <c r="S74" s="1457"/>
      <c r="T74" s="2684"/>
      <c r="U74" s="1979"/>
      <c r="V74" s="2684"/>
      <c r="W74" s="1979"/>
      <c r="X74" s="2684"/>
      <c r="Y74" s="2681"/>
      <c r="Z74" s="1457"/>
      <c r="AA74" s="1979"/>
      <c r="AB74" s="2682"/>
      <c r="AC74" s="1979"/>
      <c r="AD74" s="2605"/>
      <c r="AE74" s="2672"/>
      <c r="AF74" s="2683"/>
      <c r="AG74" s="2684"/>
      <c r="AH74" s="1454"/>
      <c r="AI74" s="1457"/>
    </row>
    <row r="75" spans="1:38" ht="19.5" customHeight="1" thickBot="1">
      <c r="A75" s="2472" t="s">
        <v>141</v>
      </c>
      <c r="B75" s="2734">
        <f>ROUND(SUM(B12+B72),1)</f>
        <v>392.9</v>
      </c>
      <c r="C75" s="2452"/>
      <c r="D75" s="2734">
        <f>ROUND(SUM(D12+D72),1)</f>
        <v>522.1</v>
      </c>
      <c r="E75" s="2452"/>
      <c r="F75" s="2734">
        <f>ROUND(SUM(F12+F72),1)</f>
        <v>495.2</v>
      </c>
      <c r="G75" s="2452"/>
      <c r="H75" s="2734">
        <f>ROUND(SUM(H12+H72),1)</f>
        <v>1603</v>
      </c>
      <c r="I75" s="2452"/>
      <c r="J75" s="2734">
        <f>ROUND(SUM(J12+J72),1)</f>
        <v>2144.5</v>
      </c>
      <c r="K75" s="2452"/>
      <c r="L75" s="2734">
        <f>ROUND(SUM(L12+L72),1)</f>
        <v>2337.3000000000002</v>
      </c>
      <c r="M75" s="2452"/>
      <c r="N75" s="2734">
        <f>ROUND(SUM(N12+N72),1)</f>
        <v>3300.3</v>
      </c>
      <c r="O75" s="2452"/>
      <c r="P75" s="2734">
        <f>ROUND(SUM(P12+P72),1)</f>
        <v>0</v>
      </c>
      <c r="Q75" s="2452"/>
      <c r="R75" s="2734">
        <f>ROUND(SUM(R12+R72),1)</f>
        <v>0</v>
      </c>
      <c r="S75" s="2452"/>
      <c r="T75" s="2734">
        <f>ROUND(SUM(T12+T72),1)</f>
        <v>0</v>
      </c>
      <c r="U75" s="2452"/>
      <c r="V75" s="2734">
        <f>ROUND(SUM(V12+V72),1)</f>
        <v>0</v>
      </c>
      <c r="W75" s="2452"/>
      <c r="X75" s="2734">
        <f>ROUND(SUM(X12+X72),1)</f>
        <v>0</v>
      </c>
      <c r="Y75" s="2676"/>
      <c r="Z75" s="2452"/>
      <c r="AA75" s="2734">
        <f>ROUND(SUM(AA12+AA72),1)</f>
        <v>3300.3</v>
      </c>
      <c r="AB75" s="2676"/>
      <c r="AC75" s="2452"/>
      <c r="AD75" s="2734">
        <f>ROUND(SUM(AD12+AD72),1)</f>
        <v>604.4</v>
      </c>
      <c r="AE75" s="2735"/>
      <c r="AF75" s="2678"/>
      <c r="AG75" s="2734">
        <f>ROUND(SUM(+AG12+AG72),1)</f>
        <v>2695.9</v>
      </c>
      <c r="AH75" s="2656"/>
      <c r="AI75" s="2323">
        <f>ROUND(IF(AD75=0,0,AG75/ABS(AD75)),3)</f>
        <v>4.46</v>
      </c>
      <c r="AJ75" s="2736"/>
      <c r="AK75" s="2700"/>
      <c r="AL75" s="2700"/>
    </row>
    <row r="76" spans="1:38" ht="14.25" customHeight="1" thickTop="1">
      <c r="A76" s="2700"/>
      <c r="B76" s="2737"/>
      <c r="C76" s="2738"/>
      <c r="D76" s="2737"/>
      <c r="F76" s="2737"/>
      <c r="H76" s="2739"/>
      <c r="J76" s="2739"/>
      <c r="L76" s="2739"/>
      <c r="N76" s="2739"/>
      <c r="P76" s="2739"/>
      <c r="R76" s="2739"/>
      <c r="T76" s="2739"/>
      <c r="U76" s="2646"/>
      <c r="V76" s="2739"/>
      <c r="W76" s="2646"/>
      <c r="X76" s="2739"/>
      <c r="Y76" s="2737"/>
      <c r="Z76" s="2738"/>
      <c r="AA76" s="2737"/>
      <c r="AB76" s="2737"/>
      <c r="AC76" s="2738"/>
      <c r="AD76" s="2737"/>
      <c r="AE76" s="2740"/>
      <c r="AF76" s="2737"/>
      <c r="AG76" s="2737"/>
      <c r="AH76" s="2741"/>
      <c r="AI76" s="2742"/>
    </row>
    <row r="77" spans="1:38">
      <c r="L77" s="2646"/>
      <c r="T77" s="2743"/>
      <c r="U77" s="2743"/>
      <c r="V77" s="2743"/>
      <c r="W77" s="2743"/>
      <c r="X77" s="2743"/>
      <c r="AD77" s="2744"/>
    </row>
    <row r="78" spans="1:38" ht="12" customHeight="1">
      <c r="A78" s="1457"/>
      <c r="L78" s="2646"/>
      <c r="R78" s="2745"/>
      <c r="T78" s="2738"/>
      <c r="V78" s="2738"/>
      <c r="X78" s="2738"/>
    </row>
    <row r="79" spans="1:38">
      <c r="B79" s="2744"/>
      <c r="L79" s="2646"/>
      <c r="R79" s="2745"/>
      <c r="T79" s="2738"/>
      <c r="V79" s="2738"/>
      <c r="X79" s="2738"/>
    </row>
    <row r="80" spans="1:38">
      <c r="A80" s="2746"/>
      <c r="L80" s="2646"/>
    </row>
    <row r="81" spans="1:35">
      <c r="A81" s="2747"/>
      <c r="B81" s="2744"/>
      <c r="L81" s="2646"/>
      <c r="R81" s="2748"/>
    </row>
    <row r="82" spans="1:35">
      <c r="A82" s="2749"/>
      <c r="B82" s="2744"/>
      <c r="L82" s="2646"/>
    </row>
    <row r="83" spans="1:35">
      <c r="A83" s="2750"/>
      <c r="L83" s="2646"/>
      <c r="AI83" s="2738"/>
    </row>
    <row r="84" spans="1:35">
      <c r="L84" s="2646"/>
    </row>
    <row r="85" spans="1:35">
      <c r="L85" s="2646"/>
    </row>
    <row r="86" spans="1:35">
      <c r="L86" s="2646"/>
    </row>
    <row r="87" spans="1:35">
      <c r="L87" s="2646"/>
    </row>
    <row r="88" spans="1:35">
      <c r="L88" s="2646"/>
    </row>
    <row r="89" spans="1:35">
      <c r="L89" s="2646"/>
    </row>
    <row r="90" spans="1:35">
      <c r="L90" s="2646"/>
    </row>
    <row r="91" spans="1:35">
      <c r="L91" s="2646"/>
    </row>
    <row r="92" spans="1:35">
      <c r="L92" s="2646"/>
    </row>
    <row r="93" spans="1:35">
      <c r="L93" s="2646"/>
    </row>
    <row r="94" spans="1:35">
      <c r="L94" s="2646"/>
    </row>
    <row r="95" spans="1:35">
      <c r="L95" s="2646"/>
    </row>
    <row r="96" spans="1:35">
      <c r="L96" s="2646"/>
    </row>
    <row r="97" spans="12:12">
      <c r="L97" s="2646"/>
    </row>
    <row r="98" spans="12:12">
      <c r="L98" s="2646"/>
    </row>
    <row r="99" spans="12:12">
      <c r="L99" s="2646"/>
    </row>
    <row r="100" spans="12:12">
      <c r="L100" s="2646"/>
    </row>
    <row r="101" spans="12:12">
      <c r="L101" s="2646"/>
    </row>
    <row r="102" spans="12:12">
      <c r="L102" s="2646"/>
    </row>
    <row r="103" spans="12:12">
      <c r="L103" s="2646"/>
    </row>
    <row r="104" spans="12:12">
      <c r="L104" s="2646"/>
    </row>
    <row r="105" spans="12:12">
      <c r="L105" s="2646"/>
    </row>
    <row r="106" spans="12:12">
      <c r="L106" s="2646"/>
    </row>
    <row r="107" spans="12:12">
      <c r="L107" s="2646"/>
    </row>
    <row r="108" spans="12:12">
      <c r="L108" s="2646"/>
    </row>
    <row r="109" spans="12:12">
      <c r="L109" s="2646"/>
    </row>
    <row r="110" spans="12:12">
      <c r="L110" s="2646"/>
    </row>
    <row r="111" spans="12:12">
      <c r="L111" s="2646"/>
    </row>
    <row r="112" spans="12:12">
      <c r="L112" s="2646"/>
    </row>
    <row r="113" spans="12:12">
      <c r="L113" s="2646"/>
    </row>
    <row r="114" spans="12:12">
      <c r="L114" s="2646"/>
    </row>
    <row r="115" spans="12:12">
      <c r="L115" s="2646"/>
    </row>
    <row r="116" spans="12:12">
      <c r="L116" s="2646"/>
    </row>
    <row r="117" spans="12:12">
      <c r="L117" s="2646"/>
    </row>
    <row r="118" spans="12:12">
      <c r="L118" s="2646"/>
    </row>
    <row r="119" spans="12:12">
      <c r="L119" s="2646"/>
    </row>
    <row r="120" spans="12:12">
      <c r="L120" s="2646"/>
    </row>
    <row r="121" spans="12:12">
      <c r="L121" s="2646"/>
    </row>
    <row r="122" spans="12:12">
      <c r="L122" s="2646"/>
    </row>
    <row r="123" spans="12:12">
      <c r="L123" s="2646"/>
    </row>
    <row r="124" spans="12:12">
      <c r="L124" s="2646"/>
    </row>
    <row r="125" spans="12:12">
      <c r="L125" s="2646"/>
    </row>
    <row r="126" spans="12:12">
      <c r="L126" s="2646"/>
    </row>
    <row r="127" spans="12:12">
      <c r="L127" s="2646"/>
    </row>
    <row r="128" spans="12:12">
      <c r="L128" s="2646"/>
    </row>
    <row r="129" spans="12:12">
      <c r="L129" s="2646"/>
    </row>
    <row r="130" spans="12:12">
      <c r="L130" s="2646"/>
    </row>
    <row r="131" spans="12:12">
      <c r="L131" s="2646"/>
    </row>
    <row r="132" spans="12:12">
      <c r="L132" s="2646"/>
    </row>
    <row r="133" spans="12:12">
      <c r="L133" s="2646"/>
    </row>
    <row r="134" spans="12:12">
      <c r="L134" s="2646"/>
    </row>
    <row r="135" spans="12:12">
      <c r="L135" s="2646"/>
    </row>
    <row r="136" spans="12:12">
      <c r="L136" s="2646"/>
    </row>
    <row r="137" spans="12:12">
      <c r="L137" s="2646"/>
    </row>
    <row r="138" spans="12:12">
      <c r="L138" s="2646"/>
    </row>
    <row r="139" spans="12:12">
      <c r="L139" s="2646"/>
    </row>
    <row r="140" spans="12:12">
      <c r="L140" s="2646"/>
    </row>
    <row r="141" spans="12:12">
      <c r="L141" s="2646"/>
    </row>
    <row r="142" spans="12:12">
      <c r="L142" s="2646"/>
    </row>
    <row r="143" spans="12:12">
      <c r="L143" s="2646"/>
    </row>
    <row r="144" spans="12:12">
      <c r="L144" s="2646"/>
    </row>
    <row r="145" spans="12:12">
      <c r="L145" s="2646"/>
    </row>
    <row r="146" spans="12:12">
      <c r="L146" s="2646"/>
    </row>
    <row r="147" spans="12:12">
      <c r="L147" s="2646"/>
    </row>
    <row r="148" spans="12:12">
      <c r="L148" s="2646"/>
    </row>
    <row r="149" spans="12:12">
      <c r="L149" s="2646"/>
    </row>
    <row r="150" spans="12:12">
      <c r="L150" s="2646"/>
    </row>
    <row r="151" spans="12:12">
      <c r="L151" s="2646"/>
    </row>
    <row r="152" spans="12:12">
      <c r="L152" s="2646"/>
    </row>
    <row r="153" spans="12:12">
      <c r="L153" s="2646"/>
    </row>
    <row r="154" spans="12:12">
      <c r="L154" s="2646"/>
    </row>
    <row r="155" spans="12:12">
      <c r="L155" s="2646"/>
    </row>
    <row r="156" spans="12:12">
      <c r="L156" s="2646"/>
    </row>
    <row r="157" spans="12:12">
      <c r="L157" s="2646"/>
    </row>
    <row r="158" spans="12:12">
      <c r="L158" s="2646"/>
    </row>
    <row r="159" spans="12:12">
      <c r="L159" s="2646"/>
    </row>
    <row r="160" spans="12:12">
      <c r="L160" s="2646"/>
    </row>
    <row r="161" spans="12:12">
      <c r="L161" s="2646"/>
    </row>
    <row r="162" spans="12:12">
      <c r="L162" s="2646"/>
    </row>
    <row r="163" spans="12:12">
      <c r="L163" s="2646"/>
    </row>
    <row r="164" spans="12:12">
      <c r="L164" s="2646"/>
    </row>
    <row r="165" spans="12:12">
      <c r="L165" s="2646"/>
    </row>
    <row r="166" spans="12:12">
      <c r="L166" s="2646"/>
    </row>
    <row r="167" spans="12:12">
      <c r="L167" s="2646"/>
    </row>
    <row r="168" spans="12:12">
      <c r="L168" s="2646"/>
    </row>
    <row r="169" spans="12:12">
      <c r="L169" s="2646"/>
    </row>
    <row r="170" spans="12:12">
      <c r="L170" s="2646"/>
    </row>
    <row r="171" spans="12:12">
      <c r="L171" s="2646"/>
    </row>
    <row r="172" spans="12:12">
      <c r="L172" s="2646"/>
    </row>
    <row r="173" spans="12:12">
      <c r="L173" s="2646"/>
    </row>
    <row r="174" spans="12:12">
      <c r="L174" s="2646"/>
    </row>
    <row r="175" spans="12:12">
      <c r="L175" s="2646"/>
    </row>
    <row r="176" spans="12:12">
      <c r="L176" s="2646"/>
    </row>
    <row r="177" spans="12:12">
      <c r="L177" s="2646"/>
    </row>
    <row r="178" spans="12:12">
      <c r="L178" s="2646"/>
    </row>
    <row r="179" spans="12:12">
      <c r="L179" s="2646"/>
    </row>
    <row r="180" spans="12:12">
      <c r="L180" s="2646"/>
    </row>
    <row r="181" spans="12:12">
      <c r="L181" s="2646"/>
    </row>
    <row r="182" spans="12:12">
      <c r="L182" s="2646"/>
    </row>
    <row r="183" spans="12:12">
      <c r="L183" s="2646"/>
    </row>
    <row r="184" spans="12:12">
      <c r="L184" s="2646"/>
    </row>
    <row r="185" spans="12:12">
      <c r="L185" s="2646"/>
    </row>
    <row r="186" spans="12:12">
      <c r="L186" s="2646"/>
    </row>
    <row r="187" spans="12:12">
      <c r="L187" s="2646"/>
    </row>
    <row r="188" spans="12:12">
      <c r="L188" s="2646"/>
    </row>
    <row r="189" spans="12:12">
      <c r="L189" s="2646"/>
    </row>
    <row r="190" spans="12:12">
      <c r="L190" s="2646"/>
    </row>
    <row r="191" spans="12:12">
      <c r="L191" s="2646"/>
    </row>
    <row r="192" spans="12:12">
      <c r="L192" s="2646"/>
    </row>
    <row r="193" spans="12:12">
      <c r="L193" s="2646"/>
    </row>
    <row r="194" spans="12:12">
      <c r="L194" s="2646"/>
    </row>
    <row r="195" spans="12:12">
      <c r="L195" s="2646"/>
    </row>
    <row r="196" spans="12:12">
      <c r="L196" s="2646"/>
    </row>
    <row r="197" spans="12:12">
      <c r="L197" s="2646"/>
    </row>
    <row r="198" spans="12:12">
      <c r="L198" s="2646"/>
    </row>
    <row r="199" spans="12:12">
      <c r="L199" s="2646"/>
    </row>
    <row r="200" spans="12:12">
      <c r="L200" s="2646"/>
    </row>
    <row r="201" spans="12:12">
      <c r="L201" s="2646"/>
    </row>
    <row r="202" spans="12:12">
      <c r="L202" s="2646"/>
    </row>
    <row r="203" spans="12:12">
      <c r="L203" s="2646"/>
    </row>
    <row r="204" spans="12:12">
      <c r="L204" s="2646"/>
    </row>
    <row r="205" spans="12:12">
      <c r="L205" s="2646"/>
    </row>
    <row r="206" spans="12:12">
      <c r="L206" s="2646"/>
    </row>
    <row r="207" spans="12:12">
      <c r="L207" s="2646"/>
    </row>
    <row r="208" spans="12:12">
      <c r="L208" s="2646"/>
    </row>
    <row r="209" spans="12:12">
      <c r="L209" s="2646"/>
    </row>
    <row r="210" spans="12:12">
      <c r="L210" s="2646"/>
    </row>
    <row r="211" spans="12:12">
      <c r="L211" s="2646"/>
    </row>
    <row r="212" spans="12:12">
      <c r="L212" s="2646"/>
    </row>
    <row r="213" spans="12:12">
      <c r="L213" s="2646"/>
    </row>
    <row r="214" spans="12:12">
      <c r="L214" s="2646"/>
    </row>
    <row r="215" spans="12:12">
      <c r="L215" s="2646"/>
    </row>
    <row r="216" spans="12:12">
      <c r="L216" s="2646"/>
    </row>
    <row r="217" spans="12:12">
      <c r="L217" s="2646"/>
    </row>
    <row r="218" spans="12:12">
      <c r="L218" s="2646"/>
    </row>
    <row r="219" spans="12:12">
      <c r="L219" s="2646"/>
    </row>
    <row r="220" spans="12:12">
      <c r="L220" s="2646"/>
    </row>
    <row r="221" spans="12:12">
      <c r="L221" s="2646"/>
    </row>
    <row r="222" spans="12:12">
      <c r="L222" s="2646"/>
    </row>
    <row r="223" spans="12:12">
      <c r="L223" s="2646"/>
    </row>
    <row r="224" spans="12:12">
      <c r="L224" s="2646"/>
    </row>
    <row r="225" spans="12:12">
      <c r="L225" s="2646"/>
    </row>
    <row r="226" spans="12:12">
      <c r="L226" s="2646"/>
    </row>
    <row r="227" spans="12:12">
      <c r="L227" s="2646"/>
    </row>
    <row r="228" spans="12:12">
      <c r="L228" s="2646"/>
    </row>
    <row r="229" spans="12:12">
      <c r="L229" s="2646"/>
    </row>
    <row r="230" spans="12:12">
      <c r="L230" s="2646"/>
    </row>
    <row r="231" spans="12:12">
      <c r="L231" s="2646"/>
    </row>
    <row r="232" spans="12:12">
      <c r="L232" s="2646"/>
    </row>
    <row r="233" spans="12:12">
      <c r="L233" s="2646"/>
    </row>
    <row r="234" spans="12:12">
      <c r="L234" s="2646"/>
    </row>
    <row r="235" spans="12:12">
      <c r="L235" s="2646"/>
    </row>
    <row r="236" spans="12:12">
      <c r="L236" s="2646"/>
    </row>
    <row r="237" spans="12:12">
      <c r="L237" s="2646"/>
    </row>
    <row r="238" spans="12:12">
      <c r="L238" s="2646"/>
    </row>
    <row r="239" spans="12:12">
      <c r="L239" s="2646"/>
    </row>
    <row r="240" spans="12:12">
      <c r="L240" s="2646"/>
    </row>
    <row r="241" spans="12:12">
      <c r="L241" s="2646"/>
    </row>
    <row r="242" spans="12:12">
      <c r="L242" s="2646"/>
    </row>
    <row r="243" spans="12:12">
      <c r="L243" s="2646"/>
    </row>
    <row r="244" spans="12:12">
      <c r="L244" s="2646"/>
    </row>
    <row r="245" spans="12:12">
      <c r="L245" s="2646"/>
    </row>
    <row r="246" spans="12:12">
      <c r="L246" s="2646"/>
    </row>
    <row r="247" spans="12:12">
      <c r="L247" s="2646"/>
    </row>
    <row r="248" spans="12:12">
      <c r="L248" s="2646"/>
    </row>
    <row r="249" spans="12:12">
      <c r="L249" s="2646"/>
    </row>
    <row r="250" spans="12:12">
      <c r="L250" s="2646"/>
    </row>
    <row r="251" spans="12:12">
      <c r="L251" s="2646"/>
    </row>
    <row r="252" spans="12:12">
      <c r="L252" s="2646"/>
    </row>
    <row r="253" spans="12:12">
      <c r="L253" s="2646"/>
    </row>
    <row r="254" spans="12:12">
      <c r="L254" s="2646"/>
    </row>
    <row r="255" spans="12:12">
      <c r="L255" s="2646"/>
    </row>
    <row r="256" spans="12:12">
      <c r="L256" s="2646"/>
    </row>
    <row r="257" spans="12:12">
      <c r="L257" s="2646"/>
    </row>
    <row r="258" spans="12:12">
      <c r="L258" s="2646"/>
    </row>
    <row r="259" spans="12:12">
      <c r="L259" s="2646"/>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69140625" defaultRowHeight="15.5"/>
  <cols>
    <col min="1" max="1" width="2.53515625" style="98" customWidth="1"/>
    <col min="2" max="2" width="15.69140625" style="98" customWidth="1"/>
    <col min="3" max="3" width="25.07421875" style="98" customWidth="1"/>
    <col min="4" max="4" width="2" style="98" customWidth="1"/>
    <col min="5" max="5" width="12.53515625" style="98" customWidth="1"/>
    <col min="6" max="6" width="1.69140625" style="98" customWidth="1"/>
    <col min="7" max="7" width="10.69140625" style="98" customWidth="1"/>
    <col min="8" max="8" width="1.69140625" style="98" customWidth="1"/>
    <col min="9" max="9" width="10.69140625" style="98" customWidth="1"/>
    <col min="10" max="10" width="1.69140625" style="98" customWidth="1"/>
    <col min="11" max="11" width="10" style="98" customWidth="1"/>
    <col min="12" max="12" width="1.07421875" style="98" customWidth="1"/>
    <col min="13" max="13" width="10.53515625" style="98" customWidth="1"/>
    <col min="14" max="14" width="1.69140625" style="98" customWidth="1"/>
    <col min="15" max="15" width="12.4609375" style="98" customWidth="1"/>
    <col min="16" max="16" width="1.69140625" style="98" customWidth="1"/>
    <col min="17" max="17" width="12.07421875" style="98" customWidth="1"/>
    <col min="18" max="18" width="1.69140625" style="98" customWidth="1"/>
    <col min="19" max="19" width="12.07421875" style="98" customWidth="1"/>
    <col min="20" max="20" width="1.69140625" style="98" customWidth="1"/>
    <col min="21" max="21" width="10.69140625" style="98" customWidth="1"/>
    <col min="22" max="22" width="1.69140625" style="98" customWidth="1"/>
    <col min="23" max="23" width="13.69140625" style="98" customWidth="1"/>
    <col min="24" max="24" width="1.69140625" style="98" customWidth="1"/>
    <col min="25" max="25" width="12.69140625" style="98" customWidth="1"/>
    <col min="26" max="26" width="1.69140625" style="98" customWidth="1"/>
    <col min="27" max="27" width="11.69140625" style="98" bestFit="1" customWidth="1"/>
    <col min="28" max="28" width="1.4609375" style="98" customWidth="1"/>
    <col min="29" max="29" width="11.07421875" style="98" customWidth="1"/>
    <col min="30" max="31" width="1.69140625" style="98" customWidth="1"/>
    <col min="32" max="32" width="12.69140625" style="98" customWidth="1"/>
    <col min="33" max="34" width="1.07421875" style="98" customWidth="1"/>
    <col min="35" max="35" width="12.69140625" style="1088" customWidth="1"/>
    <col min="36" max="37" width="1" style="98" customWidth="1"/>
    <col min="38" max="38" width="13.07421875" style="98" bestFit="1" customWidth="1"/>
    <col min="39" max="39" width="1.07421875" style="98" customWidth="1"/>
    <col min="40" max="40" width="12.07421875" style="98" customWidth="1"/>
    <col min="41" max="16384" width="8.69140625" style="98"/>
  </cols>
  <sheetData>
    <row r="1" spans="1:42">
      <c r="B1" s="642" t="s">
        <v>963</v>
      </c>
    </row>
    <row r="2" spans="1:42">
      <c r="B2" s="824"/>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90"/>
      <c r="AJ3" s="313"/>
      <c r="AK3" s="313"/>
      <c r="AN3" s="387" t="s">
        <v>194</v>
      </c>
    </row>
    <row r="4" spans="1:42" ht="19.5" customHeight="1">
      <c r="A4" s="311"/>
      <c r="B4" s="317" t="s">
        <v>990</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148</v>
      </c>
      <c r="C5" s="312"/>
      <c r="D5" s="312"/>
      <c r="E5" s="312"/>
      <c r="F5" s="313"/>
      <c r="G5" s="313"/>
      <c r="H5" s="313"/>
      <c r="I5" s="313"/>
      <c r="J5" s="313"/>
      <c r="K5" s="313"/>
      <c r="L5" s="313"/>
      <c r="M5" s="313"/>
      <c r="N5" s="313"/>
      <c r="O5" s="313"/>
      <c r="P5" s="313"/>
      <c r="Q5" s="313"/>
      <c r="R5" s="313"/>
      <c r="S5" s="313" t="s">
        <v>15</v>
      </c>
      <c r="T5" s="313"/>
      <c r="U5" s="313" t="s">
        <v>15</v>
      </c>
      <c r="V5" s="313"/>
      <c r="W5" s="313"/>
      <c r="X5" s="313"/>
      <c r="Y5" s="313"/>
      <c r="Z5" s="313"/>
      <c r="AA5" s="313"/>
      <c r="AB5" s="313"/>
      <c r="AC5" s="313"/>
      <c r="AD5" s="313"/>
      <c r="AE5" s="313"/>
      <c r="AF5" s="313"/>
      <c r="AG5" s="313"/>
      <c r="AH5" s="313"/>
      <c r="AI5" s="1090"/>
      <c r="AJ5" s="313"/>
      <c r="AK5" s="313"/>
      <c r="AN5" s="266"/>
    </row>
    <row r="6" spans="1:42" ht="19.5" customHeight="1">
      <c r="A6" s="311"/>
      <c r="B6" s="1532" t="str">
        <f>'Cashflow Governmental'!A6</f>
        <v xml:space="preserve">FISCAL YEAR 2020-2021   </v>
      </c>
      <c r="C6" s="312"/>
      <c r="D6" s="312"/>
      <c r="E6" s="312"/>
      <c r="F6" s="313"/>
      <c r="G6" s="313"/>
      <c r="H6" s="315"/>
      <c r="I6" s="313"/>
      <c r="J6" s="313"/>
      <c r="K6" s="313"/>
      <c r="L6" s="313"/>
      <c r="M6" s="313"/>
      <c r="N6" s="313"/>
      <c r="O6" s="313"/>
      <c r="P6" s="313"/>
      <c r="Q6" s="313"/>
      <c r="R6" s="313"/>
      <c r="S6" s="313" t="s">
        <v>15</v>
      </c>
      <c r="T6" s="313"/>
      <c r="U6" s="313"/>
      <c r="V6" s="313"/>
      <c r="W6" s="313"/>
      <c r="X6" s="313"/>
      <c r="Y6" s="313"/>
      <c r="Z6" s="313"/>
      <c r="AA6" s="313"/>
      <c r="AB6" s="313"/>
      <c r="AC6" s="313"/>
      <c r="AD6" s="313"/>
      <c r="AE6" s="313"/>
      <c r="AF6" s="313"/>
      <c r="AG6" s="316"/>
      <c r="AH6" s="316"/>
      <c r="AI6" s="1095"/>
      <c r="AJ6" s="316"/>
      <c r="AK6" s="316"/>
    </row>
    <row r="7" spans="1:42" ht="19.5" customHeight="1">
      <c r="A7" s="311"/>
      <c r="B7" s="317" t="s">
        <v>1369</v>
      </c>
      <c r="C7" s="312"/>
      <c r="D7" s="312"/>
      <c r="E7" s="312"/>
      <c r="F7" s="313"/>
      <c r="G7" s="313"/>
      <c r="H7" s="315"/>
      <c r="I7" s="313"/>
      <c r="J7" s="313"/>
      <c r="K7" s="313"/>
      <c r="L7" s="313"/>
      <c r="M7" s="313"/>
      <c r="N7" s="313"/>
      <c r="O7" s="313"/>
      <c r="P7" s="313"/>
      <c r="Q7" s="313"/>
      <c r="R7" s="313"/>
      <c r="S7" s="313" t="s">
        <v>15</v>
      </c>
      <c r="T7" s="313"/>
      <c r="U7" s="313"/>
      <c r="V7" s="313"/>
      <c r="W7" s="313"/>
      <c r="X7" s="313"/>
      <c r="Y7" s="313"/>
      <c r="Z7" s="313"/>
      <c r="AA7" s="313"/>
      <c r="AB7" s="313"/>
      <c r="AC7" s="313"/>
      <c r="AD7" s="313"/>
      <c r="AE7" s="313"/>
      <c r="AF7" s="313"/>
      <c r="AG7" s="316"/>
      <c r="AH7" s="316"/>
      <c r="AI7" s="1095"/>
      <c r="AJ7" s="316"/>
      <c r="AK7" s="316"/>
    </row>
    <row r="8" spans="1:42" ht="19.5" customHeight="1">
      <c r="A8" s="311"/>
      <c r="C8" s="312"/>
      <c r="D8" s="312"/>
      <c r="E8" s="312"/>
      <c r="F8" s="313"/>
      <c r="G8" s="313"/>
      <c r="H8" s="313"/>
      <c r="I8" s="313"/>
      <c r="J8" s="313"/>
      <c r="K8" s="313"/>
      <c r="L8" s="313"/>
      <c r="M8" s="313"/>
      <c r="N8" s="313"/>
      <c r="O8" s="313"/>
      <c r="P8" s="313"/>
      <c r="Q8" s="313"/>
      <c r="R8" s="313"/>
      <c r="S8" s="313" t="s">
        <v>15</v>
      </c>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54"/>
      <c r="F11" s="755"/>
      <c r="G11" s="755"/>
      <c r="H11" s="755"/>
      <c r="I11" s="755"/>
      <c r="J11" s="755"/>
      <c r="K11" s="755"/>
      <c r="L11" s="755"/>
      <c r="M11" s="755"/>
      <c r="N11" s="755"/>
      <c r="O11" s="755"/>
      <c r="P11" s="755"/>
      <c r="Q11" s="755"/>
      <c r="R11" s="755"/>
      <c r="S11" s="755"/>
      <c r="T11" s="755"/>
      <c r="U11" s="755"/>
      <c r="V11" s="755"/>
      <c r="W11" s="755"/>
      <c r="X11" s="755"/>
      <c r="Y11" s="755"/>
      <c r="Z11" s="755"/>
      <c r="AA11" s="755"/>
      <c r="AB11" s="755"/>
      <c r="AC11" s="752" t="s">
        <v>1260</v>
      </c>
      <c r="AD11" s="755"/>
      <c r="AE11" s="756"/>
      <c r="AF11" s="3937" t="s">
        <v>1546</v>
      </c>
      <c r="AG11" s="3938"/>
      <c r="AH11" s="3938"/>
      <c r="AI11" s="3938"/>
      <c r="AJ11" s="3938"/>
      <c r="AK11" s="3938"/>
      <c r="AL11" s="3938"/>
      <c r="AM11" s="3938"/>
      <c r="AN11" s="3938"/>
    </row>
    <row r="12" spans="1:42" ht="15.75" customHeight="1">
      <c r="A12" s="320"/>
      <c r="B12" s="320"/>
      <c r="C12" s="320"/>
      <c r="D12" s="320"/>
      <c r="E12" s="744" t="str">
        <f>'Cashflow Governmental'!C13</f>
        <v>2020</v>
      </c>
      <c r="F12" s="757"/>
      <c r="G12" s="757"/>
      <c r="H12" s="757"/>
      <c r="I12" s="757"/>
      <c r="J12" s="757"/>
      <c r="K12" s="757"/>
      <c r="L12" s="757"/>
      <c r="M12" s="757"/>
      <c r="N12" s="757"/>
      <c r="O12" s="757"/>
      <c r="P12" s="757"/>
      <c r="Q12" s="757"/>
      <c r="R12" s="757"/>
      <c r="S12" s="757"/>
      <c r="T12" s="757"/>
      <c r="U12" s="757"/>
      <c r="V12" s="757"/>
      <c r="W12" s="744" t="str">
        <f>'Cashflow Governmental'!U13</f>
        <v>2021</v>
      </c>
      <c r="X12" s="757"/>
      <c r="Y12" s="757"/>
      <c r="Z12" s="757"/>
      <c r="AA12" s="757"/>
      <c r="AB12" s="757"/>
      <c r="AC12" s="752" t="s">
        <v>1261</v>
      </c>
      <c r="AD12" s="757"/>
      <c r="AE12" s="757"/>
      <c r="AF12" s="758"/>
      <c r="AG12" s="758"/>
      <c r="AH12" s="758"/>
      <c r="AI12" s="1097"/>
      <c r="AJ12" s="758"/>
      <c r="AK12" s="758"/>
      <c r="AL12" s="748" t="s">
        <v>8</v>
      </c>
      <c r="AM12" s="748"/>
      <c r="AN12" s="745" t="s">
        <v>9</v>
      </c>
      <c r="AO12" s="761"/>
    </row>
    <row r="13" spans="1:42" ht="15.75" customHeight="1">
      <c r="A13" s="31"/>
      <c r="B13" s="31"/>
      <c r="C13" s="31"/>
      <c r="D13" s="31"/>
      <c r="E13" s="1116" t="s">
        <v>124</v>
      </c>
      <c r="F13" s="251"/>
      <c r="G13" s="1116" t="s">
        <v>125</v>
      </c>
      <c r="H13" s="251"/>
      <c r="I13" s="1116" t="s">
        <v>126</v>
      </c>
      <c r="J13" s="251"/>
      <c r="K13" s="1116" t="s">
        <v>127</v>
      </c>
      <c r="L13" s="251"/>
      <c r="M13" s="1933" t="s">
        <v>128</v>
      </c>
      <c r="N13" s="251"/>
      <c r="O13" s="1116" t="s">
        <v>143</v>
      </c>
      <c r="P13" s="251"/>
      <c r="Q13" s="1116" t="s">
        <v>144</v>
      </c>
      <c r="R13" s="251"/>
      <c r="S13" s="1116" t="s">
        <v>131</v>
      </c>
      <c r="T13" s="251"/>
      <c r="U13" s="1116" t="s">
        <v>132</v>
      </c>
      <c r="V13" s="251"/>
      <c r="W13" s="1116" t="s">
        <v>133</v>
      </c>
      <c r="X13" s="251"/>
      <c r="Y13" s="1116" t="s">
        <v>134</v>
      </c>
      <c r="Z13" s="251"/>
      <c r="AA13" s="1116" t="s">
        <v>185</v>
      </c>
      <c r="AB13" s="752"/>
      <c r="AC13" s="1949" t="s">
        <v>1262</v>
      </c>
      <c r="AD13" s="251"/>
      <c r="AE13" s="251"/>
      <c r="AF13" s="1116">
        <f>'Cashflow Governmental'!AB14</f>
        <v>2020</v>
      </c>
      <c r="AG13" s="251"/>
      <c r="AH13" s="251"/>
      <c r="AI13" s="759">
        <f>'Cashflow Governmental'!AE14</f>
        <v>2019</v>
      </c>
      <c r="AJ13" s="760"/>
      <c r="AK13" s="760"/>
      <c r="AL13" s="753" t="s">
        <v>12</v>
      </c>
      <c r="AM13" s="747"/>
      <c r="AN13" s="753" t="s">
        <v>13</v>
      </c>
      <c r="AO13" s="1118"/>
      <c r="AP13" s="322"/>
    </row>
    <row r="14" spans="1:42" ht="6" customHeight="1">
      <c r="A14" s="31"/>
      <c r="B14" s="29"/>
      <c r="C14" s="29"/>
      <c r="D14" s="31"/>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114"/>
      <c r="AJ14" s="57"/>
      <c r="AK14" s="163"/>
      <c r="AL14" s="322"/>
      <c r="AM14" s="322"/>
      <c r="AN14" s="322"/>
      <c r="AO14" s="322"/>
    </row>
    <row r="15" spans="1:42" ht="15.75" customHeight="1">
      <c r="A15" s="31"/>
      <c r="B15" s="170" t="s">
        <v>1223</v>
      </c>
      <c r="C15" s="29"/>
      <c r="D15" s="31"/>
      <c r="E15" s="303">
        <f>'Exhibit I State'!E14+'Exhibit I Federal'!E14</f>
        <v>-1034.9000000000001</v>
      </c>
      <c r="F15" s="91"/>
      <c r="G15" s="91">
        <f>E103</f>
        <v>-1155</v>
      </c>
      <c r="H15" s="91"/>
      <c r="I15" s="91">
        <f>G103</f>
        <v>-1322.2</v>
      </c>
      <c r="J15" s="91"/>
      <c r="K15" s="91">
        <f>I103</f>
        <v>-1207.9000000000001</v>
      </c>
      <c r="L15" s="91"/>
      <c r="M15" s="91">
        <f>K103</f>
        <v>-930.7</v>
      </c>
      <c r="N15" s="91"/>
      <c r="O15" s="91">
        <f>M103</f>
        <v>-1080.2</v>
      </c>
      <c r="P15" s="91"/>
      <c r="Q15" s="91">
        <f>O103</f>
        <v>-1488.9</v>
      </c>
      <c r="R15" s="91"/>
      <c r="S15" s="91"/>
      <c r="T15" s="91"/>
      <c r="U15" s="91"/>
      <c r="V15" s="91"/>
      <c r="W15" s="91"/>
      <c r="X15" s="91"/>
      <c r="Y15" s="91"/>
      <c r="Z15" s="91"/>
      <c r="AA15" s="91"/>
      <c r="AB15" s="91"/>
      <c r="AC15" s="91"/>
      <c r="AD15" s="91"/>
      <c r="AE15" s="92"/>
      <c r="AF15" s="132">
        <f>E15</f>
        <v>-1034.9000000000001</v>
      </c>
      <c r="AG15" s="215"/>
      <c r="AH15" s="216"/>
      <c r="AI15" s="3462">
        <f>'Exhibit I State'!AG14+'Exhibit I Federal'!AG14</f>
        <v>-1137.9000000000001</v>
      </c>
      <c r="AJ15" s="91"/>
      <c r="AK15" s="324"/>
      <c r="AL15" s="323">
        <f>+AF15-AI15</f>
        <v>103</v>
      </c>
      <c r="AM15" s="325"/>
      <c r="AN15" s="1429">
        <f>ROUND(IF(AI15=0,0,-AL15/(AI15)),3)</f>
        <v>9.0999999999999998E-2</v>
      </c>
      <c r="AO15" s="327"/>
    </row>
    <row r="16" spans="1:42" ht="15.75" customHeight="1">
      <c r="A16" s="31"/>
      <c r="B16" s="29"/>
      <c r="C16" s="29"/>
      <c r="D16" s="31"/>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7"/>
      <c r="AI16" s="137"/>
      <c r="AJ16" s="162"/>
      <c r="AK16" s="321"/>
      <c r="AL16" s="322"/>
      <c r="AM16" s="322"/>
      <c r="AN16" s="322"/>
    </row>
    <row r="17" spans="1:46">
      <c r="A17" s="31"/>
      <c r="B17" s="29" t="s">
        <v>195</v>
      </c>
      <c r="C17" s="31"/>
      <c r="D17" s="31"/>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62"/>
      <c r="AG17" s="257"/>
      <c r="AH17" s="57"/>
      <c r="AI17" s="137"/>
      <c r="AJ17" s="162"/>
      <c r="AK17" s="321"/>
      <c r="AL17" s="322"/>
      <c r="AM17" s="322"/>
      <c r="AN17" s="322"/>
    </row>
    <row r="18" spans="1:46">
      <c r="A18" s="31"/>
      <c r="B18" s="258" t="s">
        <v>1078</v>
      </c>
      <c r="C18" s="31"/>
      <c r="D18" s="31"/>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62"/>
      <c r="AG18" s="1062"/>
      <c r="AH18" s="57"/>
      <c r="AI18" s="137"/>
      <c r="AJ18" s="162"/>
      <c r="AK18" s="321"/>
      <c r="AL18" s="322"/>
      <c r="AM18" s="322"/>
      <c r="AN18" s="322"/>
    </row>
    <row r="19" spans="1:46">
      <c r="A19" s="31"/>
      <c r="B19" s="1049" t="s">
        <v>1140</v>
      </c>
      <c r="C19" s="31"/>
      <c r="D19" s="31"/>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62"/>
      <c r="AG19" s="1062"/>
      <c r="AH19" s="57"/>
      <c r="AI19" s="137"/>
      <c r="AJ19" s="162"/>
      <c r="AK19" s="321"/>
      <c r="AL19" s="322"/>
      <c r="AM19" s="322"/>
      <c r="AN19" s="322"/>
    </row>
    <row r="20" spans="1:46">
      <c r="A20" s="31"/>
      <c r="B20" s="669" t="s">
        <v>1094</v>
      </c>
      <c r="C20" s="31"/>
      <c r="D20" s="31"/>
      <c r="E20" s="1363">
        <f>+'Exhibit I State'!E19</f>
        <v>0.6</v>
      </c>
      <c r="F20" s="1419"/>
      <c r="G20" s="1363">
        <f>+'Exhibit I State'!G19</f>
        <v>9.9999999999999978E-2</v>
      </c>
      <c r="H20" s="1419"/>
      <c r="I20" s="1363">
        <f>+'Exhibit I State'!I19</f>
        <v>10.100000000000001</v>
      </c>
      <c r="J20" s="1441"/>
      <c r="K20" s="1363">
        <f>+'Exhibit I State'!K19</f>
        <v>0</v>
      </c>
      <c r="L20" s="1457"/>
      <c r="M20" s="1363">
        <f>+'Exhibit I State'!M19</f>
        <v>0</v>
      </c>
      <c r="N20" s="1457"/>
      <c r="O20" s="1363">
        <f>+'Exhibit I State'!O19</f>
        <v>15.599999999999994</v>
      </c>
      <c r="P20" s="299"/>
      <c r="Q20" s="1363">
        <f>+'Exhibit I State'!Q19</f>
        <v>0.10000000000000142</v>
      </c>
      <c r="R20" s="299"/>
      <c r="S20" s="1363"/>
      <c r="T20" s="299"/>
      <c r="U20" s="1363"/>
      <c r="V20" s="299"/>
      <c r="W20" s="1363"/>
      <c r="X20" s="299"/>
      <c r="Y20" s="1363"/>
      <c r="Z20" s="299"/>
      <c r="AA20" s="1363"/>
      <c r="AB20" s="1363"/>
      <c r="AC20" s="1363">
        <v>0</v>
      </c>
      <c r="AD20" s="1050"/>
      <c r="AE20" s="299"/>
      <c r="AF20" s="115">
        <f>ROUND(SUM(E20:AC20),1)</f>
        <v>26.5</v>
      </c>
      <c r="AG20" s="1051"/>
      <c r="AH20" s="300"/>
      <c r="AI20" s="3463">
        <f>+'Exhibit I State'!AG19</f>
        <v>49.9</v>
      </c>
      <c r="AJ20" s="301"/>
      <c r="AK20" s="305"/>
      <c r="AL20" s="308">
        <f>ROUND(SUM(AF20-AI20),1)</f>
        <v>-23.4</v>
      </c>
      <c r="AM20" s="302"/>
      <c r="AN20" s="1477">
        <f>ROUND(IF(AI20=0,0,AL20/ABS(AI20)),3)</f>
        <v>-0.46899999999999997</v>
      </c>
      <c r="AO20" s="544"/>
    </row>
    <row r="21" spans="1:46">
      <c r="A21" s="31"/>
      <c r="B21" s="669" t="s">
        <v>1096</v>
      </c>
      <c r="C21" s="31"/>
      <c r="D21" s="31"/>
      <c r="E21" s="1363">
        <f>+'Exhibit I State'!E20</f>
        <v>23.799999999999997</v>
      </c>
      <c r="F21" s="1419"/>
      <c r="G21" s="1363">
        <f>+'Exhibit I State'!G20</f>
        <v>16.700000000000003</v>
      </c>
      <c r="H21" s="1419"/>
      <c r="I21" s="1363">
        <f>+'Exhibit I State'!I20</f>
        <v>24.900000000000006</v>
      </c>
      <c r="J21" s="1441"/>
      <c r="K21" s="1363">
        <f>+'Exhibit I State'!K20</f>
        <v>31.199999999999989</v>
      </c>
      <c r="L21" s="1457"/>
      <c r="M21" s="1363">
        <f>+'Exhibit I State'!M20</f>
        <v>33.400000000000006</v>
      </c>
      <c r="N21" s="1457"/>
      <c r="O21" s="1363">
        <f>+'Exhibit I State'!O20</f>
        <v>32.700000000000031</v>
      </c>
      <c r="P21" s="299"/>
      <c r="Q21" s="1363">
        <f>+'Exhibit I State'!Q20</f>
        <v>31.299999999999969</v>
      </c>
      <c r="R21" s="299"/>
      <c r="S21" s="1363"/>
      <c r="T21" s="299"/>
      <c r="U21" s="1363"/>
      <c r="V21" s="299"/>
      <c r="W21" s="1363"/>
      <c r="X21" s="299"/>
      <c r="Y21" s="1363"/>
      <c r="Z21" s="299"/>
      <c r="AA21" s="1363"/>
      <c r="AB21" s="1363"/>
      <c r="AC21" s="1363">
        <v>0</v>
      </c>
      <c r="AD21" s="1050"/>
      <c r="AE21" s="299"/>
      <c r="AF21" s="64">
        <f>ROUND(SUM(E21:AC21),1)</f>
        <v>194</v>
      </c>
      <c r="AG21" s="1051"/>
      <c r="AH21" s="300"/>
      <c r="AI21" s="3463">
        <f>+'Exhibit I State'!AG20</f>
        <v>247.4</v>
      </c>
      <c r="AJ21" s="301"/>
      <c r="AK21" s="305"/>
      <c r="AL21" s="308">
        <f>ROUND(SUM(AF21-AI21),1)</f>
        <v>-53.4</v>
      </c>
      <c r="AM21" s="302"/>
      <c r="AN21" s="8">
        <f>ROUND(IF(AI21=0,0,AL21/ABS(AI21)),3)</f>
        <v>-0.216</v>
      </c>
      <c r="AO21" s="544"/>
    </row>
    <row r="22" spans="1:46">
      <c r="A22" s="31"/>
      <c r="B22" s="669" t="s">
        <v>1098</v>
      </c>
      <c r="C22" s="31"/>
      <c r="D22" s="31"/>
      <c r="E22" s="1363">
        <f>+'Exhibit I State'!E21</f>
        <v>11.6</v>
      </c>
      <c r="F22" s="1419"/>
      <c r="G22" s="1363">
        <f>+'Exhibit I State'!G21</f>
        <v>8.7999999999999989</v>
      </c>
      <c r="H22" s="1419"/>
      <c r="I22" s="1363">
        <f>+'Exhibit I State'!I21</f>
        <v>12.399999999999997</v>
      </c>
      <c r="J22" s="1441"/>
      <c r="K22" s="1363">
        <f>+'Exhibit I State'!K21</f>
        <v>12.400000000000007</v>
      </c>
      <c r="L22" s="1457"/>
      <c r="M22" s="1363">
        <f>+'Exhibit I State'!M21</f>
        <v>10.199999999999994</v>
      </c>
      <c r="N22" s="1457"/>
      <c r="O22" s="1363">
        <f>+'Exhibit I State'!O21</f>
        <v>12.699999999999998</v>
      </c>
      <c r="P22" s="299"/>
      <c r="Q22" s="1363">
        <f>+'Exhibit I State'!Q21</f>
        <v>10.600000000000014</v>
      </c>
      <c r="R22" s="299"/>
      <c r="S22" s="1363"/>
      <c r="T22" s="299"/>
      <c r="U22" s="1363"/>
      <c r="V22" s="299"/>
      <c r="W22" s="1363"/>
      <c r="X22" s="299"/>
      <c r="Y22" s="1363"/>
      <c r="Z22" s="299"/>
      <c r="AA22" s="1363"/>
      <c r="AB22" s="1363"/>
      <c r="AC22" s="1363">
        <v>0</v>
      </c>
      <c r="AD22" s="1050"/>
      <c r="AE22" s="299"/>
      <c r="AF22" s="64">
        <f>ROUND(SUM(E22:AC22),1)</f>
        <v>78.7</v>
      </c>
      <c r="AG22" s="1051"/>
      <c r="AH22" s="300"/>
      <c r="AI22" s="3463">
        <f>+'Exhibit I State'!AG21</f>
        <v>85.1</v>
      </c>
      <c r="AJ22" s="301"/>
      <c r="AK22" s="305"/>
      <c r="AL22" s="308">
        <f>ROUND(SUM(AF22-AI22),1)</f>
        <v>-6.4</v>
      </c>
      <c r="AM22" s="302"/>
      <c r="AN22" s="1463">
        <f>ROUND(IF(AI22=0,0,AL22/ABS(AI22)),3)</f>
        <v>-7.4999999999999997E-2</v>
      </c>
      <c r="AO22" s="544"/>
    </row>
    <row r="23" spans="1:46">
      <c r="A23" s="31"/>
      <c r="B23" s="307" t="s">
        <v>1182</v>
      </c>
      <c r="C23" s="31"/>
      <c r="D23" s="31"/>
      <c r="E23" s="1458">
        <f>ROUND(SUM(E20:E22),1)</f>
        <v>36</v>
      </c>
      <c r="F23" s="1459"/>
      <c r="G23" s="1458">
        <f>ROUND(SUM(G20:G22),1)</f>
        <v>25.6</v>
      </c>
      <c r="H23" s="1459"/>
      <c r="I23" s="1458">
        <f>ROUND(SUM(I20:I22),1)</f>
        <v>47.4</v>
      </c>
      <c r="J23" s="1459"/>
      <c r="K23" s="1458">
        <f>ROUND(SUM(K20:K22),1)</f>
        <v>43.6</v>
      </c>
      <c r="L23" s="1457"/>
      <c r="M23" s="1458">
        <f>ROUND(SUM(M20:M22),1)</f>
        <v>43.6</v>
      </c>
      <c r="N23" s="1457"/>
      <c r="O23" s="1458">
        <f>ROUND(SUM(O20:O22),1)</f>
        <v>61</v>
      </c>
      <c r="P23" s="299"/>
      <c r="Q23" s="1458">
        <f>ROUND(SUM(Q20:Q22),1)</f>
        <v>42</v>
      </c>
      <c r="R23" s="299"/>
      <c r="S23" s="1458">
        <f>ROUND(SUM(S20:S22),1)</f>
        <v>0</v>
      </c>
      <c r="T23" s="299"/>
      <c r="U23" s="1458">
        <f>ROUND(SUM(U20:U22),1)</f>
        <v>0</v>
      </c>
      <c r="V23" s="299"/>
      <c r="W23" s="1458">
        <f>ROUND(SUM(W20:W22),1)</f>
        <v>0</v>
      </c>
      <c r="X23" s="299"/>
      <c r="Y23" s="1458">
        <f>ROUND(SUM(Y20:Y22),1)</f>
        <v>0</v>
      </c>
      <c r="Z23" s="299"/>
      <c r="AA23" s="1458">
        <f>ROUND(SUM(AA20:AA22),1)</f>
        <v>0</v>
      </c>
      <c r="AB23" s="1460"/>
      <c r="AC23" s="1458">
        <f>ROUND(SUM(AC20:AC22),1)</f>
        <v>0</v>
      </c>
      <c r="AD23" s="1050"/>
      <c r="AE23" s="299"/>
      <c r="AF23" s="255">
        <f>ROUND(SUM(AF20:AF22),1)</f>
        <v>299.2</v>
      </c>
      <c r="AG23" s="1051"/>
      <c r="AH23" s="300"/>
      <c r="AI23" s="1537">
        <f>ROUND(SUM(AI20:AI22),1)</f>
        <v>382.4</v>
      </c>
      <c r="AJ23" s="301"/>
      <c r="AK23" s="305"/>
      <c r="AL23" s="1117">
        <f>ROUND(SUM(AF23-AI23),1)</f>
        <v>-83.2</v>
      </c>
      <c r="AM23" s="304"/>
      <c r="AN23" s="13">
        <f>ROUND(IF(AI23=0,0,AL23/ABS(AI23)),3)</f>
        <v>-0.218</v>
      </c>
      <c r="AO23" s="544"/>
    </row>
    <row r="24" spans="1:46">
      <c r="A24" s="31"/>
      <c r="B24" s="1049" t="s">
        <v>1141</v>
      </c>
      <c r="C24" s="31"/>
      <c r="D24" s="31"/>
      <c r="E24" s="1460"/>
      <c r="F24" s="1459"/>
      <c r="G24" s="1460"/>
      <c r="H24" s="1459"/>
      <c r="I24" s="1460"/>
      <c r="J24" s="1459"/>
      <c r="K24" s="1460"/>
      <c r="L24" s="1457"/>
      <c r="M24" s="1460"/>
      <c r="N24" s="1457"/>
      <c r="O24" s="1460"/>
      <c r="P24" s="299"/>
      <c r="Q24" s="1460"/>
      <c r="R24" s="299"/>
      <c r="S24" s="1460"/>
      <c r="T24" s="299"/>
      <c r="U24" s="1460"/>
      <c r="V24" s="299"/>
      <c r="W24" s="1460"/>
      <c r="X24" s="299"/>
      <c r="Y24" s="1460"/>
      <c r="Z24" s="299"/>
      <c r="AA24" s="1460"/>
      <c r="AB24" s="1460"/>
      <c r="AC24" s="1460"/>
      <c r="AD24" s="1050"/>
      <c r="AE24" s="299"/>
      <c r="AF24" s="74"/>
      <c r="AG24" s="1051"/>
      <c r="AH24" s="300"/>
      <c r="AI24" s="112"/>
      <c r="AJ24" s="301"/>
      <c r="AK24" s="305"/>
      <c r="AL24" s="1053"/>
      <c r="AM24" s="304"/>
      <c r="AN24" s="24"/>
      <c r="AO24" s="544"/>
    </row>
    <row r="25" spans="1:46">
      <c r="A25" s="31"/>
      <c r="B25" s="669" t="s">
        <v>1100</v>
      </c>
      <c r="C25" s="31"/>
      <c r="D25" s="31"/>
      <c r="E25" s="1363">
        <f>+'Exhibit I State'!E24</f>
        <v>0</v>
      </c>
      <c r="F25" s="1459"/>
      <c r="G25" s="1363">
        <f>+'Exhibit I State'!G24</f>
        <v>0</v>
      </c>
      <c r="H25" s="1459"/>
      <c r="I25" s="1363">
        <f>+'Exhibit I State'!I24</f>
        <v>0</v>
      </c>
      <c r="J25" s="1459"/>
      <c r="K25" s="1363">
        <f>+'Exhibit I State'!K24</f>
        <v>0</v>
      </c>
      <c r="L25" s="1457"/>
      <c r="M25" s="1363">
        <f>+'Exhibit I State'!M24</f>
        <v>0</v>
      </c>
      <c r="N25" s="1457"/>
      <c r="O25" s="1363">
        <f>+'Exhibit I State'!O24</f>
        <v>0</v>
      </c>
      <c r="P25" s="299"/>
      <c r="Q25" s="1363">
        <f>+'Exhibit I State'!Q24</f>
        <v>0</v>
      </c>
      <c r="R25" s="299"/>
      <c r="S25" s="1363"/>
      <c r="T25" s="299"/>
      <c r="U25" s="1363"/>
      <c r="V25" s="299"/>
      <c r="W25" s="1363"/>
      <c r="X25" s="299"/>
      <c r="Y25" s="1363"/>
      <c r="Z25" s="299"/>
      <c r="AA25" s="1363"/>
      <c r="AB25" s="1363"/>
      <c r="AC25" s="1363">
        <v>0</v>
      </c>
      <c r="AD25" s="1050"/>
      <c r="AE25" s="299"/>
      <c r="AF25" s="941">
        <v>0</v>
      </c>
      <c r="AG25" s="1051"/>
      <c r="AH25" s="300"/>
      <c r="AI25" s="3463">
        <f>+'Exhibit I State'!AG24</f>
        <v>0</v>
      </c>
      <c r="AJ25" s="301"/>
      <c r="AK25" s="305"/>
      <c r="AL25" s="308">
        <f>ROUND(SUM(AF25-AI25),1)</f>
        <v>0</v>
      </c>
      <c r="AM25" s="302"/>
      <c r="AN25" s="1456">
        <f>ROUND(IF(AI25=0,0,AL25/ABS(AI25)),3)</f>
        <v>0</v>
      </c>
      <c r="AO25" s="544"/>
      <c r="AP25" s="297"/>
      <c r="AQ25" s="297"/>
      <c r="AR25" s="297"/>
      <c r="AS25" s="297"/>
      <c r="AT25" s="297"/>
    </row>
    <row r="26" spans="1:46">
      <c r="A26" s="31"/>
      <c r="B26" s="669" t="s">
        <v>1101</v>
      </c>
      <c r="C26" s="31"/>
      <c r="D26" s="31"/>
      <c r="E26" s="1363">
        <f>+'Exhibit I State'!E25</f>
        <v>0.1</v>
      </c>
      <c r="F26" s="1419"/>
      <c r="G26" s="1363">
        <f>+'Exhibit I State'!G25</f>
        <v>-1.5</v>
      </c>
      <c r="H26" s="1419"/>
      <c r="I26" s="1363">
        <f>+'Exhibit I State'!I25</f>
        <v>0.6</v>
      </c>
      <c r="J26" s="1459"/>
      <c r="K26" s="1363">
        <f>+'Exhibit I State'!K25</f>
        <v>3.5999999999999992</v>
      </c>
      <c r="L26" s="1457"/>
      <c r="M26" s="1363">
        <f>+'Exhibit I State'!M25</f>
        <v>0.10000000000000053</v>
      </c>
      <c r="N26" s="1457"/>
      <c r="O26" s="1363">
        <f>+'Exhibit I State'!O25</f>
        <v>2.2000000000000006</v>
      </c>
      <c r="P26" s="299"/>
      <c r="Q26" s="1363">
        <f>+'Exhibit I State'!Q25</f>
        <v>0.70000000000000018</v>
      </c>
      <c r="R26" s="299"/>
      <c r="S26" s="1363"/>
      <c r="T26" s="299"/>
      <c r="U26" s="1363"/>
      <c r="V26" s="299"/>
      <c r="W26" s="1363"/>
      <c r="X26" s="299"/>
      <c r="Y26" s="1363"/>
      <c r="Z26" s="299"/>
      <c r="AA26" s="1363"/>
      <c r="AB26" s="1363"/>
      <c r="AC26" s="1363">
        <v>0</v>
      </c>
      <c r="AD26" s="1050"/>
      <c r="AE26" s="299"/>
      <c r="AF26" s="64">
        <f>ROUND(SUM(E26:AC26),1)</f>
        <v>5.8</v>
      </c>
      <c r="AG26" s="1051"/>
      <c r="AH26" s="300"/>
      <c r="AI26" s="3463">
        <f>+'Exhibit I State'!AG25</f>
        <v>8.3000000000000007</v>
      </c>
      <c r="AJ26" s="301"/>
      <c r="AK26" s="305"/>
      <c r="AL26" s="308">
        <f>ROUND(SUM(AF26-AI26),1)</f>
        <v>-2.5</v>
      </c>
      <c r="AM26" s="302"/>
      <c r="AN26" s="1436">
        <f>ROUND(IF(AI26=0,1,AL26/ABS(AI26)),3)</f>
        <v>-0.30099999999999999</v>
      </c>
      <c r="AO26" s="544"/>
      <c r="AP26" s="297"/>
      <c r="AQ26" s="297"/>
      <c r="AR26" s="297"/>
      <c r="AS26" s="297"/>
      <c r="AT26" s="297"/>
    </row>
    <row r="27" spans="1:46">
      <c r="A27" s="31"/>
      <c r="B27" s="669" t="s">
        <v>1104</v>
      </c>
      <c r="C27" s="31"/>
      <c r="D27" s="31"/>
      <c r="E27" s="1363">
        <f>+'Exhibit I State'!E26</f>
        <v>38</v>
      </c>
      <c r="F27" s="1419"/>
      <c r="G27" s="1363">
        <f>+'Exhibit I State'!G26</f>
        <v>22.200000000000003</v>
      </c>
      <c r="H27" s="1419"/>
      <c r="I27" s="1363">
        <f>+'Exhibit I State'!I26</f>
        <v>48</v>
      </c>
      <c r="J27" s="1459"/>
      <c r="K27" s="1363">
        <f>+'Exhibit I State'!K26</f>
        <v>49.09999999999998</v>
      </c>
      <c r="L27" s="1457"/>
      <c r="M27" s="1363">
        <f>+'Exhibit I State'!M26</f>
        <v>48.3</v>
      </c>
      <c r="N27" s="1457"/>
      <c r="O27" s="1363">
        <f>+'Exhibit I State'!O26</f>
        <v>55.200000000000045</v>
      </c>
      <c r="P27" s="299"/>
      <c r="Q27" s="1363">
        <f>+'Exhibit I State'!Q26</f>
        <v>49.899999999999991</v>
      </c>
      <c r="R27" s="299"/>
      <c r="S27" s="1363"/>
      <c r="T27" s="299"/>
      <c r="U27" s="1363"/>
      <c r="V27" s="299"/>
      <c r="W27" s="1363"/>
      <c r="X27" s="299"/>
      <c r="Y27" s="1363"/>
      <c r="Z27" s="299"/>
      <c r="AA27" s="1363"/>
      <c r="AB27" s="1363"/>
      <c r="AC27" s="1363">
        <v>0</v>
      </c>
      <c r="AD27" s="1050"/>
      <c r="AE27" s="299"/>
      <c r="AF27" s="64">
        <f>ROUND(SUM(E27:AC27),1)</f>
        <v>310.7</v>
      </c>
      <c r="AG27" s="1051"/>
      <c r="AH27" s="300"/>
      <c r="AI27" s="3463">
        <f>+'Exhibit I State'!AG26</f>
        <v>400</v>
      </c>
      <c r="AJ27" s="301"/>
      <c r="AK27" s="305"/>
      <c r="AL27" s="308">
        <f>ROUND(SUM(AF27-AI27),1)</f>
        <v>-89.3</v>
      </c>
      <c r="AM27" s="302"/>
      <c r="AN27" s="1424">
        <f>ROUND(IF(AI27=0,0,AL27/ABS(AI27)),3)</f>
        <v>-0.223</v>
      </c>
      <c r="AO27" s="544"/>
      <c r="AP27" s="297"/>
      <c r="AQ27" s="297"/>
      <c r="AR27" s="297"/>
      <c r="AS27" s="297"/>
      <c r="AT27" s="297"/>
    </row>
    <row r="28" spans="1:46">
      <c r="A28" s="31"/>
      <c r="B28" s="307" t="s">
        <v>1183</v>
      </c>
      <c r="C28" s="31"/>
      <c r="D28" s="31"/>
      <c r="E28" s="1458">
        <f>ROUND(SUM(E25:E27),1)</f>
        <v>38.1</v>
      </c>
      <c r="F28" s="1419"/>
      <c r="G28" s="1458">
        <f>ROUND(SUM(G25:G27),1)</f>
        <v>20.7</v>
      </c>
      <c r="H28" s="1419"/>
      <c r="I28" s="1458">
        <f>ROUND(SUM(I25:I27),1)</f>
        <v>48.6</v>
      </c>
      <c r="J28" s="1459"/>
      <c r="K28" s="1458">
        <f>ROUND(SUM(K25:K27),1)</f>
        <v>52.7</v>
      </c>
      <c r="L28" s="1457"/>
      <c r="M28" s="1458">
        <f>ROUND(SUM(M25:M27),1)</f>
        <v>48.4</v>
      </c>
      <c r="N28" s="1457"/>
      <c r="O28" s="1458">
        <f>ROUND(SUM(O25:O27),1)</f>
        <v>57.4</v>
      </c>
      <c r="P28" s="299"/>
      <c r="Q28" s="1458">
        <f>ROUND(SUM(Q25:Q27),1)</f>
        <v>50.6</v>
      </c>
      <c r="R28" s="299"/>
      <c r="S28" s="1458">
        <f>ROUND(SUM(S25:S27),1)</f>
        <v>0</v>
      </c>
      <c r="T28" s="299"/>
      <c r="U28" s="1458">
        <f>ROUND(SUM(U25:U27),1)</f>
        <v>0</v>
      </c>
      <c r="V28" s="299"/>
      <c r="W28" s="1458">
        <f>ROUND(SUM(W25:W27),1)</f>
        <v>0</v>
      </c>
      <c r="X28" s="299"/>
      <c r="Y28" s="1458">
        <f>ROUND(SUM(Y25:Y27),1)</f>
        <v>0</v>
      </c>
      <c r="Z28" s="299"/>
      <c r="AA28" s="1458">
        <f>ROUND(SUM(AA25:AA27),1)</f>
        <v>0</v>
      </c>
      <c r="AB28" s="1460"/>
      <c r="AC28" s="1458">
        <f>ROUND(SUM(AC25:AC27),1)</f>
        <v>0</v>
      </c>
      <c r="AD28" s="1050"/>
      <c r="AE28" s="299"/>
      <c r="AF28" s="675">
        <f>ROUND(SUM(AF25:AF27),1)</f>
        <v>316.5</v>
      </c>
      <c r="AG28" s="1051"/>
      <c r="AH28" s="300"/>
      <c r="AI28" s="1537">
        <f>ROUND(SUM(AI25:AI27),1)</f>
        <v>408.3</v>
      </c>
      <c r="AJ28" s="301"/>
      <c r="AK28" s="305"/>
      <c r="AL28" s="675">
        <f>ROUND(SUM(AL25:AL27),1)</f>
        <v>-91.8</v>
      </c>
      <c r="AM28" s="302"/>
      <c r="AN28" s="1453">
        <f>ROUND(IF(AI28=0,0,AL28/ABS(AI28)),3)</f>
        <v>-0.22500000000000001</v>
      </c>
      <c r="AO28" s="544"/>
      <c r="AP28" s="297"/>
      <c r="AQ28" s="297"/>
      <c r="AR28" s="297"/>
      <c r="AS28" s="297"/>
      <c r="AT28" s="297"/>
    </row>
    <row r="29" spans="1:46">
      <c r="A29" s="31"/>
      <c r="B29" s="1049" t="s">
        <v>1142</v>
      </c>
      <c r="C29" s="31"/>
      <c r="D29" s="31"/>
      <c r="E29" s="1841"/>
      <c r="F29" s="1841"/>
      <c r="G29" s="1841"/>
      <c r="H29" s="1841"/>
      <c r="I29" s="1841"/>
      <c r="J29" s="1841"/>
      <c r="K29" s="1841"/>
      <c r="L29" s="1461"/>
      <c r="M29" s="1461"/>
      <c r="N29" s="1461"/>
      <c r="O29" s="1461"/>
      <c r="P29" s="162"/>
      <c r="Q29" s="1461"/>
      <c r="R29" s="162"/>
      <c r="S29" s="1461"/>
      <c r="T29" s="162"/>
      <c r="U29" s="1461"/>
      <c r="V29" s="162"/>
      <c r="W29" s="1461"/>
      <c r="X29" s="162"/>
      <c r="Y29" s="1461"/>
      <c r="Z29" s="162"/>
      <c r="AA29" s="1461"/>
      <c r="AB29" s="1461"/>
      <c r="AC29" s="1461"/>
      <c r="AD29" s="162"/>
      <c r="AE29" s="249"/>
      <c r="AF29" s="162"/>
      <c r="AG29" s="1062"/>
      <c r="AH29" s="57"/>
      <c r="AI29" s="137"/>
      <c r="AJ29" s="162"/>
      <c r="AK29" s="321"/>
      <c r="AL29" s="322"/>
      <c r="AM29" s="322"/>
      <c r="AN29" s="1462"/>
    </row>
    <row r="30" spans="1:46">
      <c r="A30" s="31"/>
      <c r="B30" s="669" t="s">
        <v>1110</v>
      </c>
      <c r="C30" s="31"/>
      <c r="D30" s="31"/>
      <c r="E30" s="1363">
        <f>+'Exhibit I State'!E29</f>
        <v>0</v>
      </c>
      <c r="F30" s="1419"/>
      <c r="G30" s="1363">
        <f>+'Exhibit I State'!G29</f>
        <v>0</v>
      </c>
      <c r="H30" s="1419"/>
      <c r="I30" s="1363">
        <f>+'Exhibit I State'!I29</f>
        <v>11.9</v>
      </c>
      <c r="J30" s="1459"/>
      <c r="K30" s="1363">
        <f>+'Exhibit I State'!K29</f>
        <v>11.9</v>
      </c>
      <c r="L30" s="1457"/>
      <c r="M30" s="1363">
        <f>+'Exhibit I State'!M29</f>
        <v>11.900000000000004</v>
      </c>
      <c r="N30" s="1457"/>
      <c r="O30" s="1363">
        <f>+'Exhibit I State'!O29</f>
        <v>11.9</v>
      </c>
      <c r="P30" s="299"/>
      <c r="Q30" s="1363">
        <f>+'Exhibit I State'!Q29</f>
        <v>11.999999999999998</v>
      </c>
      <c r="R30" s="299"/>
      <c r="S30" s="1363"/>
      <c r="T30" s="299"/>
      <c r="U30" s="1363"/>
      <c r="V30" s="299"/>
      <c r="W30" s="1363"/>
      <c r="X30" s="299"/>
      <c r="Y30" s="1363"/>
      <c r="Z30" s="299"/>
      <c r="AA30" s="1363"/>
      <c r="AB30" s="1363"/>
      <c r="AC30" s="1363">
        <v>0</v>
      </c>
      <c r="AD30" s="1050"/>
      <c r="AE30" s="299"/>
      <c r="AF30" s="64">
        <f>ROUND(SUM(E30:AC30),1)</f>
        <v>59.6</v>
      </c>
      <c r="AG30" s="1051"/>
      <c r="AH30" s="300"/>
      <c r="AI30" s="3463">
        <f>+'Exhibit I State'!AG29</f>
        <v>59.6</v>
      </c>
      <c r="AJ30" s="301"/>
      <c r="AK30" s="305"/>
      <c r="AL30" s="308">
        <f>ROUND(SUM(AF30-AI30),1)</f>
        <v>0</v>
      </c>
      <c r="AM30" s="302"/>
      <c r="AN30" s="1424">
        <f>ROUND(IF(AI30=0,0,AL30/ABS(AI30)),3)</f>
        <v>0</v>
      </c>
      <c r="AO30" s="544"/>
      <c r="AP30" s="297"/>
      <c r="AQ30" s="297"/>
      <c r="AR30" s="297"/>
    </row>
    <row r="31" spans="1:46">
      <c r="A31" s="31"/>
      <c r="B31" s="307" t="s">
        <v>1184</v>
      </c>
      <c r="C31" s="31"/>
      <c r="D31" s="31"/>
      <c r="E31" s="255">
        <f>ROUND(SUM(E30:E30),1)</f>
        <v>0</v>
      </c>
      <c r="F31" s="920"/>
      <c r="G31" s="255">
        <f>ROUND(SUM(G30:G30),1)</f>
        <v>0</v>
      </c>
      <c r="H31" s="920"/>
      <c r="I31" s="255">
        <f>ROUND(SUM(I30:I30),1)</f>
        <v>11.9</v>
      </c>
      <c r="J31" s="920"/>
      <c r="K31" s="255">
        <f>ROUND(SUM(K30:K30),1)</f>
        <v>11.9</v>
      </c>
      <c r="L31" s="299"/>
      <c r="M31" s="59">
        <f>ROUND(SUM(M30:M30),1)</f>
        <v>11.9</v>
      </c>
      <c r="N31" s="299"/>
      <c r="O31" s="59">
        <f>ROUND(SUM(O30:O30),1)</f>
        <v>11.9</v>
      </c>
      <c r="P31" s="299"/>
      <c r="Q31" s="59">
        <f>ROUND(SUM(Q30:Q30),1)</f>
        <v>12</v>
      </c>
      <c r="R31" s="299"/>
      <c r="S31" s="59">
        <f>ROUND(SUM(S30:S30),1)</f>
        <v>0</v>
      </c>
      <c r="T31" s="299"/>
      <c r="U31" s="59">
        <f>ROUND(SUM(U30:U30),1)</f>
        <v>0</v>
      </c>
      <c r="V31" s="299"/>
      <c r="W31" s="59">
        <f>ROUND(SUM(W30:W30),1)</f>
        <v>0</v>
      </c>
      <c r="X31" s="299"/>
      <c r="Y31" s="59">
        <f>ROUND(SUM(Y30:Y30),1)</f>
        <v>0</v>
      </c>
      <c r="Z31" s="299"/>
      <c r="AA31" s="59">
        <f>ROUND(SUM(AA30:AA30),1)</f>
        <v>0</v>
      </c>
      <c r="AB31" s="1530"/>
      <c r="AC31" s="59">
        <f>ROUND(SUM(AC30:AC30),1)</f>
        <v>0</v>
      </c>
      <c r="AD31" s="1050"/>
      <c r="AE31" s="299"/>
      <c r="AF31" s="59">
        <f>ROUND(SUM(AF30:AF30),1)</f>
        <v>59.6</v>
      </c>
      <c r="AG31" s="1051"/>
      <c r="AH31" s="300"/>
      <c r="AI31" s="3422">
        <f>ROUND(SUM(AI30:AI30),1)</f>
        <v>59.6</v>
      </c>
      <c r="AJ31" s="301"/>
      <c r="AK31" s="305"/>
      <c r="AL31" s="1117">
        <f>ROUND(SUM(AF31-AI31),1)</f>
        <v>0</v>
      </c>
      <c r="AM31" s="304"/>
      <c r="AN31" s="1440">
        <f>ROUND(IF(AI31=0,0,AL31/ABS(AI31)),3)</f>
        <v>0</v>
      </c>
      <c r="AO31" s="544"/>
      <c r="AP31" s="297"/>
      <c r="AQ31" s="297"/>
      <c r="AR31" s="297"/>
    </row>
    <row r="32" spans="1:46">
      <c r="A32" s="31"/>
      <c r="B32" s="307"/>
      <c r="C32" s="31"/>
      <c r="D32" s="31"/>
      <c r="E32" s="255"/>
      <c r="F32" s="920"/>
      <c r="G32" s="255"/>
      <c r="H32" s="920"/>
      <c r="I32" s="255"/>
      <c r="J32" s="920"/>
      <c r="K32" s="255"/>
      <c r="L32" s="299"/>
      <c r="M32" s="255"/>
      <c r="N32" s="299"/>
      <c r="O32" s="255"/>
      <c r="P32" s="299"/>
      <c r="Q32" s="255"/>
      <c r="R32" s="299"/>
      <c r="S32" s="255"/>
      <c r="T32" s="299"/>
      <c r="U32" s="255"/>
      <c r="V32" s="299"/>
      <c r="W32" s="255"/>
      <c r="X32" s="299"/>
      <c r="Y32" s="255"/>
      <c r="Z32" s="299"/>
      <c r="AA32" s="255"/>
      <c r="AB32" s="1530"/>
      <c r="AC32" s="255"/>
      <c r="AD32" s="1050"/>
      <c r="AE32" s="299"/>
      <c r="AF32" s="255"/>
      <c r="AG32" s="1051"/>
      <c r="AH32" s="300"/>
      <c r="AI32" s="300"/>
      <c r="AJ32" s="301"/>
      <c r="AK32" s="305"/>
      <c r="AL32" s="306"/>
      <c r="AM32" s="302"/>
      <c r="AN32" s="1452"/>
      <c r="AO32" s="544"/>
      <c r="AP32" s="297"/>
      <c r="AQ32" s="297"/>
      <c r="AR32" s="297"/>
    </row>
    <row r="33" spans="1:44">
      <c r="A33" s="31"/>
      <c r="B33" s="307" t="s">
        <v>1106</v>
      </c>
      <c r="C33" s="31"/>
      <c r="D33" s="31"/>
      <c r="E33" s="1842">
        <f>ROUND(SUM(E11+E28+E23+E31),1)</f>
        <v>74.099999999999994</v>
      </c>
      <c r="F33" s="1529"/>
      <c r="G33" s="1842">
        <f>ROUND(SUM(G11+G28+G23+G31),1)</f>
        <v>46.3</v>
      </c>
      <c r="H33" s="1529"/>
      <c r="I33" s="1842">
        <f>ROUND(SUM(I11+I28+I23+I31),1)</f>
        <v>107.9</v>
      </c>
      <c r="J33" s="1529"/>
      <c r="K33" s="1842">
        <f>ROUND(SUM(K11+K28+K23+K31),1)</f>
        <v>108.2</v>
      </c>
      <c r="L33" s="299"/>
      <c r="M33" s="1052">
        <f>ROUND(SUM(M11+M28+M23+M31),1)</f>
        <v>103.9</v>
      </c>
      <c r="N33" s="299"/>
      <c r="O33" s="1052">
        <f>ROUND(SUM(O11+O28+O23+O31),1)</f>
        <v>130.30000000000001</v>
      </c>
      <c r="P33" s="299"/>
      <c r="Q33" s="1052">
        <f>ROUND(SUM(Q11+Q28+Q23+Q31),1)</f>
        <v>104.6</v>
      </c>
      <c r="R33" s="299"/>
      <c r="S33" s="1052">
        <f>ROUND(SUM(S11+S28+S23+S31),1)</f>
        <v>0</v>
      </c>
      <c r="T33" s="299"/>
      <c r="U33" s="1052">
        <f>ROUND(SUM(U11+U28+U23+U31),1)</f>
        <v>0</v>
      </c>
      <c r="V33" s="299"/>
      <c r="W33" s="1052">
        <f>ROUND(SUM(W11+W28+W23+W31),1)</f>
        <v>0</v>
      </c>
      <c r="X33" s="299"/>
      <c r="Y33" s="1052">
        <f>ROUND(SUM(Y11+Y28+Y23+Y31),1)</f>
        <v>0</v>
      </c>
      <c r="Z33" s="299"/>
      <c r="AA33" s="1052">
        <f>ROUND(SUM(AA11+AA28+AA23+AA31),1)</f>
        <v>0</v>
      </c>
      <c r="AB33" s="1054"/>
      <c r="AC33" s="1052">
        <f>ROUND(SUM(AC15+AC28+AC23+AC31),1)</f>
        <v>0</v>
      </c>
      <c r="AD33" s="1050"/>
      <c r="AE33" s="299"/>
      <c r="AF33" s="1052">
        <f>ROUND(SUM(AF28+AF23+AF31),1)</f>
        <v>675.3</v>
      </c>
      <c r="AG33" s="1051"/>
      <c r="AH33" s="300"/>
      <c r="AI33" s="1052">
        <f>ROUND(SUM(AI28+AI23+AI31),1)</f>
        <v>850.3</v>
      </c>
      <c r="AJ33" s="301"/>
      <c r="AK33" s="305"/>
      <c r="AL33" s="1117">
        <f>ROUND(SUM(AF33-AI33),1)</f>
        <v>-175</v>
      </c>
      <c r="AM33" s="304"/>
      <c r="AN33" s="1440">
        <f>ROUND(IF(AI33=0,0,AL33/ABS(AI33)),3)</f>
        <v>-0.20599999999999999</v>
      </c>
      <c r="AO33" s="544"/>
      <c r="AP33" s="297"/>
      <c r="AQ33" s="297"/>
      <c r="AR33" s="297"/>
    </row>
    <row r="34" spans="1:44">
      <c r="A34" s="31"/>
      <c r="B34" s="307"/>
      <c r="C34" s="31"/>
      <c r="D34" s="31"/>
      <c r="E34" s="1843"/>
      <c r="F34" s="1529"/>
      <c r="G34" s="1843"/>
      <c r="H34" s="1529"/>
      <c r="I34" s="1843"/>
      <c r="J34" s="1529"/>
      <c r="K34" s="1843"/>
      <c r="L34" s="299"/>
      <c r="M34" s="1054"/>
      <c r="N34" s="299"/>
      <c r="O34" s="1054"/>
      <c r="P34" s="299"/>
      <c r="Q34" s="1054"/>
      <c r="R34" s="299"/>
      <c r="S34" s="1054"/>
      <c r="T34" s="299"/>
      <c r="U34" s="1054"/>
      <c r="V34" s="299"/>
      <c r="W34" s="1054"/>
      <c r="X34" s="299"/>
      <c r="Y34" s="1054"/>
      <c r="Z34" s="299"/>
      <c r="AA34" s="1054"/>
      <c r="AB34" s="1054"/>
      <c r="AC34" s="1054"/>
      <c r="AD34" s="1376"/>
      <c r="AE34" s="299"/>
      <c r="AF34" s="1054"/>
      <c r="AG34" s="1051"/>
      <c r="AH34" s="300"/>
      <c r="AI34" s="1054"/>
      <c r="AJ34" s="301"/>
      <c r="AK34" s="305"/>
      <c r="AL34" s="1053"/>
      <c r="AM34" s="304"/>
      <c r="AN34" s="1429"/>
      <c r="AO34" s="544"/>
      <c r="AP34" s="297"/>
      <c r="AQ34" s="297"/>
      <c r="AR34" s="297"/>
    </row>
    <row r="35" spans="1:44">
      <c r="A35" s="31"/>
      <c r="B35" s="258" t="s">
        <v>1014</v>
      </c>
      <c r="C35" s="31"/>
      <c r="D35" s="31"/>
      <c r="E35" s="657"/>
      <c r="F35" s="1529"/>
      <c r="G35" s="657"/>
      <c r="H35" s="1529"/>
      <c r="I35" s="657"/>
      <c r="J35" s="1529"/>
      <c r="K35" s="657"/>
      <c r="L35" s="64"/>
      <c r="M35" s="167"/>
      <c r="N35" s="64"/>
      <c r="O35" s="167"/>
      <c r="P35" s="64"/>
      <c r="Q35" s="167"/>
      <c r="R35" s="64"/>
      <c r="S35" s="167"/>
      <c r="T35" s="64"/>
      <c r="U35" s="167"/>
      <c r="V35" s="64"/>
      <c r="W35" s="167"/>
      <c r="X35" s="64"/>
      <c r="Y35" s="167"/>
      <c r="Z35" s="64"/>
      <c r="AA35" s="167"/>
      <c r="AB35" s="167"/>
      <c r="AC35" s="167"/>
      <c r="AD35" s="64"/>
      <c r="AE35" s="55"/>
      <c r="AF35" s="274"/>
      <c r="AG35" s="975"/>
      <c r="AH35" s="58"/>
      <c r="AI35" s="3464"/>
      <c r="AJ35" s="75"/>
      <c r="AK35" s="330"/>
      <c r="AL35" s="56"/>
      <c r="AM35" s="328"/>
      <c r="AN35" s="1424"/>
      <c r="AO35" s="322"/>
    </row>
    <row r="36" spans="1:44">
      <c r="A36" s="31"/>
      <c r="B36" s="890" t="s">
        <v>1133</v>
      </c>
      <c r="C36" s="31"/>
      <c r="D36" s="31"/>
      <c r="E36" s="657"/>
      <c r="F36" s="1529"/>
      <c r="G36" s="657"/>
      <c r="H36" s="1529"/>
      <c r="I36" s="657"/>
      <c r="J36" s="1529"/>
      <c r="K36" s="657"/>
      <c r="L36" s="64"/>
      <c r="M36" s="167"/>
      <c r="N36" s="64"/>
      <c r="O36" s="167"/>
      <c r="P36" s="64"/>
      <c r="Q36" s="167"/>
      <c r="R36" s="64"/>
      <c r="S36" s="167"/>
      <c r="T36" s="64"/>
      <c r="U36" s="167"/>
      <c r="V36" s="64"/>
      <c r="W36" s="167"/>
      <c r="X36" s="64"/>
      <c r="Y36" s="167"/>
      <c r="Z36" s="64"/>
      <c r="AA36" s="167"/>
      <c r="AB36" s="167"/>
      <c r="AC36" s="167"/>
      <c r="AD36" s="64"/>
      <c r="AE36" s="55"/>
      <c r="AF36" s="274"/>
      <c r="AG36" s="975"/>
      <c r="AH36" s="58"/>
      <c r="AI36" s="3464"/>
      <c r="AJ36" s="75"/>
      <c r="AK36" s="330"/>
      <c r="AL36" s="56"/>
      <c r="AM36" s="328"/>
      <c r="AN36" s="1424"/>
      <c r="AO36" s="322"/>
    </row>
    <row r="37" spans="1:44">
      <c r="A37" s="31"/>
      <c r="B37" s="890" t="s">
        <v>1048</v>
      </c>
      <c r="C37" s="31"/>
      <c r="D37" s="31"/>
      <c r="E37" s="657">
        <f>+'Exhibit I State'!E36+'Exhibit I Federal'!E19</f>
        <v>0</v>
      </c>
      <c r="F37" s="1529"/>
      <c r="G37" s="657">
        <f>+'Exhibit I State'!G36+'Exhibit I Federal'!G19</f>
        <v>0</v>
      </c>
      <c r="H37" s="1529"/>
      <c r="I37" s="657">
        <f>+'Exhibit I State'!I36+'Exhibit I Federal'!I19</f>
        <v>0</v>
      </c>
      <c r="J37" s="1529"/>
      <c r="K37" s="657">
        <f>+'Exhibit I State'!K36+'Exhibit I Federal'!K19</f>
        <v>23</v>
      </c>
      <c r="L37" s="64"/>
      <c r="M37" s="657">
        <f>+'Exhibit I State'!M36+'Exhibit I Federal'!M19</f>
        <v>0</v>
      </c>
      <c r="N37" s="64"/>
      <c r="O37" s="657">
        <f>+'Exhibit I State'!O36+'Exhibit I Federal'!O19</f>
        <v>0</v>
      </c>
      <c r="P37" s="64"/>
      <c r="Q37" s="657">
        <f>+'Exhibit I State'!Q36+'Exhibit I Federal'!Q19</f>
        <v>0</v>
      </c>
      <c r="R37" s="64"/>
      <c r="S37" s="657"/>
      <c r="T37" s="64"/>
      <c r="U37" s="657"/>
      <c r="V37" s="64"/>
      <c r="W37" s="657"/>
      <c r="X37" s="64"/>
      <c r="Y37" s="657"/>
      <c r="Z37" s="64"/>
      <c r="AA37" s="657"/>
      <c r="AB37" s="167"/>
      <c r="AC37" s="167">
        <v>0</v>
      </c>
      <c r="AD37" s="64"/>
      <c r="AE37" s="55"/>
      <c r="AF37" s="274">
        <f>ROUND(SUM(E37:AC37),1)</f>
        <v>23</v>
      </c>
      <c r="AG37" s="975"/>
      <c r="AH37" s="58"/>
      <c r="AI37" s="3464">
        <f>+'Exhibit I State'!AG36+'Exhibit I Federal'!AG19</f>
        <v>23</v>
      </c>
      <c r="AJ37" s="75"/>
      <c r="AK37" s="330"/>
      <c r="AL37" s="56">
        <f t="shared" ref="AL37:AL60" si="0">ROUND(SUM(+AF37-AI37),1)</f>
        <v>0</v>
      </c>
      <c r="AM37" s="328"/>
      <c r="AN37" s="1424">
        <f>ROUND(IF(AI37=0,0,AL37/ABS(AI37)),3)</f>
        <v>0</v>
      </c>
      <c r="AO37" s="322"/>
    </row>
    <row r="38" spans="1:44">
      <c r="A38" s="31"/>
      <c r="B38" s="890" t="s">
        <v>1134</v>
      </c>
      <c r="C38" s="31"/>
      <c r="D38" s="31"/>
      <c r="E38" s="657"/>
      <c r="F38" s="1529"/>
      <c r="G38" s="657"/>
      <c r="H38" s="1529"/>
      <c r="I38" s="657"/>
      <c r="J38" s="1529"/>
      <c r="K38" s="657"/>
      <c r="L38" s="64"/>
      <c r="M38" s="657"/>
      <c r="N38" s="64"/>
      <c r="O38" s="657"/>
      <c r="P38" s="64"/>
      <c r="Q38" s="657"/>
      <c r="R38" s="64"/>
      <c r="S38" s="657"/>
      <c r="T38" s="64"/>
      <c r="U38" s="657"/>
      <c r="V38" s="64"/>
      <c r="W38" s="657"/>
      <c r="X38" s="64"/>
      <c r="Y38" s="657"/>
      <c r="Z38" s="64"/>
      <c r="AA38" s="657"/>
      <c r="AB38" s="167"/>
      <c r="AC38" s="167"/>
      <c r="AD38" s="64"/>
      <c r="AE38" s="55"/>
      <c r="AF38" s="274"/>
      <c r="AG38" s="975"/>
      <c r="AH38" s="58"/>
      <c r="AI38" s="3464"/>
      <c r="AJ38" s="75"/>
      <c r="AK38" s="330"/>
      <c r="AL38" s="56"/>
      <c r="AM38" s="328"/>
      <c r="AN38" s="1424"/>
      <c r="AO38" s="322"/>
    </row>
    <row r="39" spans="1:44">
      <c r="A39" s="31"/>
      <c r="B39" s="890" t="s">
        <v>1049</v>
      </c>
      <c r="C39" s="31"/>
      <c r="D39" s="31"/>
      <c r="E39" s="657">
        <f>+'Exhibit I State'!E38+'Exhibit I Federal'!E21</f>
        <v>7.9</v>
      </c>
      <c r="F39" s="1529"/>
      <c r="G39" s="657">
        <f>+'Exhibit I State'!G38+'Exhibit I Federal'!G21</f>
        <v>3.5999999999999996</v>
      </c>
      <c r="H39" s="1529"/>
      <c r="I39" s="657">
        <f>+'Exhibit I State'!I38+'Exhibit I Federal'!I21</f>
        <v>5.3999999999999986</v>
      </c>
      <c r="J39" s="1529"/>
      <c r="K39" s="657">
        <f>+'Exhibit I State'!K38+'Exhibit I Federal'!K21</f>
        <v>7</v>
      </c>
      <c r="L39" s="64"/>
      <c r="M39" s="657">
        <f>+'Exhibit I State'!M38+'Exhibit I Federal'!M21</f>
        <v>7.6000000000000014</v>
      </c>
      <c r="N39" s="64"/>
      <c r="O39" s="657">
        <f>+'Exhibit I State'!O38+'Exhibit I Federal'!O21</f>
        <v>7.1000000000000014</v>
      </c>
      <c r="P39" s="64"/>
      <c r="Q39" s="657">
        <f>+'Exhibit I State'!Q38+'Exhibit I Federal'!Q21</f>
        <v>7.2999999999999972</v>
      </c>
      <c r="R39" s="64"/>
      <c r="S39" s="657"/>
      <c r="T39" s="64"/>
      <c r="U39" s="657"/>
      <c r="V39" s="64"/>
      <c r="W39" s="657"/>
      <c r="X39" s="64"/>
      <c r="Y39" s="657"/>
      <c r="Z39" s="64"/>
      <c r="AA39" s="657"/>
      <c r="AB39" s="167"/>
      <c r="AC39" s="167">
        <v>0</v>
      </c>
      <c r="AD39" s="64"/>
      <c r="AE39" s="55"/>
      <c r="AF39" s="1078">
        <f>ROUND(SUM(E39:AC39),1)</f>
        <v>45.9</v>
      </c>
      <c r="AG39" s="975"/>
      <c r="AH39" s="58"/>
      <c r="AI39" s="3464">
        <f>+'Exhibit I State'!AG38+'Exhibit I Federal'!AG21</f>
        <v>61.5</v>
      </c>
      <c r="AJ39" s="75"/>
      <c r="AK39" s="330"/>
      <c r="AL39" s="56">
        <f t="shared" si="0"/>
        <v>-15.6</v>
      </c>
      <c r="AM39" s="328"/>
      <c r="AN39" s="1424">
        <f>ROUND(IF(AI39=0,0,AL39/ABS(AI39)),3)</f>
        <v>-0.254</v>
      </c>
      <c r="AO39" s="322"/>
    </row>
    <row r="40" spans="1:44">
      <c r="A40" s="31"/>
      <c r="B40" s="890" t="s">
        <v>1139</v>
      </c>
      <c r="C40" s="31"/>
      <c r="D40" s="31"/>
      <c r="E40" s="657"/>
      <c r="F40" s="1529"/>
      <c r="G40" s="657"/>
      <c r="H40" s="1529"/>
      <c r="I40" s="657"/>
      <c r="J40" s="1529"/>
      <c r="K40" s="657"/>
      <c r="L40" s="64"/>
      <c r="M40" s="657"/>
      <c r="N40" s="64"/>
      <c r="O40" s="657"/>
      <c r="P40" s="64"/>
      <c r="Q40" s="657"/>
      <c r="R40" s="64"/>
      <c r="S40" s="657"/>
      <c r="T40" s="64"/>
      <c r="U40" s="657"/>
      <c r="V40" s="64"/>
      <c r="W40" s="657"/>
      <c r="X40" s="64"/>
      <c r="Y40" s="657"/>
      <c r="Z40" s="64"/>
      <c r="AA40" s="657"/>
      <c r="AB40" s="167"/>
      <c r="AC40" s="167"/>
      <c r="AD40" s="64"/>
      <c r="AE40" s="55"/>
      <c r="AF40" s="1078"/>
      <c r="AG40" s="975"/>
      <c r="AH40" s="58"/>
      <c r="AI40" s="3464"/>
      <c r="AJ40" s="75"/>
      <c r="AK40" s="330"/>
      <c r="AL40" s="56"/>
      <c r="AM40" s="328"/>
      <c r="AN40" s="1424"/>
      <c r="AO40" s="322"/>
    </row>
    <row r="41" spans="1:44">
      <c r="A41" s="31"/>
      <c r="B41" s="890" t="s">
        <v>1053</v>
      </c>
      <c r="C41" s="31"/>
      <c r="D41" s="31"/>
      <c r="E41" s="657">
        <f>+'Exhibit I State'!E40+'Exhibit I Federal'!E23</f>
        <v>1.8</v>
      </c>
      <c r="F41" s="1529"/>
      <c r="G41" s="657">
        <f>+'Exhibit I State'!G40+'Exhibit I Federal'!G23</f>
        <v>2.0999999999999996</v>
      </c>
      <c r="H41" s="1529"/>
      <c r="I41" s="657">
        <f>+'Exhibit I State'!I40+'Exhibit I Federal'!I23</f>
        <v>1.6000000000000005</v>
      </c>
      <c r="J41" s="1529"/>
      <c r="K41" s="657">
        <f>+'Exhibit I State'!K40+'Exhibit I Federal'!K23</f>
        <v>1.2999999999999998</v>
      </c>
      <c r="L41" s="64"/>
      <c r="M41" s="657">
        <f>+'Exhibit I State'!M40+'Exhibit I Federal'!M23</f>
        <v>9.3000000000000007</v>
      </c>
      <c r="N41" s="64"/>
      <c r="O41" s="657">
        <f>+'Exhibit I State'!O40+'Exhibit I Federal'!O23</f>
        <v>3.0999999999999979</v>
      </c>
      <c r="P41" s="64"/>
      <c r="Q41" s="657">
        <f>+'Exhibit I State'!Q40+'Exhibit I Federal'!Q23</f>
        <v>2.4999999999999964</v>
      </c>
      <c r="R41" s="64"/>
      <c r="S41" s="657"/>
      <c r="T41" s="64"/>
      <c r="U41" s="657"/>
      <c r="V41" s="64"/>
      <c r="W41" s="657"/>
      <c r="X41" s="64"/>
      <c r="Y41" s="657"/>
      <c r="Z41" s="64"/>
      <c r="AA41" s="657"/>
      <c r="AB41" s="167"/>
      <c r="AC41" s="167">
        <v>0</v>
      </c>
      <c r="AD41" s="64"/>
      <c r="AE41" s="55"/>
      <c r="AF41" s="1078">
        <f t="shared" ref="AF41:AF45" si="1">ROUND(SUM(E41:AC41),1)</f>
        <v>21.7</v>
      </c>
      <c r="AG41" s="975"/>
      <c r="AH41" s="58"/>
      <c r="AI41" s="3464">
        <f>+'Exhibit I State'!AG40+'Exhibit I Federal'!AG23</f>
        <v>25.8</v>
      </c>
      <c r="AJ41" s="75"/>
      <c r="AK41" s="330"/>
      <c r="AL41" s="56">
        <f t="shared" si="0"/>
        <v>-4.0999999999999996</v>
      </c>
      <c r="AM41" s="328"/>
      <c r="AN41" s="1424">
        <f>ROUND(IF(AI41=0,0,AL41/ABS(AI41)),3)</f>
        <v>-0.159</v>
      </c>
      <c r="AO41" s="322"/>
    </row>
    <row r="42" spans="1:44">
      <c r="A42" s="31"/>
      <c r="B42" s="890" t="s">
        <v>1197</v>
      </c>
      <c r="C42" s="31"/>
      <c r="D42" s="31"/>
      <c r="E42" s="657">
        <f>+'Exhibit I State'!E41+'Exhibit I Federal'!E24</f>
        <v>0</v>
      </c>
      <c r="F42" s="1529"/>
      <c r="G42" s="657">
        <f>+'Exhibit I State'!G41+'Exhibit I Federal'!G24</f>
        <v>0</v>
      </c>
      <c r="H42" s="1529"/>
      <c r="I42" s="657">
        <f>+'Exhibit I State'!I41+'Exhibit I Federal'!I24</f>
        <v>0</v>
      </c>
      <c r="J42" s="1529"/>
      <c r="K42" s="657">
        <f>+'Exhibit I State'!K41+'Exhibit I Federal'!K24</f>
        <v>0</v>
      </c>
      <c r="L42" s="64"/>
      <c r="M42" s="657">
        <f>+'Exhibit I State'!M41+'Exhibit I Federal'!M24</f>
        <v>0</v>
      </c>
      <c r="N42" s="64"/>
      <c r="O42" s="657">
        <f>+'Exhibit I State'!O41+'Exhibit I Federal'!O24</f>
        <v>0</v>
      </c>
      <c r="P42" s="64"/>
      <c r="Q42" s="657">
        <f>+'Exhibit I State'!Q41+'Exhibit I Federal'!Q24</f>
        <v>0</v>
      </c>
      <c r="R42" s="64"/>
      <c r="S42" s="657"/>
      <c r="T42" s="64"/>
      <c r="U42" s="657"/>
      <c r="V42" s="64"/>
      <c r="W42" s="657"/>
      <c r="X42" s="64"/>
      <c r="Y42" s="657"/>
      <c r="Z42" s="64"/>
      <c r="AA42" s="657"/>
      <c r="AB42" s="167"/>
      <c r="AC42" s="167">
        <v>0</v>
      </c>
      <c r="AD42" s="64"/>
      <c r="AE42" s="55"/>
      <c r="AF42" s="1078">
        <f t="shared" si="1"/>
        <v>0</v>
      </c>
      <c r="AG42" s="1478"/>
      <c r="AH42" s="58"/>
      <c r="AI42" s="3464">
        <f>+'Exhibit I State'!AG41+'Exhibit I Federal'!AG24</f>
        <v>0</v>
      </c>
      <c r="AJ42" s="75"/>
      <c r="AK42" s="330"/>
      <c r="AL42" s="56">
        <f>ROUND(SUM(+AF42-AI42),1)</f>
        <v>0</v>
      </c>
      <c r="AM42" s="328"/>
      <c r="AN42" s="1424">
        <f>ROUND(IF(AI42=0,0,AL42/ABS(AI42)),3)</f>
        <v>0</v>
      </c>
      <c r="AO42" s="322"/>
    </row>
    <row r="43" spans="1:44">
      <c r="A43" s="31"/>
      <c r="B43" s="890" t="s">
        <v>1056</v>
      </c>
      <c r="C43" s="31"/>
      <c r="D43" s="31"/>
      <c r="E43" s="657">
        <f>+'Exhibit I State'!E42+'Exhibit I Federal'!E25</f>
        <v>52.2</v>
      </c>
      <c r="F43" s="1529"/>
      <c r="G43" s="657">
        <f>+'Exhibit I State'!G42+'Exhibit I Federal'!G25</f>
        <v>33.200000000000003</v>
      </c>
      <c r="H43" s="1529"/>
      <c r="I43" s="657">
        <f>+'Exhibit I State'!I42+'Exhibit I Federal'!I25</f>
        <v>43.099999999999994</v>
      </c>
      <c r="J43" s="1529"/>
      <c r="K43" s="657">
        <f>+'Exhibit I State'!K42+'Exhibit I Federal'!K25</f>
        <v>60.59999999999998</v>
      </c>
      <c r="L43" s="64"/>
      <c r="M43" s="657">
        <f>+'Exhibit I State'!M42+'Exhibit I Federal'!M25</f>
        <v>63.400000000000048</v>
      </c>
      <c r="N43" s="64"/>
      <c r="O43" s="657">
        <f>+'Exhibit I State'!O42+'Exhibit I Federal'!O25</f>
        <v>57.399999999999977</v>
      </c>
      <c r="P43" s="64"/>
      <c r="Q43" s="657">
        <f>+'Exhibit I State'!Q42+'Exhibit I Federal'!Q25</f>
        <v>60.700000000000031</v>
      </c>
      <c r="R43" s="64"/>
      <c r="S43" s="657"/>
      <c r="T43" s="64"/>
      <c r="U43" s="657"/>
      <c r="V43" s="64"/>
      <c r="W43" s="657"/>
      <c r="X43" s="64"/>
      <c r="Y43" s="657"/>
      <c r="Z43" s="64"/>
      <c r="AA43" s="657"/>
      <c r="AB43" s="167"/>
      <c r="AC43" s="167">
        <v>0</v>
      </c>
      <c r="AD43" s="64"/>
      <c r="AE43" s="55"/>
      <c r="AF43" s="1078">
        <f>ROUND(SUM(E43:AC43),1)</f>
        <v>370.6</v>
      </c>
      <c r="AG43" s="975"/>
      <c r="AH43" s="58"/>
      <c r="AI43" s="3464">
        <f>+'Exhibit I State'!AG42+'Exhibit I Federal'!AG25</f>
        <v>443.9</v>
      </c>
      <c r="AJ43" s="75"/>
      <c r="AK43" s="330"/>
      <c r="AL43" s="56">
        <f t="shared" si="0"/>
        <v>-73.3</v>
      </c>
      <c r="AM43" s="328"/>
      <c r="AN43" s="1424">
        <f>ROUND(IF(AI43=0,0,AL43/ABS(AI43)),3)</f>
        <v>-0.16500000000000001</v>
      </c>
      <c r="AO43" s="322"/>
    </row>
    <row r="44" spans="1:44">
      <c r="A44" s="31"/>
      <c r="B44" s="890" t="s">
        <v>1057</v>
      </c>
      <c r="C44" s="31"/>
      <c r="D44" s="31"/>
      <c r="E44" s="657">
        <f>+'Exhibit I State'!E43+'Exhibit I Federal'!E26</f>
        <v>0</v>
      </c>
      <c r="F44" s="1529"/>
      <c r="G44" s="657">
        <f>+'Exhibit I State'!G43+'Exhibit I Federal'!G26</f>
        <v>0</v>
      </c>
      <c r="H44" s="1529"/>
      <c r="I44" s="657">
        <f>+'Exhibit I State'!I43+'Exhibit I Federal'!I26</f>
        <v>0.5</v>
      </c>
      <c r="J44" s="1529"/>
      <c r="K44" s="657">
        <f>+'Exhibit I State'!K43+'Exhibit I Federal'!K26</f>
        <v>0</v>
      </c>
      <c r="L44" s="64"/>
      <c r="M44" s="657">
        <f>+'Exhibit I State'!M43+'Exhibit I Federal'!M26</f>
        <v>11</v>
      </c>
      <c r="N44" s="64"/>
      <c r="O44" s="657">
        <f>+'Exhibit I State'!O43+'Exhibit I Federal'!O26</f>
        <v>7.6999999999999993</v>
      </c>
      <c r="P44" s="64"/>
      <c r="Q44" s="657">
        <f>+'Exhibit I State'!Q43+'Exhibit I Federal'!Q26</f>
        <v>0.10000000000000142</v>
      </c>
      <c r="R44" s="64"/>
      <c r="S44" s="657"/>
      <c r="T44" s="64"/>
      <c r="U44" s="657"/>
      <c r="V44" s="64"/>
      <c r="W44" s="657"/>
      <c r="X44" s="64"/>
      <c r="Y44" s="657"/>
      <c r="Z44" s="64"/>
      <c r="AA44" s="657"/>
      <c r="AB44" s="167"/>
      <c r="AC44" s="167">
        <v>0</v>
      </c>
      <c r="AD44" s="64"/>
      <c r="AE44" s="55"/>
      <c r="AF44" s="1078">
        <f t="shared" si="1"/>
        <v>19.3</v>
      </c>
      <c r="AG44" s="975"/>
      <c r="AH44" s="58"/>
      <c r="AI44" s="3465">
        <f>+'Exhibit I State'!AG43+'Exhibit I Federal'!AG26</f>
        <v>16.100000000000001</v>
      </c>
      <c r="AJ44" s="75"/>
      <c r="AK44" s="330"/>
      <c r="AL44" s="668">
        <f>ROUND(SUM(+AF44-AI44),1)</f>
        <v>3.2</v>
      </c>
      <c r="AM44" s="941"/>
      <c r="AN44" s="1463">
        <f>ROUND(IF(AI44=0,1,AL44/ABS(AI44)),3)</f>
        <v>0.19900000000000001</v>
      </c>
      <c r="AO44" s="322"/>
    </row>
    <row r="45" spans="1:44">
      <c r="A45" s="31"/>
      <c r="B45" s="890" t="s">
        <v>1015</v>
      </c>
      <c r="C45" s="31"/>
      <c r="D45" s="31"/>
      <c r="E45" s="657">
        <f>+'Exhibit I State'!E44+'Exhibit I Federal'!E27</f>
        <v>2</v>
      </c>
      <c r="F45" s="1529"/>
      <c r="G45" s="657">
        <f>+'Exhibit I State'!G44+'Exhibit I Federal'!G27</f>
        <v>1.9</v>
      </c>
      <c r="H45" s="1529"/>
      <c r="I45" s="657">
        <f>+'Exhibit I State'!I44+'Exhibit I Federal'!I27</f>
        <v>2.0000000000000004</v>
      </c>
      <c r="J45" s="1529"/>
      <c r="K45" s="657">
        <f>+'Exhibit I State'!K44+'Exhibit I Federal'!K27</f>
        <v>1.2000000000000002</v>
      </c>
      <c r="L45" s="64"/>
      <c r="M45" s="657">
        <f>+'Exhibit I State'!M44+'Exhibit I Federal'!M27</f>
        <v>3.2</v>
      </c>
      <c r="N45" s="64"/>
      <c r="O45" s="657">
        <f>+'Exhibit I State'!O44+'Exhibit I Federal'!O27</f>
        <v>2.1999999999999993</v>
      </c>
      <c r="P45" s="64"/>
      <c r="Q45" s="657">
        <f>+'Exhibit I State'!Q44+'Exhibit I Federal'!Q27</f>
        <v>1.9000000000000004</v>
      </c>
      <c r="R45" s="64"/>
      <c r="S45" s="657"/>
      <c r="T45" s="64"/>
      <c r="U45" s="657"/>
      <c r="V45" s="64"/>
      <c r="W45" s="657"/>
      <c r="X45" s="64"/>
      <c r="Y45" s="657"/>
      <c r="Z45" s="64"/>
      <c r="AA45" s="657"/>
      <c r="AB45" s="167"/>
      <c r="AC45" s="167">
        <v>0</v>
      </c>
      <c r="AD45" s="64"/>
      <c r="AE45" s="55"/>
      <c r="AF45" s="1078">
        <f t="shared" si="1"/>
        <v>14.4</v>
      </c>
      <c r="AG45" s="975"/>
      <c r="AH45" s="58"/>
      <c r="AI45" s="3464">
        <f>+'Exhibit I State'!AG44+'Exhibit I Federal'!AG27</f>
        <v>14.2</v>
      </c>
      <c r="AJ45" s="75"/>
      <c r="AK45" s="330"/>
      <c r="AL45" s="56">
        <f t="shared" si="0"/>
        <v>0.2</v>
      </c>
      <c r="AM45" s="328"/>
      <c r="AN45" s="1477">
        <f>ROUND(IF(AI45=0,1,AL45/ABS(AI45)),3)</f>
        <v>1.4E-2</v>
      </c>
      <c r="AO45" s="322"/>
    </row>
    <row r="46" spans="1:44">
      <c r="A46" s="31"/>
      <c r="B46" s="890" t="s">
        <v>1016</v>
      </c>
      <c r="C46" s="31"/>
      <c r="D46" s="31"/>
      <c r="E46" s="657">
        <f>+'Exhibit I State'!E45+'Exhibit I Federal'!E28</f>
        <v>0.7</v>
      </c>
      <c r="F46" s="1529"/>
      <c r="G46" s="657">
        <f>+'Exhibit I State'!G45+'Exhibit I Federal'!G28</f>
        <v>0.5</v>
      </c>
      <c r="H46" s="1529"/>
      <c r="I46" s="657">
        <f>+'Exhibit I State'!I45+'Exhibit I Federal'!I28</f>
        <v>0.10000000000000009</v>
      </c>
      <c r="J46" s="1529"/>
      <c r="K46" s="657">
        <f>+'Exhibit I State'!K45+'Exhibit I Federal'!K28</f>
        <v>0</v>
      </c>
      <c r="L46" s="64"/>
      <c r="M46" s="657">
        <f>+'Exhibit I State'!M45+'Exhibit I Federal'!M28</f>
        <v>9.9999999999999867E-2</v>
      </c>
      <c r="N46" s="64"/>
      <c r="O46" s="657">
        <f>+'Exhibit I State'!O45+'Exhibit I Federal'!O28</f>
        <v>0.10000000000000009</v>
      </c>
      <c r="P46" s="64"/>
      <c r="Q46" s="657">
        <f>+'Exhibit I State'!Q45+'Exhibit I Federal'!Q28</f>
        <v>0</v>
      </c>
      <c r="R46" s="64"/>
      <c r="S46" s="657"/>
      <c r="T46" s="64"/>
      <c r="U46" s="657"/>
      <c r="V46" s="64"/>
      <c r="W46" s="657"/>
      <c r="X46" s="64"/>
      <c r="Y46" s="657"/>
      <c r="Z46" s="64"/>
      <c r="AA46" s="657"/>
      <c r="AB46" s="167"/>
      <c r="AC46" s="167">
        <v>0</v>
      </c>
      <c r="AD46" s="64"/>
      <c r="AE46" s="55"/>
      <c r="AF46" s="1078">
        <f>ROUND(SUM(E46:AC46),1)</f>
        <v>1.5</v>
      </c>
      <c r="AG46" s="975"/>
      <c r="AH46" s="58"/>
      <c r="AI46" s="3464">
        <f>+'Exhibit I State'!AG45+'Exhibit I Federal'!AG28</f>
        <v>7.2</v>
      </c>
      <c r="AJ46" s="75"/>
      <c r="AK46" s="330"/>
      <c r="AL46" s="56">
        <f>ROUND(SUM(+AF46-AI46),1)</f>
        <v>-5.7</v>
      </c>
      <c r="AM46" s="328"/>
      <c r="AN46" s="1424">
        <f>ROUND(IF(AI46=0,1,AL46/ABS(AI46)),3)</f>
        <v>-0.79200000000000004</v>
      </c>
      <c r="AO46" s="322"/>
    </row>
    <row r="47" spans="1:44">
      <c r="A47" s="31"/>
      <c r="B47" s="890" t="s">
        <v>1137</v>
      </c>
      <c r="C47" s="31"/>
      <c r="D47" s="31"/>
      <c r="E47" s="657"/>
      <c r="F47" s="1529"/>
      <c r="G47" s="657"/>
      <c r="H47" s="1529"/>
      <c r="I47" s="657"/>
      <c r="J47" s="1529"/>
      <c r="K47" s="657"/>
      <c r="L47" s="64"/>
      <c r="M47" s="657"/>
      <c r="N47" s="64"/>
      <c r="O47" s="657"/>
      <c r="P47" s="64"/>
      <c r="Q47" s="657"/>
      <c r="R47" s="64"/>
      <c r="S47" s="657"/>
      <c r="T47" s="64"/>
      <c r="U47" s="657"/>
      <c r="V47" s="64"/>
      <c r="W47" s="657"/>
      <c r="X47" s="64"/>
      <c r="Y47" s="657"/>
      <c r="Z47" s="64"/>
      <c r="AA47" s="657"/>
      <c r="AB47" s="167"/>
      <c r="AC47" s="167"/>
      <c r="AD47" s="64"/>
      <c r="AE47" s="55"/>
      <c r="AF47" s="1078"/>
      <c r="AG47" s="975"/>
      <c r="AH47" s="58"/>
      <c r="AI47" s="3464"/>
      <c r="AJ47" s="75"/>
      <c r="AK47" s="330"/>
      <c r="AL47" s="56"/>
      <c r="AM47" s="328"/>
      <c r="AN47" s="8"/>
      <c r="AO47" s="322"/>
    </row>
    <row r="48" spans="1:44">
      <c r="A48" s="31"/>
      <c r="B48" s="890" t="s">
        <v>1061</v>
      </c>
      <c r="C48" s="31"/>
      <c r="D48" s="31"/>
      <c r="E48" s="657">
        <f>+'Exhibit I State'!E47+'Exhibit I Federal'!E30</f>
        <v>1122.0999999999999</v>
      </c>
      <c r="F48" s="1529"/>
      <c r="G48" s="657">
        <f>+'Exhibit I State'!G47+'Exhibit I Federal'!G30</f>
        <v>19.100000000000136</v>
      </c>
      <c r="H48" s="1529"/>
      <c r="I48" s="657">
        <f>+'Exhibit I State'!I47+'Exhibit I Federal'!I30</f>
        <v>342.39999999999986</v>
      </c>
      <c r="J48" s="1529"/>
      <c r="K48" s="657">
        <f>+'Exhibit I State'!K47+'Exhibit I Federal'!K30</f>
        <v>269.90000000000009</v>
      </c>
      <c r="L48" s="64"/>
      <c r="M48" s="657">
        <f>+'Exhibit I State'!M47+'Exhibit I Federal'!M30</f>
        <v>32.400000000000091</v>
      </c>
      <c r="N48" s="64"/>
      <c r="O48" s="657">
        <f>+'Exhibit I State'!O47+'Exhibit I Federal'!O30</f>
        <v>384.69999999999982</v>
      </c>
      <c r="P48" s="64"/>
      <c r="Q48" s="657">
        <f>+'Exhibit I State'!Q47+'Exhibit I Federal'!Q30</f>
        <v>895.80000000000018</v>
      </c>
      <c r="R48" s="64"/>
      <c r="S48" s="657"/>
      <c r="T48" s="64"/>
      <c r="U48" s="657"/>
      <c r="V48" s="64"/>
      <c r="W48" s="657"/>
      <c r="X48" s="64"/>
      <c r="Y48" s="657"/>
      <c r="Z48" s="64"/>
      <c r="AA48" s="657"/>
      <c r="AB48" s="167"/>
      <c r="AC48" s="167">
        <v>0</v>
      </c>
      <c r="AD48" s="64"/>
      <c r="AE48" s="55"/>
      <c r="AF48" s="1078">
        <f>ROUND(SUM(E48:AC48),1)</f>
        <v>3066.4</v>
      </c>
      <c r="AG48" s="975"/>
      <c r="AH48" s="58"/>
      <c r="AI48" s="3464">
        <f>+'Exhibit I State'!AG47+'Exhibit I Federal'!AG30</f>
        <v>2671.8</v>
      </c>
      <c r="AJ48" s="75"/>
      <c r="AK48" s="330"/>
      <c r="AL48" s="56">
        <f t="shared" si="0"/>
        <v>394.6</v>
      </c>
      <c r="AM48" s="328"/>
      <c r="AN48" s="1876">
        <f>ROUND(IF(AI48=0,1,AL48/ABS(AI48)),3)</f>
        <v>0.14799999999999999</v>
      </c>
      <c r="AO48" s="322"/>
    </row>
    <row r="49" spans="1:41">
      <c r="A49" s="31"/>
      <c r="B49" s="890" t="s">
        <v>1063</v>
      </c>
      <c r="C49" s="31"/>
      <c r="D49" s="31"/>
      <c r="E49" s="657">
        <f>+'Exhibit I State'!E48+'Exhibit I Federal'!E31</f>
        <v>0</v>
      </c>
      <c r="F49" s="657">
        <v>0</v>
      </c>
      <c r="G49" s="1120">
        <f>+'Exhibit I State'!G48+'Exhibit I Federal'!G31</f>
        <v>0</v>
      </c>
      <c r="H49" s="657"/>
      <c r="I49" s="1120">
        <f>+'Exhibit I State'!I48+'Exhibit I Federal'!I31</f>
        <v>0</v>
      </c>
      <c r="J49" s="657"/>
      <c r="K49" s="1120">
        <f>+'Exhibit I State'!K48+'Exhibit I Federal'!K31</f>
        <v>0</v>
      </c>
      <c r="L49" s="167"/>
      <c r="M49" s="657">
        <f>+'Exhibit I State'!M48+'Exhibit I Federal'!M31</f>
        <v>0</v>
      </c>
      <c r="N49" s="167"/>
      <c r="O49" s="657">
        <f>+'Exhibit I State'!O48+'Exhibit I Federal'!O31</f>
        <v>0</v>
      </c>
      <c r="P49" s="167"/>
      <c r="Q49" s="657">
        <f>+'Exhibit I State'!Q48+'Exhibit I Federal'!Q31</f>
        <v>0</v>
      </c>
      <c r="R49" s="64"/>
      <c r="S49" s="657"/>
      <c r="T49" s="64"/>
      <c r="U49" s="657"/>
      <c r="V49" s="64"/>
      <c r="W49" s="657"/>
      <c r="X49" s="64"/>
      <c r="Y49" s="657"/>
      <c r="Z49" s="64"/>
      <c r="AA49" s="657"/>
      <c r="AB49" s="167"/>
      <c r="AC49" s="167">
        <v>0</v>
      </c>
      <c r="AD49" s="64"/>
      <c r="AE49" s="55"/>
      <c r="AF49" s="1078">
        <f>ROUND(SUM(E49:AC49),1)</f>
        <v>0</v>
      </c>
      <c r="AG49" s="1478"/>
      <c r="AH49" s="58"/>
      <c r="AI49" s="3464">
        <f>+'Exhibit I State'!AG48+'Exhibit I Federal'!AG31</f>
        <v>0</v>
      </c>
      <c r="AJ49" s="75"/>
      <c r="AK49" s="330"/>
      <c r="AL49" s="56">
        <f t="shared" si="0"/>
        <v>0</v>
      </c>
      <c r="AM49" s="328"/>
      <c r="AN49" s="1424">
        <f>ROUND(IF(AI49=0,0,AL49/ABS(AI49)),3)</f>
        <v>0</v>
      </c>
      <c r="AO49" s="322"/>
    </row>
    <row r="50" spans="1:41">
      <c r="A50" s="31"/>
      <c r="B50" s="890" t="s">
        <v>1064</v>
      </c>
      <c r="C50" s="31"/>
      <c r="D50" s="31"/>
      <c r="E50" s="657">
        <f>+'Exhibit I State'!E49+'Exhibit I Federal'!E32</f>
        <v>0.1</v>
      </c>
      <c r="F50" s="1529"/>
      <c r="G50" s="657">
        <f>+'Exhibit I State'!G49+'Exhibit I Federal'!G32</f>
        <v>0</v>
      </c>
      <c r="H50" s="1529"/>
      <c r="I50" s="657">
        <f>+'Exhibit I State'!I49+'Exhibit I Federal'!I32</f>
        <v>0.5</v>
      </c>
      <c r="J50" s="1529"/>
      <c r="K50" s="657">
        <f>+'Exhibit I State'!K49+'Exhibit I Federal'!K32</f>
        <v>9.9999999999999978E-2</v>
      </c>
      <c r="L50" s="64"/>
      <c r="M50" s="657">
        <f>+'Exhibit I State'!M49+'Exhibit I Federal'!M32</f>
        <v>0.49999999999999989</v>
      </c>
      <c r="N50" s="64"/>
      <c r="O50" s="657">
        <f>+'Exhibit I State'!O49+'Exhibit I Federal'!O32</f>
        <v>0.10000000000000009</v>
      </c>
      <c r="P50" s="64"/>
      <c r="Q50" s="657">
        <f>+'Exhibit I State'!Q49+'Exhibit I Federal'!Q32</f>
        <v>0.39999999999999991</v>
      </c>
      <c r="R50" s="64"/>
      <c r="S50" s="657"/>
      <c r="T50" s="64"/>
      <c r="U50" s="657"/>
      <c r="V50" s="64"/>
      <c r="W50" s="657"/>
      <c r="X50" s="64"/>
      <c r="Y50" s="657"/>
      <c r="Z50" s="64"/>
      <c r="AA50" s="657"/>
      <c r="AB50" s="167"/>
      <c r="AC50" s="167">
        <v>0</v>
      </c>
      <c r="AD50" s="64"/>
      <c r="AE50" s="55"/>
      <c r="AF50" s="1078">
        <f>ROUND(SUM(E50:AC50),1)</f>
        <v>1.7</v>
      </c>
      <c r="AG50" s="975"/>
      <c r="AH50" s="58"/>
      <c r="AI50" s="3464">
        <f>+'Exhibit I State'!AG49+'Exhibit I Federal'!AG32</f>
        <v>24.3</v>
      </c>
      <c r="AJ50" s="75"/>
      <c r="AK50" s="330"/>
      <c r="AL50" s="56">
        <f t="shared" si="0"/>
        <v>-22.6</v>
      </c>
      <c r="AM50" s="328"/>
      <c r="AN50" s="1556">
        <f>ROUND(IF(AI50=0,1,AL50/ABS(AI50)),3)</f>
        <v>-0.93</v>
      </c>
      <c r="AO50" s="322"/>
    </row>
    <row r="51" spans="1:41">
      <c r="A51" s="31"/>
      <c r="B51" s="890" t="s">
        <v>1034</v>
      </c>
      <c r="C51" s="31"/>
      <c r="D51" s="31"/>
      <c r="E51" s="657">
        <f>+'Exhibit I State'!E50+'Exhibit I Federal'!E33</f>
        <v>0</v>
      </c>
      <c r="F51" s="1529"/>
      <c r="G51" s="657">
        <f>+'Exhibit I State'!G50+'Exhibit I Federal'!G33</f>
        <v>0</v>
      </c>
      <c r="H51" s="1529"/>
      <c r="I51" s="657">
        <f>+'Exhibit I State'!I50+'Exhibit I Federal'!I33</f>
        <v>0.1</v>
      </c>
      <c r="J51" s="1529"/>
      <c r="K51" s="657">
        <f>+'Exhibit I State'!K50+'Exhibit I Federal'!K33</f>
        <v>0</v>
      </c>
      <c r="L51" s="64"/>
      <c r="M51" s="657">
        <f>+'Exhibit I State'!M50+'Exhibit I Federal'!M33</f>
        <v>0.30000000000000004</v>
      </c>
      <c r="N51" s="64"/>
      <c r="O51" s="657">
        <f>+'Exhibit I State'!O50+'Exhibit I Federal'!O33</f>
        <v>0</v>
      </c>
      <c r="P51" s="64"/>
      <c r="Q51" s="657">
        <f>+'Exhibit I State'!Q50+'Exhibit I Federal'!Q33</f>
        <v>9.9999999999999978E-2</v>
      </c>
      <c r="R51" s="64"/>
      <c r="S51" s="657"/>
      <c r="T51" s="64"/>
      <c r="U51" s="657"/>
      <c r="V51" s="64"/>
      <c r="W51" s="657"/>
      <c r="X51" s="64"/>
      <c r="Y51" s="657"/>
      <c r="Z51" s="64"/>
      <c r="AA51" s="657"/>
      <c r="AB51" s="167"/>
      <c r="AC51" s="167">
        <v>0</v>
      </c>
      <c r="AD51" s="64"/>
      <c r="AE51" s="55"/>
      <c r="AF51" s="1078">
        <f>ROUND(SUM(E51:AC51),1)</f>
        <v>0.5</v>
      </c>
      <c r="AG51" s="975"/>
      <c r="AH51" s="58"/>
      <c r="AI51" s="3464">
        <f>+'Exhibit I State'!AG50+'Exhibit I Federal'!AG33</f>
        <v>1.3</v>
      </c>
      <c r="AJ51" s="75"/>
      <c r="AK51" s="330"/>
      <c r="AL51" s="56">
        <f t="shared" si="0"/>
        <v>-0.8</v>
      </c>
      <c r="AM51" s="328"/>
      <c r="AN51" s="8">
        <f>ROUND(IF(AI51=0,0,AL51/ABS(AI51)),3)</f>
        <v>-0.61499999999999999</v>
      </c>
      <c r="AO51" s="322"/>
    </row>
    <row r="52" spans="1:41">
      <c r="A52" s="31"/>
      <c r="B52" s="890" t="s">
        <v>1035</v>
      </c>
      <c r="C52" s="31"/>
      <c r="D52" s="31"/>
      <c r="E52" s="657">
        <f>+'Exhibit I State'!E51+'Exhibit I Federal'!E34</f>
        <v>0.5</v>
      </c>
      <c r="F52" s="1529"/>
      <c r="G52" s="657">
        <f>+'Exhibit I State'!G51+'Exhibit I Federal'!G34</f>
        <v>1.1000000000000001</v>
      </c>
      <c r="H52" s="1529"/>
      <c r="I52" s="657">
        <f>+'Exhibit I State'!I51+'Exhibit I Federal'!I34</f>
        <v>2.1</v>
      </c>
      <c r="J52" s="1529"/>
      <c r="K52" s="657">
        <f>+'Exhibit I State'!K51+'Exhibit I Federal'!K34</f>
        <v>2.1999999999999993</v>
      </c>
      <c r="L52" s="64"/>
      <c r="M52" s="657">
        <f>+'Exhibit I State'!M51+'Exhibit I Federal'!M34</f>
        <v>3.8000000000000012</v>
      </c>
      <c r="N52" s="64"/>
      <c r="O52" s="657">
        <f>+'Exhibit I State'!O51+'Exhibit I Federal'!O34</f>
        <v>1.1999999999999997</v>
      </c>
      <c r="P52" s="64"/>
      <c r="Q52" s="657">
        <f>+'Exhibit I State'!Q51+'Exhibit I Federal'!Q34</f>
        <v>0.79999999999999927</v>
      </c>
      <c r="R52" s="64"/>
      <c r="S52" s="657"/>
      <c r="T52" s="64"/>
      <c r="U52" s="657"/>
      <c r="V52" s="64"/>
      <c r="W52" s="657"/>
      <c r="X52" s="64"/>
      <c r="Y52" s="657"/>
      <c r="Z52" s="64"/>
      <c r="AA52" s="657"/>
      <c r="AB52" s="167"/>
      <c r="AC52" s="167">
        <v>0</v>
      </c>
      <c r="AD52" s="64"/>
      <c r="AE52" s="55"/>
      <c r="AF52" s="1078">
        <f>ROUND(SUM(E52:AC52),1)</f>
        <v>11.7</v>
      </c>
      <c r="AG52" s="975"/>
      <c r="AH52" s="58"/>
      <c r="AI52" s="3466">
        <f>+'Exhibit I State'!AG51+'Exhibit I Federal'!AG34</f>
        <v>5.8</v>
      </c>
      <c r="AJ52" s="75"/>
      <c r="AK52" s="330"/>
      <c r="AL52" s="56">
        <f t="shared" si="0"/>
        <v>5.9</v>
      </c>
      <c r="AM52" s="328"/>
      <c r="AN52" s="8">
        <f>ROUND(IF(AI52=0,0,AL52/ABS(AI52)),3)</f>
        <v>1.0169999999999999</v>
      </c>
      <c r="AO52" s="322"/>
    </row>
    <row r="53" spans="1:41">
      <c r="A53" s="31"/>
      <c r="B53" s="890" t="s">
        <v>1138</v>
      </c>
      <c r="C53" s="31"/>
      <c r="D53" s="31"/>
      <c r="E53" s="657"/>
      <c r="F53" s="1529"/>
      <c r="G53" s="657"/>
      <c r="H53" s="1529"/>
      <c r="I53" s="657"/>
      <c r="J53" s="1529"/>
      <c r="K53" s="657"/>
      <c r="L53" s="64"/>
      <c r="M53" s="657"/>
      <c r="N53" s="64"/>
      <c r="O53" s="657"/>
      <c r="P53" s="64"/>
      <c r="Q53" s="657"/>
      <c r="R53" s="64"/>
      <c r="S53" s="657"/>
      <c r="T53" s="64"/>
      <c r="U53" s="657"/>
      <c r="V53" s="64"/>
      <c r="W53" s="657"/>
      <c r="X53" s="64"/>
      <c r="Y53" s="657"/>
      <c r="Z53" s="64"/>
      <c r="AA53" s="657"/>
      <c r="AB53" s="167"/>
      <c r="AC53" s="657" t="s">
        <v>15</v>
      </c>
      <c r="AD53" s="64"/>
      <c r="AE53" s="55"/>
      <c r="AF53" s="1078"/>
      <c r="AG53" s="975"/>
      <c r="AH53" s="58"/>
      <c r="AI53" s="3464"/>
      <c r="AJ53" s="75"/>
      <c r="AK53" s="330"/>
      <c r="AL53" s="56"/>
      <c r="AM53" s="328"/>
      <c r="AN53" s="8"/>
      <c r="AO53" s="322"/>
    </row>
    <row r="54" spans="1:41">
      <c r="A54" s="31"/>
      <c r="B54" s="890" t="s">
        <v>1065</v>
      </c>
      <c r="C54" s="31"/>
      <c r="D54" s="31"/>
      <c r="E54" s="657">
        <f>+'Exhibit I State'!E53+'Exhibit I Federal'!E36</f>
        <v>0</v>
      </c>
      <c r="F54" s="1529"/>
      <c r="G54" s="657">
        <f>+'Exhibit I State'!G53+'Exhibit I Federal'!G36</f>
        <v>0</v>
      </c>
      <c r="H54" s="1529"/>
      <c r="I54" s="657">
        <f>+'Exhibit I State'!I53+'Exhibit I Federal'!I36</f>
        <v>0</v>
      </c>
      <c r="J54" s="1529"/>
      <c r="K54" s="657">
        <f>+'Exhibit I State'!K53+'Exhibit I Federal'!K36</f>
        <v>0</v>
      </c>
      <c r="L54" s="64"/>
      <c r="M54" s="657">
        <f>+'Exhibit I State'!M53+'Exhibit I Federal'!M36</f>
        <v>0</v>
      </c>
      <c r="N54" s="64"/>
      <c r="O54" s="657">
        <f>+'Exhibit I State'!O53+'Exhibit I Federal'!O36</f>
        <v>0</v>
      </c>
      <c r="P54" s="64"/>
      <c r="Q54" s="657">
        <f>+'Exhibit I State'!Q53+'Exhibit I Federal'!Q36</f>
        <v>0</v>
      </c>
      <c r="R54" s="64"/>
      <c r="S54" s="657"/>
      <c r="T54" s="64"/>
      <c r="U54" s="657"/>
      <c r="V54" s="64"/>
      <c r="W54" s="657"/>
      <c r="X54" s="64"/>
      <c r="Y54" s="657"/>
      <c r="Z54" s="64"/>
      <c r="AA54" s="657"/>
      <c r="AB54" s="167"/>
      <c r="AC54" s="354">
        <v>0</v>
      </c>
      <c r="AD54" s="115"/>
      <c r="AE54" s="676"/>
      <c r="AF54" s="1078">
        <f t="shared" ref="AF54:AF58" si="2">ROUND(SUM(E54:AC54),1)</f>
        <v>0</v>
      </c>
      <c r="AG54" s="1104"/>
      <c r="AH54" s="66"/>
      <c r="AI54" s="3464">
        <f>+'Exhibit I State'!AG53+'Exhibit I Federal'!AG36</f>
        <v>0</v>
      </c>
      <c r="AJ54" s="75"/>
      <c r="AK54" s="330"/>
      <c r="AL54" s="668">
        <f>ROUND(SUM(+AF54-AI54),1)</f>
        <v>0</v>
      </c>
      <c r="AM54" s="941"/>
      <c r="AN54" s="1424">
        <f>ROUND(IF(AI54=0,0,AL54/ABS(AI54)),3)</f>
        <v>0</v>
      </c>
      <c r="AO54" s="322"/>
    </row>
    <row r="55" spans="1:41">
      <c r="A55" s="31"/>
      <c r="B55" s="890" t="s">
        <v>1067</v>
      </c>
      <c r="C55" s="31"/>
      <c r="D55" s="31"/>
      <c r="E55" s="657">
        <f>+'Exhibit I State'!E54+'Exhibit I Federal'!E37</f>
        <v>0</v>
      </c>
      <c r="F55" s="1529"/>
      <c r="G55" s="657">
        <f>+'Exhibit I State'!G54+'Exhibit I Federal'!G37</f>
        <v>0.7</v>
      </c>
      <c r="H55" s="1529"/>
      <c r="I55" s="657">
        <f>+'Exhibit I State'!I54+'Exhibit I Federal'!I37</f>
        <v>5.8</v>
      </c>
      <c r="J55" s="1529"/>
      <c r="K55" s="657">
        <f>+'Exhibit I State'!K54+'Exhibit I Federal'!K37</f>
        <v>0</v>
      </c>
      <c r="L55" s="64"/>
      <c r="M55" s="657">
        <f>+'Exhibit I State'!M54+'Exhibit I Federal'!M37</f>
        <v>1.2999999999999998</v>
      </c>
      <c r="N55" s="64"/>
      <c r="O55" s="657">
        <f>+'Exhibit I State'!O54+'Exhibit I Federal'!O37</f>
        <v>1.6000000000000014</v>
      </c>
      <c r="P55" s="64"/>
      <c r="Q55" s="657">
        <f>+'Exhibit I State'!Q54+'Exhibit I Federal'!Q37</f>
        <v>0.79999999999999893</v>
      </c>
      <c r="R55" s="64"/>
      <c r="S55" s="657"/>
      <c r="T55" s="64"/>
      <c r="U55" s="657"/>
      <c r="V55" s="64"/>
      <c r="W55" s="657"/>
      <c r="X55" s="64"/>
      <c r="Y55" s="657"/>
      <c r="Z55" s="64"/>
      <c r="AA55" s="657"/>
      <c r="AB55" s="167"/>
      <c r="AC55" s="354">
        <v>0</v>
      </c>
      <c r="AD55" s="115"/>
      <c r="AE55" s="676"/>
      <c r="AF55" s="1078">
        <f t="shared" si="2"/>
        <v>10.199999999999999</v>
      </c>
      <c r="AG55" s="1104"/>
      <c r="AH55" s="66"/>
      <c r="AI55" s="3464">
        <f>+'Exhibit I State'!AG54+'Exhibit I Federal'!AG37</f>
        <v>15.5</v>
      </c>
      <c r="AJ55" s="75"/>
      <c r="AK55" s="330"/>
      <c r="AL55" s="668">
        <f>ROUND(SUM(+AF55-AI55),1)</f>
        <v>-5.3</v>
      </c>
      <c r="AM55" s="941"/>
      <c r="AN55" s="1463">
        <f>ROUND(IF(AI55=0,1,AL55/ABS(AI55)),3)</f>
        <v>-0.34200000000000003</v>
      </c>
      <c r="AO55" s="322"/>
    </row>
    <row r="56" spans="1:41">
      <c r="A56" s="31"/>
      <c r="B56" s="890" t="s">
        <v>1068</v>
      </c>
      <c r="C56" s="31"/>
      <c r="D56" s="31"/>
      <c r="E56" s="657">
        <f>+'Exhibit I State'!E55+'Exhibit I Federal'!E38</f>
        <v>0</v>
      </c>
      <c r="F56" s="1529"/>
      <c r="G56" s="657">
        <f>+'Exhibit I State'!G55+'Exhibit I Federal'!G38</f>
        <v>0</v>
      </c>
      <c r="H56" s="1529"/>
      <c r="I56" s="657">
        <f>+'Exhibit I State'!I55+'Exhibit I Federal'!I38</f>
        <v>0</v>
      </c>
      <c r="J56" s="1529"/>
      <c r="K56" s="657">
        <f>+'Exhibit I State'!K55+'Exhibit I Federal'!K38</f>
        <v>0</v>
      </c>
      <c r="L56" s="64"/>
      <c r="M56" s="657">
        <f>+'Exhibit I State'!M55+'Exhibit I Federal'!M38</f>
        <v>0</v>
      </c>
      <c r="N56" s="64"/>
      <c r="O56" s="657">
        <f>+'Exhibit I State'!O55+'Exhibit I Federal'!O38</f>
        <v>0</v>
      </c>
      <c r="P56" s="64"/>
      <c r="Q56" s="657">
        <f>+'Exhibit I State'!Q55+'Exhibit I Federal'!Q38</f>
        <v>0</v>
      </c>
      <c r="R56" s="64"/>
      <c r="S56" s="657"/>
      <c r="T56" s="64"/>
      <c r="U56" s="657"/>
      <c r="V56" s="64"/>
      <c r="W56" s="657"/>
      <c r="X56" s="64"/>
      <c r="Y56" s="657"/>
      <c r="Z56" s="64"/>
      <c r="AA56" s="657"/>
      <c r="AB56" s="167"/>
      <c r="AC56" s="354">
        <v>0</v>
      </c>
      <c r="AD56" s="115"/>
      <c r="AE56" s="676"/>
      <c r="AF56" s="1078">
        <f t="shared" si="2"/>
        <v>0</v>
      </c>
      <c r="AG56" s="2193"/>
      <c r="AH56" s="66"/>
      <c r="AI56" s="3464">
        <f>+'Exhibit I State'!AG55+'Exhibit I Federal'!AG38</f>
        <v>-0.9</v>
      </c>
      <c r="AJ56" s="75"/>
      <c r="AK56" s="330"/>
      <c r="AL56" s="668">
        <f>ROUND(SUM(+AF56-AI56),1)</f>
        <v>0.9</v>
      </c>
      <c r="AM56" s="941"/>
      <c r="AN56" s="1424">
        <f>ROUND(IF(AI56=0,-1,AL56/ABS(AI56)),3)</f>
        <v>1</v>
      </c>
      <c r="AO56" s="322"/>
    </row>
    <row r="57" spans="1:41">
      <c r="A57" s="31"/>
      <c r="B57" s="890" t="s">
        <v>1070</v>
      </c>
      <c r="C57" s="31"/>
      <c r="D57" s="31"/>
      <c r="E57" s="657">
        <f>+'Exhibit I State'!E56</f>
        <v>0</v>
      </c>
      <c r="F57" s="1529"/>
      <c r="G57" s="657">
        <f>+'Exhibit I State'!G56</f>
        <v>0</v>
      </c>
      <c r="H57" s="1529"/>
      <c r="I57" s="657">
        <f>+'Exhibit I State'!I56</f>
        <v>0</v>
      </c>
      <c r="J57" s="1529"/>
      <c r="K57" s="657">
        <f>+'Exhibit I State'!K56</f>
        <v>0</v>
      </c>
      <c r="L57" s="64"/>
      <c r="M57" s="657">
        <f>+'Exhibit I State'!M56</f>
        <v>0</v>
      </c>
      <c r="N57" s="64"/>
      <c r="O57" s="657">
        <f>+'Exhibit I State'!O56</f>
        <v>0</v>
      </c>
      <c r="P57" s="64"/>
      <c r="Q57" s="657">
        <f>+'Exhibit I State'!Q56</f>
        <v>0</v>
      </c>
      <c r="R57" s="64"/>
      <c r="S57" s="657"/>
      <c r="T57" s="64"/>
      <c r="U57" s="657"/>
      <c r="V57" s="64"/>
      <c r="W57" s="657"/>
      <c r="X57" s="64"/>
      <c r="Y57" s="657"/>
      <c r="Z57" s="64"/>
      <c r="AA57" s="657"/>
      <c r="AB57" s="167"/>
      <c r="AC57" s="354">
        <v>0</v>
      </c>
      <c r="AD57" s="115"/>
      <c r="AE57" s="676"/>
      <c r="AF57" s="1078">
        <f t="shared" si="2"/>
        <v>0</v>
      </c>
      <c r="AG57" s="2194"/>
      <c r="AH57" s="66"/>
      <c r="AI57" s="3464">
        <f>+'Exhibit I State'!AG56</f>
        <v>0.2</v>
      </c>
      <c r="AJ57" s="75"/>
      <c r="AK57" s="330"/>
      <c r="AL57" s="668">
        <f>ROUND(SUM(+AF57-AI57),1)</f>
        <v>-0.2</v>
      </c>
      <c r="AM57" s="941"/>
      <c r="AN57" s="1424">
        <f>ROUND(IF(AI57=0,0,AL57/ABS(AI57)),3)</f>
        <v>-1</v>
      </c>
      <c r="AO57" s="322"/>
    </row>
    <row r="58" spans="1:41">
      <c r="A58" s="31"/>
      <c r="B58" s="890" t="s">
        <v>1071</v>
      </c>
      <c r="C58" s="31"/>
      <c r="D58" s="31"/>
      <c r="E58" s="657">
        <f>+'Exhibit I State'!E57+'Exhibit I Federal'!E39</f>
        <v>3.1</v>
      </c>
      <c r="F58" s="1529"/>
      <c r="G58" s="657">
        <f>+'Exhibit I State'!G57+'Exhibit I Federal'!G39</f>
        <v>0.19999999999999973</v>
      </c>
      <c r="H58" s="1529"/>
      <c r="I58" s="657">
        <f>+'Exhibit I State'!I57+'Exhibit I Federal'!I39</f>
        <v>0</v>
      </c>
      <c r="J58" s="1529"/>
      <c r="K58" s="657">
        <f>+'Exhibit I State'!K57+'Exhibit I Federal'!K39</f>
        <v>0.10000000000000009</v>
      </c>
      <c r="L58" s="64"/>
      <c r="M58" s="657">
        <f>+'Exhibit I State'!M57+'Exhibit I Federal'!M39</f>
        <v>0.89999999999999991</v>
      </c>
      <c r="N58" s="64"/>
      <c r="O58" s="657">
        <f>+'Exhibit I State'!O57+'Exhibit I Federal'!O39</f>
        <v>1.4000000000000004</v>
      </c>
      <c r="P58" s="64"/>
      <c r="Q58" s="657">
        <f>+'Exhibit I State'!Q57+'Exhibit I Federal'!Q39</f>
        <v>3.3000000000000007</v>
      </c>
      <c r="R58" s="64"/>
      <c r="S58" s="657"/>
      <c r="T58" s="64"/>
      <c r="U58" s="657"/>
      <c r="V58" s="64"/>
      <c r="W58" s="657"/>
      <c r="X58" s="64"/>
      <c r="Y58" s="657"/>
      <c r="Z58" s="64"/>
      <c r="AA58" s="657"/>
      <c r="AB58" s="167"/>
      <c r="AC58" s="354">
        <v>0</v>
      </c>
      <c r="AD58" s="115"/>
      <c r="AE58" s="676"/>
      <c r="AF58" s="1078">
        <f t="shared" si="2"/>
        <v>9</v>
      </c>
      <c r="AG58" s="1104"/>
      <c r="AH58" s="66"/>
      <c r="AI58" s="3464">
        <f>+'Exhibit I State'!AG57+'Exhibit I Federal'!AG39</f>
        <v>4</v>
      </c>
      <c r="AJ58" s="75"/>
      <c r="AK58" s="330"/>
      <c r="AL58" s="56">
        <f t="shared" si="0"/>
        <v>5</v>
      </c>
      <c r="AM58" s="328"/>
      <c r="AN58" s="1876">
        <f>ROUND(IF(AI58=0,1,AL58/ABS(AI58)),3)</f>
        <v>1.25</v>
      </c>
      <c r="AO58" s="322"/>
    </row>
    <row r="59" spans="1:41">
      <c r="A59" s="31"/>
      <c r="B59" s="890" t="s">
        <v>1073</v>
      </c>
      <c r="C59" s="31"/>
      <c r="D59" s="31"/>
      <c r="E59" s="657">
        <f>+'Exhibit I State'!E58+'Exhibit I Federal'!E40</f>
        <v>0.3</v>
      </c>
      <c r="F59" s="1529"/>
      <c r="G59" s="657">
        <f>+'Exhibit I State'!G58+'Exhibit I Federal'!G40</f>
        <v>1.8</v>
      </c>
      <c r="H59" s="1529"/>
      <c r="I59" s="657">
        <f>+'Exhibit I State'!I58+'Exhibit I Federal'!I40</f>
        <v>11.999999999999998</v>
      </c>
      <c r="J59" s="1529"/>
      <c r="K59" s="657">
        <f>+'Exhibit I State'!K58+'Exhibit I Federal'!K40</f>
        <v>0.20000000000000107</v>
      </c>
      <c r="L59" s="64"/>
      <c r="M59" s="657">
        <f>+'Exhibit I State'!M58+'Exhibit I Federal'!M40</f>
        <v>0.69999999999999929</v>
      </c>
      <c r="N59" s="64"/>
      <c r="O59" s="657">
        <f>+'Exhibit I State'!O58+'Exhibit I Federal'!O40</f>
        <v>13.7</v>
      </c>
      <c r="P59" s="64"/>
      <c r="Q59" s="657">
        <f>+'Exhibit I State'!Q58+'Exhibit I Federal'!Q40</f>
        <v>4.7000000000000028</v>
      </c>
      <c r="R59" s="64"/>
      <c r="S59" s="657"/>
      <c r="T59" s="64"/>
      <c r="U59" s="657"/>
      <c r="V59" s="64"/>
      <c r="W59" s="657"/>
      <c r="X59" s="64"/>
      <c r="Y59" s="657"/>
      <c r="Z59" s="64"/>
      <c r="AA59" s="657"/>
      <c r="AB59" s="167"/>
      <c r="AC59" s="354">
        <v>0</v>
      </c>
      <c r="AD59" s="115"/>
      <c r="AE59" s="676"/>
      <c r="AF59" s="1078">
        <f>ROUND(SUM(E59:AC59),1)</f>
        <v>33.4</v>
      </c>
      <c r="AG59" s="1104"/>
      <c r="AH59" s="66"/>
      <c r="AI59" s="3466">
        <f>+'Exhibit I State'!AG58+'Exhibit I Federal'!AG40</f>
        <v>41.6</v>
      </c>
      <c r="AJ59" s="75"/>
      <c r="AK59" s="330"/>
      <c r="AL59" s="56">
        <f t="shared" si="0"/>
        <v>-8.1999999999999993</v>
      </c>
      <c r="AM59" s="328"/>
      <c r="AN59" s="1366">
        <f>ROUND(IF(AI59=0,0,AL59/ABS(AI59)),3)</f>
        <v>-0.19700000000000001</v>
      </c>
      <c r="AO59" s="322"/>
    </row>
    <row r="60" spans="1:41">
      <c r="A60" s="31"/>
      <c r="B60" s="890" t="s">
        <v>1045</v>
      </c>
      <c r="C60" s="31"/>
      <c r="D60" s="31"/>
      <c r="E60" s="657">
        <f>+'Exhibit I State'!E59+'Exhibit I Federal'!E41</f>
        <v>0</v>
      </c>
      <c r="F60" s="1529"/>
      <c r="G60" s="657">
        <f>+'Exhibit I State'!G59+'Exhibit I Federal'!G41</f>
        <v>0</v>
      </c>
      <c r="H60" s="1529"/>
      <c r="I60" s="657">
        <f>+'Exhibit I State'!I59+'Exhibit I Federal'!I41</f>
        <v>0</v>
      </c>
      <c r="J60" s="1529"/>
      <c r="K60" s="657">
        <f>+'Exhibit I State'!K59+'Exhibit I Federal'!K41</f>
        <v>0</v>
      </c>
      <c r="L60" s="64"/>
      <c r="M60" s="657">
        <f>+'Exhibit I State'!M59+'Exhibit I Federal'!M41</f>
        <v>0.1</v>
      </c>
      <c r="N60" s="64"/>
      <c r="O60" s="657">
        <f>+'Exhibit I State'!O59+'Exhibit I Federal'!O41</f>
        <v>0.1</v>
      </c>
      <c r="P60" s="64"/>
      <c r="Q60" s="657">
        <f>+'Exhibit I State'!Q59+'Exhibit I Federal'!Q41</f>
        <v>0</v>
      </c>
      <c r="R60" s="64"/>
      <c r="S60" s="657"/>
      <c r="T60" s="64"/>
      <c r="U60" s="657"/>
      <c r="V60" s="64"/>
      <c r="W60" s="657"/>
      <c r="X60" s="64"/>
      <c r="Y60" s="657"/>
      <c r="Z60" s="64"/>
      <c r="AA60" s="657"/>
      <c r="AB60" s="167"/>
      <c r="AC60" s="354">
        <v>0</v>
      </c>
      <c r="AD60" s="115"/>
      <c r="AE60" s="676"/>
      <c r="AF60" s="1078">
        <f>ROUND(SUM(E60:AC60),1)</f>
        <v>0.2</v>
      </c>
      <c r="AG60" s="1104"/>
      <c r="AH60" s="66"/>
      <c r="AI60" s="3464">
        <f>+'Exhibit I State'!AG59+'Exhibit I Federal'!AG41</f>
        <v>4.3</v>
      </c>
      <c r="AJ60" s="75"/>
      <c r="AK60" s="330"/>
      <c r="AL60" s="56">
        <f t="shared" si="0"/>
        <v>-4.0999999999999996</v>
      </c>
      <c r="AM60" s="328"/>
      <c r="AN60" s="1477">
        <f>ROUND(IF(AI60=0,1,AL60/ABS(AI60)),3)</f>
        <v>-0.95299999999999996</v>
      </c>
      <c r="AO60" s="322"/>
    </row>
    <row r="61" spans="1:41" s="327" customFormat="1">
      <c r="A61" s="29"/>
      <c r="B61" s="307" t="s">
        <v>1178</v>
      </c>
      <c r="C61" s="29"/>
      <c r="D61" s="29"/>
      <c r="E61" s="255">
        <f>ROUND(SUM(E37:E60),1)</f>
        <v>1190.7</v>
      </c>
      <c r="F61" s="920"/>
      <c r="G61" s="255">
        <f>ROUND(SUM(G37:G60),1)</f>
        <v>64.2</v>
      </c>
      <c r="H61" s="1063"/>
      <c r="I61" s="255">
        <f>ROUND(SUM(I37:I60),1)</f>
        <v>415.6</v>
      </c>
      <c r="J61" s="920"/>
      <c r="K61" s="255">
        <f>ROUND(SUM(K37:K60),1)</f>
        <v>365.6</v>
      </c>
      <c r="L61" s="920"/>
      <c r="M61" s="255">
        <f>ROUND(SUM(M37:M60),1)</f>
        <v>134.6</v>
      </c>
      <c r="N61" s="920"/>
      <c r="O61" s="255">
        <f>ROUND(SUM(O37:O60),1)</f>
        <v>480.4</v>
      </c>
      <c r="P61" s="920"/>
      <c r="Q61" s="255">
        <f>ROUND(SUM(Q37:Q60),1)</f>
        <v>978.4</v>
      </c>
      <c r="R61" s="920"/>
      <c r="S61" s="1537">
        <f>ROUND(SUM(S37:S60),1)</f>
        <v>0</v>
      </c>
      <c r="T61" s="920"/>
      <c r="U61" s="255">
        <f>ROUND(SUM(U37:U60),1)</f>
        <v>0</v>
      </c>
      <c r="V61" s="920"/>
      <c r="W61" s="255">
        <f>ROUND(SUM(W37:W60),1)</f>
        <v>0</v>
      </c>
      <c r="X61" s="920"/>
      <c r="Y61" s="255">
        <f>ROUND(SUM(Y37:Y60),1)</f>
        <v>0</v>
      </c>
      <c r="Z61" s="920"/>
      <c r="AA61" s="255">
        <f>ROUND(SUM(AA37:AA60),1)</f>
        <v>0</v>
      </c>
      <c r="AB61" s="1530"/>
      <c r="AC61" s="1537">
        <f>ROUND(SUM(AC37:AC60),1)</f>
        <v>0</v>
      </c>
      <c r="AD61" s="109"/>
      <c r="AE61" s="677"/>
      <c r="AF61" s="1537">
        <f>ROUND(SUM(AF37:AF60),1)</f>
        <v>3629.5</v>
      </c>
      <c r="AG61" s="1084"/>
      <c r="AH61" s="112"/>
      <c r="AI61" s="1537">
        <f>ROUND(SUM(AI37:AI60),1)</f>
        <v>3359.6</v>
      </c>
      <c r="AJ61" s="82"/>
      <c r="AK61" s="330"/>
      <c r="AL61" s="255">
        <f>ROUND(SUM(AL37:AL60),1)</f>
        <v>269.89999999999998</v>
      </c>
      <c r="AM61" s="1064"/>
      <c r="AN61" s="1065">
        <f>ROUND(SUM(AL61/AI61),3)</f>
        <v>0.08</v>
      </c>
    </row>
    <row r="62" spans="1:41">
      <c r="A62" s="31"/>
      <c r="B62" s="307"/>
      <c r="C62" s="31"/>
      <c r="D62" s="31"/>
      <c r="E62" s="1529"/>
      <c r="F62" s="1529"/>
      <c r="G62" s="1529"/>
      <c r="H62" s="685"/>
      <c r="I62" s="1529"/>
      <c r="J62" s="1529"/>
      <c r="K62" s="1529"/>
      <c r="L62" s="64"/>
      <c r="M62" s="1529"/>
      <c r="N62" s="64"/>
      <c r="O62" s="1529"/>
      <c r="P62" s="64"/>
      <c r="Q62" s="657"/>
      <c r="R62" s="64"/>
      <c r="S62" s="893"/>
      <c r="T62" s="64"/>
      <c r="U62" s="1529"/>
      <c r="V62" s="64"/>
      <c r="W62" s="1529"/>
      <c r="X62" s="64"/>
      <c r="Y62" s="1529"/>
      <c r="Z62" s="64"/>
      <c r="AA62" s="1529"/>
      <c r="AB62" s="1529"/>
      <c r="AC62" s="893"/>
      <c r="AD62" s="115"/>
      <c r="AE62" s="676"/>
      <c r="AF62" s="1078"/>
      <c r="AG62" s="1083"/>
      <c r="AH62" s="65"/>
      <c r="AI62" s="115"/>
      <c r="AJ62" s="75"/>
      <c r="AK62" s="330"/>
      <c r="AL62" s="56"/>
      <c r="AM62" s="331"/>
      <c r="AN62" s="329"/>
    </row>
    <row r="63" spans="1:41">
      <c r="A63" s="31"/>
      <c r="B63" s="31" t="s">
        <v>149</v>
      </c>
      <c r="C63" s="31"/>
      <c r="D63" s="31"/>
      <c r="E63" s="685">
        <f>+'Exhibit I State'!E62+'Exhibit I Federal'!E44</f>
        <v>85.7</v>
      </c>
      <c r="F63" s="1529"/>
      <c r="G63" s="685">
        <f>+'Exhibit I State'!G62+'Exhibit I Federal'!G44</f>
        <v>102.7</v>
      </c>
      <c r="H63" s="1529"/>
      <c r="I63" s="685">
        <f>+'Exhibit I State'!I62+'Exhibit I Federal'!I44</f>
        <v>167.9</v>
      </c>
      <c r="J63" s="1529"/>
      <c r="K63" s="685">
        <f>+'Exhibit I State'!K62+'Exhibit I Federal'!K44</f>
        <v>209.1</v>
      </c>
      <c r="L63" s="64"/>
      <c r="M63" s="685">
        <f>+'Exhibit I State'!M62+'Exhibit I Federal'!M44</f>
        <v>186.69999999999996</v>
      </c>
      <c r="N63" s="64"/>
      <c r="O63" s="685">
        <f>+'Exhibit I State'!O62+'Exhibit I Federal'!O44</f>
        <v>177.2</v>
      </c>
      <c r="P63" s="64"/>
      <c r="Q63" s="3582">
        <f>+'Exhibit I State'!Q62+'Exhibit I Federal'!Q44</f>
        <v>167.70000000000007</v>
      </c>
      <c r="R63" s="64"/>
      <c r="S63" s="3582"/>
      <c r="T63" s="64"/>
      <c r="U63" s="3582"/>
      <c r="V63" s="64"/>
      <c r="W63" s="3582"/>
      <c r="X63" s="64"/>
      <c r="Y63" s="3582"/>
      <c r="Z63" s="64"/>
      <c r="AA63" s="3582"/>
      <c r="AB63" s="274"/>
      <c r="AC63" s="1078">
        <v>0</v>
      </c>
      <c r="AD63" s="115"/>
      <c r="AE63" s="676"/>
      <c r="AF63" s="115">
        <f>ROUND(SUM(E63:AC63),1)</f>
        <v>1097</v>
      </c>
      <c r="AG63" s="1079"/>
      <c r="AH63" s="65"/>
      <c r="AI63" s="115">
        <f>+'Exhibit I State'!AG62+'Exhibit I Federal'!AG44</f>
        <v>1163.1000000000001</v>
      </c>
      <c r="AJ63" s="75"/>
      <c r="AK63" s="332"/>
      <c r="AL63" s="333">
        <f>ROUND(SUM(+AF63-AI63),1)</f>
        <v>-66.099999999999994</v>
      </c>
      <c r="AM63" s="331"/>
      <c r="AN63" s="334">
        <f>ROUND(SUM(AL63/AI63),3)</f>
        <v>-5.7000000000000002E-2</v>
      </c>
    </row>
    <row r="64" spans="1:41">
      <c r="A64" s="31"/>
      <c r="B64" s="31"/>
      <c r="C64" s="31"/>
      <c r="D64" s="31"/>
      <c r="E64" s="686"/>
      <c r="F64" s="1529"/>
      <c r="G64" s="686"/>
      <c r="H64" s="1529"/>
      <c r="I64" s="686"/>
      <c r="J64" s="1529"/>
      <c r="K64" s="686"/>
      <c r="L64" s="64"/>
      <c r="M64" s="86"/>
      <c r="N64" s="64"/>
      <c r="O64" s="86"/>
      <c r="P64" s="64"/>
      <c r="Q64" s="657"/>
      <c r="R64" s="64"/>
      <c r="S64" s="123"/>
      <c r="T64" s="64"/>
      <c r="U64" s="86"/>
      <c r="V64" s="64"/>
      <c r="W64" s="86"/>
      <c r="X64" s="64"/>
      <c r="Y64" s="86"/>
      <c r="Z64" s="64"/>
      <c r="AA64" s="86"/>
      <c r="AB64" s="54"/>
      <c r="AC64" s="123"/>
      <c r="AD64" s="115"/>
      <c r="AE64" s="676"/>
      <c r="AF64" s="123"/>
      <c r="AG64" s="1079"/>
      <c r="AH64" s="65"/>
      <c r="AI64" s="123"/>
      <c r="AJ64" s="54"/>
      <c r="AK64" s="332"/>
      <c r="AL64" s="56"/>
      <c r="AM64" s="322"/>
      <c r="AN64" s="329"/>
    </row>
    <row r="65" spans="1:44">
      <c r="A65" s="31"/>
      <c r="B65" s="29" t="s">
        <v>196</v>
      </c>
      <c r="C65" s="31"/>
      <c r="D65" s="31"/>
      <c r="E65" s="1840">
        <f>ROUND(SUM(+E61+E63+E33),1)</f>
        <v>1350.5</v>
      </c>
      <c r="F65" s="920"/>
      <c r="G65" s="1840">
        <f>ROUND(SUM(+G61+G63+G33),1)</f>
        <v>213.2</v>
      </c>
      <c r="H65" s="920"/>
      <c r="I65" s="1840">
        <f>ROUND(SUM(+I61+I63+I33),1)</f>
        <v>691.4</v>
      </c>
      <c r="J65" s="920"/>
      <c r="K65" s="1840">
        <f>ROUND(SUM(+K61+K63+K33),1)</f>
        <v>682.9</v>
      </c>
      <c r="L65" s="60"/>
      <c r="M65" s="309">
        <f>ROUND(SUM(+M61+M63+M33),1)</f>
        <v>425.2</v>
      </c>
      <c r="N65" s="60"/>
      <c r="O65" s="309">
        <f>ROUND(SUM(+O61+O63+O33),1)</f>
        <v>787.9</v>
      </c>
      <c r="P65" s="60"/>
      <c r="Q65" s="309">
        <f>ROUND(SUM(+Q61+Q63+Q33),1)</f>
        <v>1250.7</v>
      </c>
      <c r="R65" s="60"/>
      <c r="S65" s="309">
        <f>ROUND(SUM(+S61+S63+S33),1)</f>
        <v>0</v>
      </c>
      <c r="T65" s="60"/>
      <c r="U65" s="309">
        <f>ROUND(SUM(+U61+U63+U33),1)</f>
        <v>0</v>
      </c>
      <c r="V65" s="60"/>
      <c r="W65" s="309">
        <f>ROUND(SUM(+W61+W63+W33),1)</f>
        <v>0</v>
      </c>
      <c r="X65" s="60"/>
      <c r="Y65" s="309">
        <f>ROUND(SUM(+Y61+Y63+Y33),1)</f>
        <v>0</v>
      </c>
      <c r="Z65" s="60"/>
      <c r="AA65" s="309">
        <f>ROUND(SUM(+AA61+AA63+AA33),1)</f>
        <v>0</v>
      </c>
      <c r="AB65" s="1053"/>
      <c r="AC65" s="309">
        <f>ROUND(SUM(+AC61+AC63+AC33),1)</f>
        <v>0</v>
      </c>
      <c r="AD65" s="60"/>
      <c r="AE65" s="62"/>
      <c r="AF65" s="309">
        <f>ROUND(SUM(+AF61+AF63+AF33),1)</f>
        <v>5401.8</v>
      </c>
      <c r="AG65" s="213"/>
      <c r="AH65" s="74"/>
      <c r="AI65" s="309">
        <f>ROUND(SUM(+AI61+AI63+AI33),1)</f>
        <v>5373</v>
      </c>
      <c r="AJ65" s="82"/>
      <c r="AK65" s="332"/>
      <c r="AL65" s="309">
        <f>ROUND(SUM(+AL61+AL63+AL33),1)</f>
        <v>28.8</v>
      </c>
      <c r="AM65" s="163"/>
      <c r="AN65" s="898">
        <f>ROUND(SUM(AL65/AI65),3)</f>
        <v>5.0000000000000001E-3</v>
      </c>
      <c r="AO65" s="327"/>
      <c r="AP65" s="335"/>
      <c r="AQ65" s="327"/>
      <c r="AR65" s="327"/>
    </row>
    <row r="66" spans="1:44">
      <c r="A66" s="31"/>
      <c r="B66" s="31"/>
      <c r="C66" s="31"/>
      <c r="D66" s="31"/>
      <c r="E66" s="686"/>
      <c r="F66" s="1529"/>
      <c r="G66" s="686"/>
      <c r="H66" s="1529"/>
      <c r="I66" s="686"/>
      <c r="J66" s="1529"/>
      <c r="K66" s="686"/>
      <c r="L66" s="64"/>
      <c r="M66" s="86"/>
      <c r="N66" s="64"/>
      <c r="O66" s="86"/>
      <c r="P66" s="64"/>
      <c r="Q66" s="657"/>
      <c r="R66" s="64"/>
      <c r="S66" s="123"/>
      <c r="T66" s="64"/>
      <c r="U66" s="86"/>
      <c r="V66" s="64"/>
      <c r="W66" s="86"/>
      <c r="X66" s="64"/>
      <c r="Y66" s="86"/>
      <c r="Z66" s="64"/>
      <c r="AA66" s="86"/>
      <c r="AB66" s="54"/>
      <c r="AC66" s="86"/>
      <c r="AD66" s="64"/>
      <c r="AE66" s="55"/>
      <c r="AF66" s="123"/>
      <c r="AG66" s="77"/>
      <c r="AH66" s="54"/>
      <c r="AI66" s="123"/>
      <c r="AJ66" s="54"/>
      <c r="AK66" s="332"/>
      <c r="AL66" s="56"/>
      <c r="AM66" s="322"/>
      <c r="AN66" s="329"/>
    </row>
    <row r="67" spans="1:44">
      <c r="A67" s="31"/>
      <c r="B67" s="29" t="s">
        <v>23</v>
      </c>
      <c r="C67" s="31"/>
      <c r="D67" s="31"/>
      <c r="E67" s="1529"/>
      <c r="F67" s="1529"/>
      <c r="G67" s="1529"/>
      <c r="H67" s="1529"/>
      <c r="I67" s="1529"/>
      <c r="J67" s="1529"/>
      <c r="K67" s="1529"/>
      <c r="L67" s="64"/>
      <c r="M67" s="64"/>
      <c r="N67" s="64"/>
      <c r="O67" s="64"/>
      <c r="P67" s="64"/>
      <c r="Q67" s="657"/>
      <c r="R67" s="64"/>
      <c r="S67" s="115"/>
      <c r="T67" s="64"/>
      <c r="U67" s="64"/>
      <c r="V67" s="64"/>
      <c r="W67" s="64"/>
      <c r="X67" s="64"/>
      <c r="Y67" s="64"/>
      <c r="Z67" s="64"/>
      <c r="AA67" s="64"/>
      <c r="AB67" s="64"/>
      <c r="AC67" s="64"/>
      <c r="AD67" s="64"/>
      <c r="AE67" s="55"/>
      <c r="AF67" s="115"/>
      <c r="AG67" s="77"/>
      <c r="AH67" s="54"/>
      <c r="AI67" s="115"/>
      <c r="AJ67" s="64"/>
      <c r="AK67" s="332"/>
      <c r="AL67" s="56"/>
      <c r="AM67" s="322"/>
      <c r="AN67" s="329"/>
    </row>
    <row r="68" spans="1:44">
      <c r="A68" s="31"/>
      <c r="B68" s="31" t="s">
        <v>151</v>
      </c>
      <c r="C68" s="31"/>
      <c r="D68" s="31"/>
      <c r="E68" s="1529"/>
      <c r="F68" s="1529"/>
      <c r="G68" s="1529"/>
      <c r="H68" s="1529"/>
      <c r="I68" s="1529"/>
      <c r="J68" s="1529"/>
      <c r="K68" s="1529"/>
      <c r="L68" s="64"/>
      <c r="M68" s="64"/>
      <c r="N68" s="64"/>
      <c r="O68" s="64"/>
      <c r="P68" s="64"/>
      <c r="Q68" s="657"/>
      <c r="R68" s="64"/>
      <c r="S68" s="115"/>
      <c r="T68" s="64"/>
      <c r="U68" s="64"/>
      <c r="V68" s="64"/>
      <c r="W68" s="64"/>
      <c r="X68" s="64"/>
      <c r="Y68" s="1529" t="s">
        <v>15</v>
      </c>
      <c r="Z68" s="64"/>
      <c r="AA68" s="1529" t="s">
        <v>15</v>
      </c>
      <c r="AB68" s="64"/>
      <c r="AC68" s="64"/>
      <c r="AD68" s="64"/>
      <c r="AE68" s="55"/>
      <c r="AF68" s="116"/>
      <c r="AG68" s="77"/>
      <c r="AH68" s="54"/>
      <c r="AI68" s="115"/>
      <c r="AJ68" s="64"/>
      <c r="AK68" s="332"/>
      <c r="AL68" s="56"/>
      <c r="AM68" s="322"/>
      <c r="AN68" s="329"/>
    </row>
    <row r="69" spans="1:44">
      <c r="A69" s="31"/>
      <c r="B69" s="31" t="s">
        <v>25</v>
      </c>
      <c r="C69" s="31"/>
      <c r="D69" s="31"/>
      <c r="E69" s="685">
        <f>+'Exhibit I State'!E68+'Exhibit I Federal'!E50</f>
        <v>12</v>
      </c>
      <c r="F69" s="1529"/>
      <c r="G69" s="685">
        <f>+'Exhibit I State'!G68+'Exhibit I Federal'!G50</f>
        <v>0</v>
      </c>
      <c r="H69" s="685"/>
      <c r="I69" s="685">
        <f>+'Exhibit I State'!I68+'Exhibit I Federal'!I50</f>
        <v>4.8999999999999986</v>
      </c>
      <c r="J69" s="1529"/>
      <c r="K69" s="685">
        <f>+'Exhibit I State'!K68+'Exhibit I Federal'!K50</f>
        <v>1</v>
      </c>
      <c r="L69" s="64"/>
      <c r="M69" s="685">
        <f>+'Exhibit I State'!M68+'Exhibit I Federal'!M50</f>
        <v>1</v>
      </c>
      <c r="N69" s="64"/>
      <c r="O69" s="685">
        <f>+'Exhibit I State'!O68+'Exhibit I Federal'!O50</f>
        <v>1.4000000000000021</v>
      </c>
      <c r="P69" s="64"/>
      <c r="Q69" s="685">
        <f>+'Exhibit I State'!Q68+'Exhibit I Federal'!Q50</f>
        <v>20.3</v>
      </c>
      <c r="R69" s="64"/>
      <c r="S69" s="685"/>
      <c r="T69" s="64"/>
      <c r="U69" s="685"/>
      <c r="V69" s="64"/>
      <c r="W69" s="685"/>
      <c r="X69" s="64"/>
      <c r="Y69" s="685"/>
      <c r="Z69" s="64"/>
      <c r="AA69" s="685"/>
      <c r="AB69" s="274"/>
      <c r="AC69" s="274">
        <v>0</v>
      </c>
      <c r="AD69" s="64"/>
      <c r="AE69" s="55"/>
      <c r="AF69" s="115">
        <f>ROUND(SUM(E69:AC69),1)</f>
        <v>40.6</v>
      </c>
      <c r="AG69" s="77"/>
      <c r="AH69" s="54"/>
      <c r="AI69" s="115">
        <f>+'Exhibit I State'!AG68+'Exhibit I Federal'!AG50</f>
        <v>102.2</v>
      </c>
      <c r="AJ69" s="75"/>
      <c r="AK69" s="330"/>
      <c r="AL69" s="56">
        <f>ROUND(SUM(+AF69-AI69),1)</f>
        <v>-61.6</v>
      </c>
      <c r="AM69" s="331"/>
      <c r="AN69" s="1876">
        <f>ROUND(IF(AI69=0,1,AL69/ABS(AI69)),3)</f>
        <v>-0.60299999999999998</v>
      </c>
    </row>
    <row r="70" spans="1:44">
      <c r="A70" s="31"/>
      <c r="B70" s="31" t="s">
        <v>26</v>
      </c>
      <c r="C70" s="31"/>
      <c r="D70" s="31"/>
      <c r="E70" s="685">
        <f>+'Exhibit I State'!E69+'Exhibit I Federal'!E51</f>
        <v>4.4000000000000004</v>
      </c>
      <c r="F70" s="1529"/>
      <c r="G70" s="685">
        <f>+'Exhibit I State'!G69+'Exhibit I Federal'!G51</f>
        <v>3.1999999999999993</v>
      </c>
      <c r="H70" s="1529"/>
      <c r="I70" s="685">
        <f>+'Exhibit I State'!I69+'Exhibit I Federal'!I51</f>
        <v>14.000000000000004</v>
      </c>
      <c r="J70" s="1529"/>
      <c r="K70" s="685">
        <f>+'Exhibit I State'!K69+'Exhibit I Federal'!K51</f>
        <v>12.600000000000001</v>
      </c>
      <c r="L70" s="64"/>
      <c r="M70" s="685">
        <f>+'Exhibit I State'!M69+'Exhibit I Federal'!M51</f>
        <v>20.6</v>
      </c>
      <c r="N70" s="64"/>
      <c r="O70" s="685">
        <f>+'Exhibit I State'!O69+'Exhibit I Federal'!O51</f>
        <v>15.299999999999983</v>
      </c>
      <c r="P70" s="64"/>
      <c r="Q70" s="685">
        <f>+'Exhibit I State'!Q69+'Exhibit I Federal'!Q51</f>
        <v>6.9000000000000057</v>
      </c>
      <c r="R70" s="64"/>
      <c r="S70" s="685"/>
      <c r="T70" s="64"/>
      <c r="U70" s="685"/>
      <c r="V70" s="64"/>
      <c r="W70" s="685"/>
      <c r="X70" s="64"/>
      <c r="Y70" s="685"/>
      <c r="Z70" s="64"/>
      <c r="AA70" s="685"/>
      <c r="AB70" s="274"/>
      <c r="AC70" s="274">
        <v>0</v>
      </c>
      <c r="AD70" s="64"/>
      <c r="AE70" s="55"/>
      <c r="AF70" s="115">
        <f>ROUND(SUM(E70:AC70),1)</f>
        <v>77</v>
      </c>
      <c r="AG70" s="77"/>
      <c r="AH70" s="54"/>
      <c r="AI70" s="115">
        <f>+'Exhibit I State'!AG69+'Exhibit I Federal'!AG51</f>
        <v>122.1</v>
      </c>
      <c r="AJ70" s="75"/>
      <c r="AK70" s="330"/>
      <c r="AL70" s="56">
        <f t="shared" ref="AL70:AL77" si="3">ROUND(SUM(+AF70-AI70),1)</f>
        <v>-45.1</v>
      </c>
      <c r="AM70" s="331"/>
      <c r="AN70" s="1424">
        <f>ROUND(IF(AI70=0,0,AL70/ABS(AI70)),3)</f>
        <v>-0.36899999999999999</v>
      </c>
    </row>
    <row r="71" spans="1:44">
      <c r="A71" s="31"/>
      <c r="B71" s="31" t="s">
        <v>27</v>
      </c>
      <c r="C71" s="31"/>
      <c r="D71" s="31"/>
      <c r="E71" s="685">
        <f>+'Exhibit I State'!E70+'Exhibit I Federal'!E52</f>
        <v>30.4</v>
      </c>
      <c r="F71" s="1529"/>
      <c r="G71" s="685">
        <f>+'Exhibit I State'!G70+'Exhibit I Federal'!G52</f>
        <v>10.899999999999999</v>
      </c>
      <c r="H71" s="1529"/>
      <c r="I71" s="685">
        <f>+'Exhibit I State'!I70+'Exhibit I Federal'!I52</f>
        <v>41.5</v>
      </c>
      <c r="J71" s="1529"/>
      <c r="K71" s="685">
        <f>+'Exhibit I State'!K70+'Exhibit I Federal'!K52</f>
        <v>36</v>
      </c>
      <c r="L71" s="64"/>
      <c r="M71" s="685">
        <f>+'Exhibit I State'!M70+'Exhibit I Federal'!M52</f>
        <v>69</v>
      </c>
      <c r="N71" s="64"/>
      <c r="O71" s="685">
        <f>+'Exhibit I State'!O70+'Exhibit I Federal'!O52</f>
        <v>18.699999999999989</v>
      </c>
      <c r="P71" s="64"/>
      <c r="Q71" s="685">
        <f>+'Exhibit I State'!Q70+'Exhibit I Federal'!Q52</f>
        <v>90.4</v>
      </c>
      <c r="R71" s="64"/>
      <c r="S71" s="685"/>
      <c r="T71" s="64"/>
      <c r="U71" s="685"/>
      <c r="V71" s="64"/>
      <c r="W71" s="685"/>
      <c r="X71" s="64"/>
      <c r="Y71" s="685"/>
      <c r="Z71" s="64"/>
      <c r="AA71" s="685"/>
      <c r="AB71" s="685" t="s">
        <v>1257</v>
      </c>
      <c r="AC71" s="685">
        <v>0</v>
      </c>
      <c r="AD71" s="64"/>
      <c r="AE71" s="55"/>
      <c r="AF71" s="115">
        <f>ROUND(SUM(E71:AC71),1)</f>
        <v>296.89999999999998</v>
      </c>
      <c r="AG71" s="77"/>
      <c r="AH71" s="54"/>
      <c r="AI71" s="115">
        <f>+'Exhibit I State'!AG70+'Exhibit I Federal'!AG52</f>
        <v>546.70000000000005</v>
      </c>
      <c r="AJ71" s="75"/>
      <c r="AK71" s="330"/>
      <c r="AL71" s="56">
        <f t="shared" si="3"/>
        <v>-249.8</v>
      </c>
      <c r="AM71" s="331"/>
      <c r="AN71" s="1424">
        <f>ROUND(IF(AI71=0,0,AL71/ABS(AI71)),3)</f>
        <v>-0.45700000000000002</v>
      </c>
      <c r="AO71" s="322"/>
    </row>
    <row r="72" spans="1:44">
      <c r="A72" s="31"/>
      <c r="B72" s="31" t="s">
        <v>28</v>
      </c>
      <c r="C72" s="31"/>
      <c r="D72" s="31"/>
      <c r="E72" s="685"/>
      <c r="F72" s="1529"/>
      <c r="G72" s="685"/>
      <c r="H72" s="1529"/>
      <c r="I72" s="685"/>
      <c r="J72" s="1529"/>
      <c r="K72" s="685"/>
      <c r="L72" s="64"/>
      <c r="M72" s="685"/>
      <c r="N72" s="64"/>
      <c r="O72" s="685"/>
      <c r="P72" s="64"/>
      <c r="Q72" s="685"/>
      <c r="R72" s="64"/>
      <c r="S72" s="685"/>
      <c r="T72" s="64"/>
      <c r="U72" s="685"/>
      <c r="V72" s="64"/>
      <c r="W72" s="685"/>
      <c r="X72" s="64"/>
      <c r="Y72" s="685"/>
      <c r="Z72" s="64"/>
      <c r="AA72" s="685"/>
      <c r="AB72" s="274"/>
      <c r="AC72" s="274"/>
      <c r="AD72" s="64"/>
      <c r="AE72" s="55"/>
      <c r="AF72" s="893" t="s">
        <v>15</v>
      </c>
      <c r="AG72" s="77"/>
      <c r="AH72" s="54"/>
      <c r="AI72" s="124"/>
      <c r="AJ72" s="64"/>
      <c r="AK72" s="332"/>
      <c r="AL72" s="56" t="s">
        <v>15</v>
      </c>
      <c r="AM72" s="331"/>
      <c r="AN72" s="336" t="s">
        <v>15</v>
      </c>
      <c r="AO72" s="322"/>
    </row>
    <row r="73" spans="1:44">
      <c r="A73" s="31"/>
      <c r="B73" s="31" t="s">
        <v>29</v>
      </c>
      <c r="C73" s="29"/>
      <c r="D73" s="31"/>
      <c r="E73" s="685">
        <f>+'Exhibit I State'!E72+'Exhibit I Federal'!E54</f>
        <v>0</v>
      </c>
      <c r="F73" s="1529"/>
      <c r="G73" s="685">
        <f>+'Exhibit I State'!G72+'Exhibit I Federal'!G54</f>
        <v>0</v>
      </c>
      <c r="H73" s="1529"/>
      <c r="I73" s="685">
        <f>+'Exhibit I State'!I72+'Exhibit I Federal'!I54</f>
        <v>0</v>
      </c>
      <c r="J73" s="1529"/>
      <c r="K73" s="685">
        <f>+'Exhibit I State'!K72+'Exhibit I Federal'!K54</f>
        <v>0</v>
      </c>
      <c r="L73" s="64"/>
      <c r="M73" s="685">
        <f>+'Exhibit I State'!M72+'Exhibit I Federal'!M54</f>
        <v>0</v>
      </c>
      <c r="N73" s="64"/>
      <c r="O73" s="685">
        <f>+'Exhibit I State'!O72+'Exhibit I Federal'!O54</f>
        <v>0</v>
      </c>
      <c r="P73" s="64"/>
      <c r="Q73" s="685">
        <f>+'Exhibit I State'!Q72+'Exhibit I Federal'!Q54</f>
        <v>0</v>
      </c>
      <c r="R73" s="64"/>
      <c r="S73" s="685"/>
      <c r="T73" s="64"/>
      <c r="U73" s="685"/>
      <c r="V73" s="64"/>
      <c r="W73" s="685"/>
      <c r="X73" s="64"/>
      <c r="Y73" s="685"/>
      <c r="Z73" s="64"/>
      <c r="AA73" s="685"/>
      <c r="AB73" s="274"/>
      <c r="AC73" s="274">
        <v>0</v>
      </c>
      <c r="AD73" s="64"/>
      <c r="AE73" s="55"/>
      <c r="AF73" s="115">
        <f t="shared" ref="AF73:AF77" si="4">ROUND(SUM(E73:AC73),1)</f>
        <v>0</v>
      </c>
      <c r="AG73" s="77"/>
      <c r="AH73" s="54"/>
      <c r="AI73" s="124">
        <f>+'Exhibit I State'!AG72+'Exhibit I Federal'!AG54</f>
        <v>0</v>
      </c>
      <c r="AJ73" s="64"/>
      <c r="AK73" s="332"/>
      <c r="AL73" s="56">
        <f t="shared" si="3"/>
        <v>0</v>
      </c>
      <c r="AM73" s="331"/>
      <c r="AN73" s="8">
        <f>ROUND(IF(AI73=0,0,AL73/ABS(AI73)),3)</f>
        <v>0</v>
      </c>
      <c r="AO73" s="322"/>
    </row>
    <row r="74" spans="1:44">
      <c r="A74" s="31"/>
      <c r="B74" s="31" t="s">
        <v>30</v>
      </c>
      <c r="C74" s="31"/>
      <c r="D74" s="31"/>
      <c r="E74" s="685">
        <f>+'Exhibit I State'!E73+'Exhibit I Federal'!E55</f>
        <v>29</v>
      </c>
      <c r="F74" s="1529"/>
      <c r="G74" s="685">
        <f>+'Exhibit I State'!G73+'Exhibit I Federal'!G55</f>
        <v>58.2</v>
      </c>
      <c r="H74" s="1529"/>
      <c r="I74" s="685">
        <f>+'Exhibit I State'!I73+'Exhibit I Federal'!I55</f>
        <v>30.899999999999991</v>
      </c>
      <c r="J74" s="1529"/>
      <c r="K74" s="685">
        <f>+'Exhibit I State'!K73+'Exhibit I Federal'!K55</f>
        <v>38.700000000000003</v>
      </c>
      <c r="L74" s="64"/>
      <c r="M74" s="685">
        <f>+'Exhibit I State'!M73+'Exhibit I Federal'!M55</f>
        <v>76.100000000000009</v>
      </c>
      <c r="N74" s="64"/>
      <c r="O74" s="685">
        <f>+'Exhibit I State'!O73+'Exhibit I Federal'!O55</f>
        <v>25.700000000000038</v>
      </c>
      <c r="P74" s="64"/>
      <c r="Q74" s="685">
        <f>+'Exhibit I State'!Q73+'Exhibit I Federal'!Q55</f>
        <v>50.900000000000034</v>
      </c>
      <c r="R74" s="64"/>
      <c r="S74" s="685"/>
      <c r="T74" s="64"/>
      <c r="U74" s="685"/>
      <c r="V74" s="64"/>
      <c r="W74" s="685"/>
      <c r="X74" s="64"/>
      <c r="Y74" s="685"/>
      <c r="Z74" s="64"/>
      <c r="AA74" s="685"/>
      <c r="AB74" s="274"/>
      <c r="AC74" s="274">
        <v>0</v>
      </c>
      <c r="AD74" s="64"/>
      <c r="AE74" s="55"/>
      <c r="AF74" s="893">
        <f t="shared" si="4"/>
        <v>309.5</v>
      </c>
      <c r="AG74" s="77"/>
      <c r="AH74" s="54"/>
      <c r="AI74" s="124">
        <f>+'Exhibit I State'!AG73+'Exhibit I Federal'!AG55</f>
        <v>279.39999999999998</v>
      </c>
      <c r="AJ74" s="75"/>
      <c r="AK74" s="330"/>
      <c r="AL74" s="56">
        <f t="shared" si="3"/>
        <v>30.1</v>
      </c>
      <c r="AM74" s="331"/>
      <c r="AN74" s="8">
        <f>ROUND(IF(AI74=0,0,AL74/ABS(AI74)),3)</f>
        <v>0.108</v>
      </c>
    </row>
    <row r="75" spans="1:44">
      <c r="A75" s="31"/>
      <c r="B75" s="31" t="s">
        <v>31</v>
      </c>
      <c r="C75" s="31"/>
      <c r="D75" s="31"/>
      <c r="E75" s="685">
        <f>+'Exhibit I State'!E74+'Exhibit I Federal'!E56</f>
        <v>0</v>
      </c>
      <c r="F75" s="1529"/>
      <c r="G75" s="685">
        <f>+'Exhibit I State'!G74+'Exhibit I Federal'!G56</f>
        <v>0</v>
      </c>
      <c r="H75" s="1529"/>
      <c r="I75" s="685">
        <f>+'Exhibit I State'!I74+'Exhibit I Federal'!I56</f>
        <v>3.8</v>
      </c>
      <c r="J75" s="1529"/>
      <c r="K75" s="685">
        <f>+'Exhibit I State'!K74+'Exhibit I Federal'!K56</f>
        <v>0.90000000000000013</v>
      </c>
      <c r="L75" s="64"/>
      <c r="M75" s="685">
        <f>+'Exhibit I State'!M74+'Exhibit I Federal'!M56</f>
        <v>1.0999999999999999</v>
      </c>
      <c r="N75" s="64"/>
      <c r="O75" s="685">
        <f>+'Exhibit I State'!O74+'Exhibit I Federal'!O56</f>
        <v>0.69999999999999973</v>
      </c>
      <c r="P75" s="64"/>
      <c r="Q75" s="685">
        <f>+'Exhibit I State'!Q74+'Exhibit I Federal'!Q56</f>
        <v>0.29999999999999982</v>
      </c>
      <c r="R75" s="64"/>
      <c r="S75" s="685"/>
      <c r="T75" s="64"/>
      <c r="U75" s="685"/>
      <c r="V75" s="64"/>
      <c r="W75" s="685"/>
      <c r="X75" s="64"/>
      <c r="Y75" s="685"/>
      <c r="Z75" s="64"/>
      <c r="AA75" s="685"/>
      <c r="AB75" s="274"/>
      <c r="AC75" s="274">
        <v>0</v>
      </c>
      <c r="AD75" s="64"/>
      <c r="AE75" s="55"/>
      <c r="AF75" s="115">
        <f>ROUND(SUM(E75:AC75),1)</f>
        <v>6.8</v>
      </c>
      <c r="AG75" s="77"/>
      <c r="AH75" s="54"/>
      <c r="AI75" s="124">
        <f>+'Exhibit I State'!AG74+'Exhibit I Federal'!AG56</f>
        <v>22.8</v>
      </c>
      <c r="AJ75" s="75"/>
      <c r="AK75" s="330"/>
      <c r="AL75" s="56">
        <f t="shared" si="3"/>
        <v>-16</v>
      </c>
      <c r="AM75" s="331"/>
      <c r="AN75" s="1463">
        <f>ROUND(IF(AI75=0,1,AL75/ABS(AI75)),3)</f>
        <v>-0.70199999999999996</v>
      </c>
      <c r="AO75" s="322"/>
    </row>
    <row r="76" spans="1:44">
      <c r="A76" s="31"/>
      <c r="B76" s="31" t="s">
        <v>32</v>
      </c>
      <c r="C76" s="31"/>
      <c r="D76" s="31"/>
      <c r="E76" s="685">
        <f>+'Exhibit I State'!E75+'Exhibit I Federal'!E57</f>
        <v>0</v>
      </c>
      <c r="F76" s="1529"/>
      <c r="G76" s="685">
        <f>+'Exhibit I State'!G75+'Exhibit I Federal'!G57</f>
        <v>33.799999999999997</v>
      </c>
      <c r="H76" s="1529"/>
      <c r="I76" s="685">
        <f>+'Exhibit I State'!I75+'Exhibit I Federal'!I57</f>
        <v>73.7</v>
      </c>
      <c r="J76" s="1529"/>
      <c r="K76" s="685">
        <f>+'Exhibit I State'!K75+'Exhibit I Federal'!K57</f>
        <v>71.699999999999974</v>
      </c>
      <c r="L76" s="64"/>
      <c r="M76" s="685">
        <f>+'Exhibit I State'!M75+'Exhibit I Federal'!M57</f>
        <v>53.100000000000023</v>
      </c>
      <c r="N76" s="64"/>
      <c r="O76" s="685">
        <f>+'Exhibit I State'!O75+'Exhibit I Federal'!O57</f>
        <v>110.39999999999998</v>
      </c>
      <c r="P76" s="64"/>
      <c r="Q76" s="685">
        <f>+'Exhibit I State'!Q75+'Exhibit I Federal'!Q57</f>
        <v>24.600000000000023</v>
      </c>
      <c r="R76" s="64"/>
      <c r="S76" s="685"/>
      <c r="T76" s="64"/>
      <c r="U76" s="685"/>
      <c r="V76" s="64"/>
      <c r="W76" s="685"/>
      <c r="X76" s="64"/>
      <c r="Y76" s="685"/>
      <c r="Z76" s="64"/>
      <c r="AA76" s="685"/>
      <c r="AB76" s="274"/>
      <c r="AC76" s="274">
        <v>0</v>
      </c>
      <c r="AD76" s="64"/>
      <c r="AE76" s="55"/>
      <c r="AF76" s="115">
        <f t="shared" si="4"/>
        <v>367.3</v>
      </c>
      <c r="AG76" s="77"/>
      <c r="AH76" s="54"/>
      <c r="AI76" s="124">
        <f>+'Exhibit I State'!AG75+'Exhibit I Federal'!AG57</f>
        <v>158.1</v>
      </c>
      <c r="AJ76" s="64"/>
      <c r="AK76" s="332"/>
      <c r="AL76" s="56">
        <f t="shared" si="3"/>
        <v>209.2</v>
      </c>
      <c r="AM76" s="331"/>
      <c r="AN76" s="1556">
        <f>ROUND(IF(AI76=0,0,AL76/ABS(AI76)),3)</f>
        <v>1.323</v>
      </c>
      <c r="AO76" s="322"/>
    </row>
    <row r="77" spans="1:44">
      <c r="A77" s="31"/>
      <c r="B77" s="31" t="s">
        <v>33</v>
      </c>
      <c r="C77" s="29"/>
      <c r="D77" s="31"/>
      <c r="E77" s="685">
        <f>+'Exhibit I State'!E76+'Exhibit I Federal'!E58</f>
        <v>43.2</v>
      </c>
      <c r="F77" s="1529"/>
      <c r="G77" s="685">
        <f>+'Exhibit I State'!G76+'Exhibit I Federal'!G58</f>
        <v>7.6999999999999957</v>
      </c>
      <c r="H77" s="1529"/>
      <c r="I77" s="685">
        <f>+'Exhibit I State'!I76+'Exhibit I Federal'!I58</f>
        <v>24.800000000000004</v>
      </c>
      <c r="J77" s="1529"/>
      <c r="K77" s="685">
        <f>+'Exhibit I State'!K76+'Exhibit I Federal'!K58</f>
        <v>20.899999999999991</v>
      </c>
      <c r="L77" s="64"/>
      <c r="M77" s="685">
        <f>+'Exhibit I State'!M76+'Exhibit I Federal'!M58</f>
        <v>71.59999999999998</v>
      </c>
      <c r="N77" s="64"/>
      <c r="O77" s="685">
        <f>+'Exhibit I State'!O76+'Exhibit I Federal'!O58</f>
        <v>11.400000000000006</v>
      </c>
      <c r="P77" s="64"/>
      <c r="Q77" s="685">
        <f>+'Exhibit I State'!Q76+'Exhibit I Federal'!Q58</f>
        <v>53.500000000000014</v>
      </c>
      <c r="R77" s="64"/>
      <c r="S77" s="685"/>
      <c r="T77" s="64"/>
      <c r="U77" s="685"/>
      <c r="V77" s="64"/>
      <c r="W77" s="685"/>
      <c r="X77" s="64"/>
      <c r="Y77" s="685"/>
      <c r="Z77" s="64"/>
      <c r="AA77" s="685"/>
      <c r="AB77" s="274"/>
      <c r="AC77" s="274">
        <v>0</v>
      </c>
      <c r="AD77" s="64"/>
      <c r="AE77" s="55"/>
      <c r="AF77" s="115">
        <f t="shared" si="4"/>
        <v>233.1</v>
      </c>
      <c r="AG77" s="77"/>
      <c r="AH77" s="54"/>
      <c r="AI77" s="124">
        <f>+'Exhibit I State'!AG76+'Exhibit I Federal'!AG58</f>
        <v>553.29999999999995</v>
      </c>
      <c r="AJ77" s="64"/>
      <c r="AK77" s="332"/>
      <c r="AL77" s="56">
        <f t="shared" si="3"/>
        <v>-320.2</v>
      </c>
      <c r="AM77" s="331"/>
      <c r="AN77" s="1556">
        <f>ROUND(IF(AI77=0,0,AL77/ABS(AI77)),3)</f>
        <v>-0.57899999999999996</v>
      </c>
      <c r="AO77" s="322"/>
    </row>
    <row r="78" spans="1:44">
      <c r="A78" s="31"/>
      <c r="B78" s="31" t="s">
        <v>34</v>
      </c>
      <c r="C78" s="31"/>
      <c r="D78" s="31"/>
      <c r="E78" s="685">
        <f>+'Exhibit I State'!E77+'Exhibit I Federal'!E59</f>
        <v>24.4</v>
      </c>
      <c r="F78" s="1529"/>
      <c r="G78" s="685">
        <f>+'Exhibit I State'!G77+'Exhibit I Federal'!G59</f>
        <v>46.2</v>
      </c>
      <c r="H78" s="1529"/>
      <c r="I78" s="685">
        <f>+'Exhibit I State'!I77+'Exhibit I Federal'!I59</f>
        <v>49.999999999999993</v>
      </c>
      <c r="J78" s="1529"/>
      <c r="K78" s="685">
        <f>+'Exhibit I State'!K77+'Exhibit I Federal'!K59</f>
        <v>91.9</v>
      </c>
      <c r="L78" s="64"/>
      <c r="M78" s="685">
        <f>+'Exhibit I State'!M77+'Exhibit I Federal'!M59</f>
        <v>146.70000000000002</v>
      </c>
      <c r="N78" s="64"/>
      <c r="O78" s="685">
        <f>+'Exhibit I State'!O77+'Exhibit I Federal'!O59</f>
        <v>369.30000000000007</v>
      </c>
      <c r="P78" s="64"/>
      <c r="Q78" s="685">
        <f>+'Exhibit I State'!Q77+'Exhibit I Federal'!Q59</f>
        <v>483.59999999999991</v>
      </c>
      <c r="R78" s="64"/>
      <c r="S78" s="685"/>
      <c r="T78" s="64"/>
      <c r="U78" s="685"/>
      <c r="V78" s="64"/>
      <c r="W78" s="685"/>
      <c r="X78" s="64"/>
      <c r="Y78" s="685"/>
      <c r="Z78" s="64"/>
      <c r="AA78" s="685"/>
      <c r="AB78" s="274"/>
      <c r="AC78" s="274">
        <v>0</v>
      </c>
      <c r="AD78" s="64"/>
      <c r="AE78" s="55"/>
      <c r="AF78" s="115">
        <f>ROUND(SUM(E78:AC78),1)</f>
        <v>1212.0999999999999</v>
      </c>
      <c r="AG78" s="77"/>
      <c r="AH78" s="54"/>
      <c r="AI78" s="1042">
        <f>+'Exhibit I State'!AG77+'Exhibit I Federal'!AG59</f>
        <v>1039.2</v>
      </c>
      <c r="AJ78" s="54"/>
      <c r="AK78" s="332"/>
      <c r="AL78" s="56">
        <f>ROUND(SUM(+AF78-AI78),1)</f>
        <v>172.9</v>
      </c>
      <c r="AM78" s="322"/>
      <c r="AN78" s="1425">
        <f>ROUND(IF(AI78=0,0,AL78/ABS(AI78)),3)</f>
        <v>0.16600000000000001</v>
      </c>
      <c r="AO78" s="322"/>
    </row>
    <row r="79" spans="1:44">
      <c r="A79" s="31"/>
      <c r="B79" s="29" t="s">
        <v>197</v>
      </c>
      <c r="C79" s="31"/>
      <c r="D79" s="31"/>
      <c r="E79" s="291">
        <f>ROUND(SUM(E69:E78),1)</f>
        <v>143.4</v>
      </c>
      <c r="F79" s="920"/>
      <c r="G79" s="291">
        <f>ROUND(SUM(G69:G78),1)</f>
        <v>160</v>
      </c>
      <c r="H79" s="920"/>
      <c r="I79" s="291">
        <f>ROUND(SUM(I69:I78),1)</f>
        <v>243.6</v>
      </c>
      <c r="J79" s="1530"/>
      <c r="K79" s="291">
        <f>ROUND(SUM(K69:K78),1)</f>
        <v>273.7</v>
      </c>
      <c r="L79" s="74"/>
      <c r="M79" s="291">
        <f>ROUND(SUM(M69:M78),1)</f>
        <v>439.2</v>
      </c>
      <c r="N79" s="74"/>
      <c r="O79" s="291">
        <f>ROUND(SUM(O69:O78),1)</f>
        <v>552.9</v>
      </c>
      <c r="P79" s="60"/>
      <c r="Q79" s="291">
        <f>ROUND(SUM(Q69:Q78),1)</f>
        <v>730.5</v>
      </c>
      <c r="R79" s="60"/>
      <c r="S79" s="1094">
        <f>ROUND(SUM(S69:S78),1)</f>
        <v>0</v>
      </c>
      <c r="T79" s="60"/>
      <c r="U79" s="291">
        <f>ROUND(SUM(U69:U78),1)</f>
        <v>0</v>
      </c>
      <c r="V79" s="60"/>
      <c r="W79" s="291">
        <f>ROUND(SUM(W69:W78),1)</f>
        <v>0</v>
      </c>
      <c r="X79" s="60"/>
      <c r="Y79" s="291">
        <f>ROUND(SUM(Y69:Y78),1)</f>
        <v>0</v>
      </c>
      <c r="Z79" s="60"/>
      <c r="AA79" s="291">
        <f>ROUND(SUM(AA69:AA78),1)</f>
        <v>0</v>
      </c>
      <c r="AB79" s="1530"/>
      <c r="AC79" s="291">
        <f>ROUND(SUM(AC69:AC78),1)</f>
        <v>0</v>
      </c>
      <c r="AD79" s="60"/>
      <c r="AE79" s="62"/>
      <c r="AF79" s="1094">
        <f>ROUND(SUM(AF69:AF78),1)</f>
        <v>2543.3000000000002</v>
      </c>
      <c r="AG79" s="213"/>
      <c r="AH79" s="74"/>
      <c r="AI79" s="1094">
        <f>ROUND(SUM(AI69:AI78),1)</f>
        <v>2823.8</v>
      </c>
      <c r="AJ79" s="74"/>
      <c r="AK79" s="332"/>
      <c r="AL79" s="291">
        <f>ROUND(SUM(AL69:AL78),1)</f>
        <v>-280.5</v>
      </c>
      <c r="AM79" s="338"/>
      <c r="AN79" s="898">
        <f>ROUND(SUM(AL79/AI79),3)</f>
        <v>-9.9000000000000005E-2</v>
      </c>
      <c r="AO79" s="327"/>
      <c r="AP79" s="335"/>
      <c r="AQ79" s="327"/>
      <c r="AR79" s="327"/>
    </row>
    <row r="80" spans="1:44">
      <c r="A80" s="31"/>
      <c r="B80" s="31" t="s">
        <v>198</v>
      </c>
      <c r="C80" s="31"/>
      <c r="D80" s="31"/>
      <c r="E80" s="1529"/>
      <c r="F80" s="1529"/>
      <c r="G80" s="1529"/>
      <c r="H80" s="1529"/>
      <c r="I80" s="1529"/>
      <c r="J80" s="1529"/>
      <c r="K80" s="1529"/>
      <c r="L80" s="64"/>
      <c r="M80" s="64"/>
      <c r="N80" s="64"/>
      <c r="O80" s="64"/>
      <c r="P80" s="64"/>
      <c r="Q80" s="64"/>
      <c r="R80" s="64"/>
      <c r="S80" s="115"/>
      <c r="T80" s="64"/>
      <c r="U80" s="64"/>
      <c r="V80" s="64"/>
      <c r="W80" s="64"/>
      <c r="X80" s="64"/>
      <c r="Y80" s="64"/>
      <c r="Z80" s="64"/>
      <c r="AA80" s="64"/>
      <c r="AB80" s="64"/>
      <c r="AC80" s="64"/>
      <c r="AD80" s="64"/>
      <c r="AE80" s="55"/>
      <c r="AF80" s="115"/>
      <c r="AG80" s="77"/>
      <c r="AH80" s="54"/>
      <c r="AI80" s="115"/>
      <c r="AJ80" s="64"/>
      <c r="AK80" s="332"/>
      <c r="AL80" s="56"/>
      <c r="AM80" s="322"/>
      <c r="AN80" s="329"/>
    </row>
    <row r="81" spans="1:44">
      <c r="A81" s="31"/>
      <c r="B81" s="31" t="s">
        <v>199</v>
      </c>
      <c r="C81" s="31"/>
      <c r="D81" s="31"/>
      <c r="E81" s="685">
        <f>+'Exhibit I State'!E80+'Exhibit I Federal'!E62</f>
        <v>0</v>
      </c>
      <c r="F81" s="1529"/>
      <c r="G81" s="685">
        <f>+'Exhibit I State'!G80+'Exhibit I Federal'!G62</f>
        <v>0</v>
      </c>
      <c r="H81" s="1529"/>
      <c r="I81" s="685">
        <f>+'Exhibit I State'!I80+'Exhibit I Federal'!I62</f>
        <v>0</v>
      </c>
      <c r="J81" s="1529"/>
      <c r="K81" s="685">
        <f>+'Exhibit I State'!K80+'Exhibit I Federal'!K62</f>
        <v>0</v>
      </c>
      <c r="L81" s="64"/>
      <c r="M81" s="685">
        <f>+'Exhibit I State'!M80+'Exhibit I Federal'!M62</f>
        <v>0</v>
      </c>
      <c r="N81" s="64"/>
      <c r="O81" s="685">
        <f>+'Exhibit I State'!O80+'Exhibit I Federal'!O62</f>
        <v>0</v>
      </c>
      <c r="P81" s="64"/>
      <c r="Q81" s="685">
        <f>+'Exhibit I State'!Q80+'Exhibit I Federal'!Q62</f>
        <v>0</v>
      </c>
      <c r="R81" s="64"/>
      <c r="S81" s="685"/>
      <c r="T81" s="64"/>
      <c r="U81" s="685"/>
      <c r="V81" s="64"/>
      <c r="W81" s="685"/>
      <c r="X81" s="64"/>
      <c r="Y81" s="685"/>
      <c r="Z81" s="64"/>
      <c r="AA81" s="685"/>
      <c r="AB81" s="274"/>
      <c r="AC81" s="274">
        <v>0</v>
      </c>
      <c r="AD81" s="64"/>
      <c r="AE81" s="55"/>
      <c r="AF81" s="116">
        <f>ROUND(SUM(E81:AC81),1)</f>
        <v>0</v>
      </c>
      <c r="AG81" s="77"/>
      <c r="AH81" s="54"/>
      <c r="AI81" s="354">
        <f>+'Exhibit I State'!AG80+'Exhibit I Federal'!AG62</f>
        <v>0</v>
      </c>
      <c r="AJ81" s="67"/>
      <c r="AK81" s="339"/>
      <c r="AL81" s="337">
        <f>ROUND(SUM(+AF81-AI81),1)</f>
        <v>0</v>
      </c>
      <c r="AM81" s="322"/>
      <c r="AN81" s="8">
        <f>ROUND(IF(AI81=0,0,AL81/ABS(AI81)),3)</f>
        <v>0</v>
      </c>
    </row>
    <row r="82" spans="1:44">
      <c r="A82" s="31"/>
      <c r="B82" s="31" t="s">
        <v>200</v>
      </c>
      <c r="C82" s="31"/>
      <c r="D82" s="31"/>
      <c r="E82" s="685">
        <f>+'Exhibit I State'!E81+'Exhibit I Federal'!E63</f>
        <v>0</v>
      </c>
      <c r="F82" s="1529"/>
      <c r="G82" s="685">
        <f>+'Exhibit I State'!G81+'Exhibit I Federal'!G63</f>
        <v>0</v>
      </c>
      <c r="H82" s="1529"/>
      <c r="I82" s="685">
        <f>+'Exhibit I State'!I81+'Exhibit I Federal'!I63</f>
        <v>0</v>
      </c>
      <c r="J82" s="1529"/>
      <c r="K82" s="685">
        <f>+'Exhibit I State'!K81+'Exhibit I Federal'!K63</f>
        <v>0</v>
      </c>
      <c r="L82" s="64"/>
      <c r="M82" s="685">
        <f>+'Exhibit I State'!M81+'Exhibit I Federal'!M63</f>
        <v>0</v>
      </c>
      <c r="N82" s="64"/>
      <c r="O82" s="685">
        <f>+'Exhibit I State'!O81+'Exhibit I Federal'!O63</f>
        <v>0</v>
      </c>
      <c r="P82" s="64"/>
      <c r="Q82" s="685">
        <f>+'Exhibit I State'!Q81+'Exhibit I Federal'!Q63</f>
        <v>0</v>
      </c>
      <c r="R82" s="64"/>
      <c r="S82" s="685"/>
      <c r="T82" s="64"/>
      <c r="U82" s="685"/>
      <c r="V82" s="64"/>
      <c r="W82" s="685"/>
      <c r="X82" s="64"/>
      <c r="Y82" s="685"/>
      <c r="Z82" s="64"/>
      <c r="AA82" s="685"/>
      <c r="AB82" s="274"/>
      <c r="AC82" s="274">
        <v>0</v>
      </c>
      <c r="AD82" s="64"/>
      <c r="AE82" s="55"/>
      <c r="AF82" s="3889">
        <f>ROUND(SUM(E82:AC82),1)</f>
        <v>0</v>
      </c>
      <c r="AG82" s="77"/>
      <c r="AH82" s="54"/>
      <c r="AI82" s="354">
        <f>+'Exhibit I State'!AG81+'Exhibit I Federal'!AG63</f>
        <v>0</v>
      </c>
      <c r="AJ82" s="67"/>
      <c r="AK82" s="339"/>
      <c r="AL82" s="337">
        <f>ROUND(SUM(+AF82-AI82),1)</f>
        <v>0</v>
      </c>
      <c r="AM82" s="322"/>
      <c r="AN82" s="8">
        <f>ROUND(IF(AI82=0,0,AL82/ABS(AI82)),3)</f>
        <v>0</v>
      </c>
    </row>
    <row r="83" spans="1:44">
      <c r="A83" s="31"/>
      <c r="B83" s="31" t="s">
        <v>201</v>
      </c>
      <c r="C83" s="31"/>
      <c r="D83" s="31"/>
      <c r="E83" s="685">
        <f>+'Exhibit I State'!E82+'Exhibit I Federal'!E64</f>
        <v>0</v>
      </c>
      <c r="F83" s="1529"/>
      <c r="G83" s="685">
        <f>+'Exhibit I State'!G82+'Exhibit I Federal'!G64</f>
        <v>0</v>
      </c>
      <c r="H83" s="1529"/>
      <c r="I83" s="685">
        <f>+'Exhibit I State'!I82+'Exhibit I Federal'!I64</f>
        <v>0</v>
      </c>
      <c r="J83" s="1529"/>
      <c r="K83" s="685">
        <f>+'Exhibit I State'!K82+'Exhibit I Federal'!K64</f>
        <v>0</v>
      </c>
      <c r="L83" s="64"/>
      <c r="M83" s="685">
        <f>+'Exhibit I State'!M82+'Exhibit I Federal'!M64</f>
        <v>0</v>
      </c>
      <c r="N83" s="64"/>
      <c r="O83" s="685">
        <f>+'Exhibit I State'!O82+'Exhibit I Federal'!O64</f>
        <v>0</v>
      </c>
      <c r="P83" s="64"/>
      <c r="Q83" s="685">
        <f>+'Exhibit I State'!Q82+'Exhibit I Federal'!Q64</f>
        <v>0</v>
      </c>
      <c r="R83" s="64"/>
      <c r="S83" s="685"/>
      <c r="T83" s="64"/>
      <c r="U83" s="685"/>
      <c r="V83" s="64"/>
      <c r="W83" s="685"/>
      <c r="X83" s="64"/>
      <c r="Y83" s="685"/>
      <c r="Z83" s="340"/>
      <c r="AA83" s="685"/>
      <c r="AB83" s="274"/>
      <c r="AC83" s="274">
        <v>0</v>
      </c>
      <c r="AD83" s="340"/>
      <c r="AE83" s="341"/>
      <c r="AF83" s="116">
        <f>ROUND(SUM(E83:AC83),1)</f>
        <v>0</v>
      </c>
      <c r="AG83" s="77"/>
      <c r="AH83" s="54"/>
      <c r="AI83" s="354">
        <f>+'Exhibit I State'!AG82+'Exhibit I Federal'!AG64</f>
        <v>0</v>
      </c>
      <c r="AJ83" s="67"/>
      <c r="AK83" s="339"/>
      <c r="AL83" s="337">
        <f>ROUND(SUM(+AF83-AI83),1)</f>
        <v>0</v>
      </c>
      <c r="AM83" s="322"/>
      <c r="AN83" s="8">
        <f>ROUND(IF(AI83=0,0,AL83/ABS(AI83)),3)</f>
        <v>0</v>
      </c>
    </row>
    <row r="84" spans="1:44">
      <c r="A84" s="31"/>
      <c r="B84" s="52" t="s">
        <v>172</v>
      </c>
      <c r="C84" s="31"/>
      <c r="D84" s="31"/>
      <c r="E84" s="685">
        <f>+'Exhibit I State'!E83+'Exhibit I Federal'!E65</f>
        <v>509.8</v>
      </c>
      <c r="F84" s="1529"/>
      <c r="G84" s="685">
        <f>+'Exhibit I State'!G83+'Exhibit I Federal'!G65</f>
        <v>406</v>
      </c>
      <c r="H84" s="657"/>
      <c r="I84" s="685">
        <f>+'Exhibit I State'!I83+'Exhibit I Federal'!I65</f>
        <v>681.80000000000007</v>
      </c>
      <c r="J84" s="657"/>
      <c r="K84" s="685">
        <f>+'Exhibit I State'!K83+'Exhibit I Federal'!K65</f>
        <v>641.4000000000002</v>
      </c>
      <c r="L84" s="64"/>
      <c r="M84" s="685">
        <f>+'Exhibit I State'!M83+'Exhibit I Federal'!M65</f>
        <v>665.39999999999964</v>
      </c>
      <c r="N84" s="64"/>
      <c r="O84" s="685">
        <f>+'Exhibit I State'!O83+'Exhibit I Federal'!O65</f>
        <v>706.7</v>
      </c>
      <c r="P84" s="64"/>
      <c r="Q84" s="685">
        <f>+'Exhibit I State'!Q83+'Exhibit I Federal'!Q65</f>
        <v>533.60000000000025</v>
      </c>
      <c r="R84" s="64"/>
      <c r="S84" s="685"/>
      <c r="T84" s="64"/>
      <c r="U84" s="685"/>
      <c r="V84" s="64"/>
      <c r="W84" s="685"/>
      <c r="X84" s="64"/>
      <c r="Y84" s="685"/>
      <c r="Z84" s="64"/>
      <c r="AA84" s="685"/>
      <c r="AB84" s="274"/>
      <c r="AC84" s="274">
        <v>0</v>
      </c>
      <c r="AD84" s="64"/>
      <c r="AE84" s="55"/>
      <c r="AF84" s="116">
        <f>ROUND(SUM(E84:AC84),1)</f>
        <v>4144.7</v>
      </c>
      <c r="AG84" s="77"/>
      <c r="AH84" s="54"/>
      <c r="AI84" s="3467">
        <f>+'Exhibit I State'!AG83+'Exhibit I Federal'!AG65</f>
        <v>4143</v>
      </c>
      <c r="AJ84" s="76"/>
      <c r="AK84" s="330"/>
      <c r="AL84" s="333">
        <f>ROUND(SUM(+AF84-AI84),1)</f>
        <v>1.7</v>
      </c>
      <c r="AM84" s="322"/>
      <c r="AN84" s="1425">
        <f>ROUND(IF(AI84=0,1,AL84/ABS(AI84)),3)</f>
        <v>0</v>
      </c>
    </row>
    <row r="85" spans="1:44">
      <c r="A85" s="31"/>
      <c r="B85" s="31"/>
      <c r="C85" s="31"/>
      <c r="D85" s="31"/>
      <c r="E85" s="686"/>
      <c r="F85" s="1529"/>
      <c r="G85" s="686"/>
      <c r="H85" s="1529"/>
      <c r="I85" s="686"/>
      <c r="J85" s="1529"/>
      <c r="K85" s="686"/>
      <c r="L85" s="64"/>
      <c r="M85" s="86"/>
      <c r="N85" s="64"/>
      <c r="O85" s="86"/>
      <c r="P85" s="64"/>
      <c r="Q85" s="86"/>
      <c r="R85" s="64"/>
      <c r="S85" s="123"/>
      <c r="T85" s="64"/>
      <c r="U85" s="86"/>
      <c r="V85" s="64"/>
      <c r="W85" s="86"/>
      <c r="X85" s="64"/>
      <c r="Y85" s="86"/>
      <c r="Z85" s="64"/>
      <c r="AA85" s="86"/>
      <c r="AB85" s="54"/>
      <c r="AC85" s="86"/>
      <c r="AD85" s="64"/>
      <c r="AE85" s="55"/>
      <c r="AF85" s="123"/>
      <c r="AG85" s="77"/>
      <c r="AH85" s="54"/>
      <c r="AI85" s="355"/>
      <c r="AJ85" s="56"/>
      <c r="AK85" s="342"/>
      <c r="AL85" s="56"/>
      <c r="AM85" s="322"/>
      <c r="AN85" s="329"/>
    </row>
    <row r="86" spans="1:44">
      <c r="A86" s="31"/>
      <c r="B86" s="29" t="s">
        <v>202</v>
      </c>
      <c r="C86" s="31"/>
      <c r="D86" s="31"/>
      <c r="E86" s="920">
        <f>ROUND(SUM(+E84+E79),1)</f>
        <v>653.20000000000005</v>
      </c>
      <c r="F86" s="920"/>
      <c r="G86" s="920">
        <f>ROUND(SUM(+G84+G79),1)</f>
        <v>566</v>
      </c>
      <c r="H86" s="920"/>
      <c r="I86" s="920">
        <f>ROUND(SUM(+I84+I79),1)</f>
        <v>925.4</v>
      </c>
      <c r="J86" s="920"/>
      <c r="K86" s="920">
        <f>ROUND(SUM(+K84+K79),1)</f>
        <v>915.1</v>
      </c>
      <c r="L86" s="60"/>
      <c r="M86" s="920">
        <f>ROUND(SUM(+M84+M79),1)</f>
        <v>1104.5999999999999</v>
      </c>
      <c r="N86" s="60"/>
      <c r="O86" s="920">
        <f>ROUND(SUM(+O84+O79),1)</f>
        <v>1259.5999999999999</v>
      </c>
      <c r="P86" s="60"/>
      <c r="Q86" s="920">
        <f>ROUND(SUM(+Q84+Q79),1)</f>
        <v>1264.0999999999999</v>
      </c>
      <c r="R86" s="60"/>
      <c r="S86" s="109">
        <f>ROUND(SUM(+S84+S79),1)</f>
        <v>0</v>
      </c>
      <c r="T86" s="60"/>
      <c r="U86" s="920">
        <f>ROUND(SUM(+U84+U79),1)</f>
        <v>0</v>
      </c>
      <c r="V86" s="60"/>
      <c r="W86" s="920">
        <f>ROUND(SUM(+W84+W79),1)</f>
        <v>0</v>
      </c>
      <c r="X86" s="60"/>
      <c r="Y86" s="920">
        <f>ROUND(SUM(+Y84+Y79),1)</f>
        <v>0</v>
      </c>
      <c r="Z86" s="60"/>
      <c r="AA86" s="920">
        <f>ROUND(SUM(+AA84+AA79),1)</f>
        <v>0</v>
      </c>
      <c r="AB86" s="920"/>
      <c r="AC86" s="920">
        <f>ROUND(SUM(+AC84+AC79),1)</f>
        <v>0</v>
      </c>
      <c r="AD86" s="60"/>
      <c r="AE86" s="62"/>
      <c r="AF86" s="109">
        <f>ROUND(SUM(+AF84+AF79),1)</f>
        <v>6688</v>
      </c>
      <c r="AG86" s="213"/>
      <c r="AH86" s="74"/>
      <c r="AI86" s="109">
        <f>ROUND(SUM(+AI84+AI79),1)</f>
        <v>6966.8</v>
      </c>
      <c r="AJ86" s="74"/>
      <c r="AK86" s="332"/>
      <c r="AL86" s="72">
        <f>ROUND(SUM(AL79+AL84),1)</f>
        <v>-278.8</v>
      </c>
      <c r="AM86" s="338"/>
      <c r="AN86" s="296">
        <f>ROUND(SUM(AL86/AI86),3)</f>
        <v>-0.04</v>
      </c>
      <c r="AO86" s="327"/>
      <c r="AP86" s="335"/>
      <c r="AQ86" s="327"/>
      <c r="AR86" s="327"/>
    </row>
    <row r="87" spans="1:44">
      <c r="A87" s="31"/>
      <c r="B87" s="31"/>
      <c r="C87" s="31"/>
      <c r="D87" s="31"/>
      <c r="E87" s="686"/>
      <c r="F87" s="1529"/>
      <c r="G87" s="686"/>
      <c r="H87" s="1529"/>
      <c r="I87" s="686"/>
      <c r="J87" s="1529"/>
      <c r="K87" s="686"/>
      <c r="L87" s="64"/>
      <c r="M87" s="86"/>
      <c r="N87" s="64"/>
      <c r="O87" s="86"/>
      <c r="P87" s="64"/>
      <c r="Q87" s="86"/>
      <c r="R87" s="64"/>
      <c r="S87" s="123"/>
      <c r="T87" s="64"/>
      <c r="U87" s="86"/>
      <c r="V87" s="64"/>
      <c r="W87" s="86"/>
      <c r="X87" s="64"/>
      <c r="Y87" s="86"/>
      <c r="Z87" s="64"/>
      <c r="AA87" s="86"/>
      <c r="AB87" s="54"/>
      <c r="AC87" s="86"/>
      <c r="AD87" s="64"/>
      <c r="AE87" s="55"/>
      <c r="AF87" s="123"/>
      <c r="AG87" s="77"/>
      <c r="AH87" s="54"/>
      <c r="AI87" s="123"/>
      <c r="AJ87" s="54"/>
      <c r="AK87" s="332"/>
      <c r="AL87" s="56"/>
      <c r="AM87" s="322"/>
      <c r="AN87" s="329"/>
    </row>
    <row r="88" spans="1:44">
      <c r="A88" s="31"/>
      <c r="B88" s="29" t="s">
        <v>203</v>
      </c>
      <c r="C88" s="31"/>
      <c r="D88" s="31"/>
      <c r="E88" s="1529"/>
      <c r="F88" s="1529"/>
      <c r="G88" s="1529"/>
      <c r="H88" s="1529"/>
      <c r="I88" s="1529"/>
      <c r="J88" s="1529"/>
      <c r="K88" s="1529"/>
      <c r="L88" s="64"/>
      <c r="M88" s="64"/>
      <c r="N88" s="64"/>
      <c r="O88" s="64"/>
      <c r="P88" s="64"/>
      <c r="Q88" s="64"/>
      <c r="R88" s="64"/>
      <c r="S88" s="115"/>
      <c r="T88" s="64"/>
      <c r="U88" s="64"/>
      <c r="V88" s="64"/>
      <c r="W88" s="64"/>
      <c r="X88" s="64"/>
      <c r="Y88" s="64"/>
      <c r="Z88" s="64"/>
      <c r="AA88" s="64"/>
      <c r="AB88" s="64"/>
      <c r="AC88" s="64"/>
      <c r="AD88" s="64"/>
      <c r="AE88" s="55"/>
      <c r="AF88" s="355"/>
      <c r="AG88" s="77"/>
      <c r="AH88" s="54"/>
      <c r="AI88" s="355"/>
      <c r="AJ88" s="56"/>
      <c r="AK88" s="342"/>
      <c r="AL88" s="56"/>
      <c r="AM88" s="322"/>
      <c r="AN88" s="329"/>
    </row>
    <row r="89" spans="1:44">
      <c r="A89" s="31"/>
      <c r="B89" s="29" t="s">
        <v>204</v>
      </c>
      <c r="C89" s="31"/>
      <c r="D89" s="31"/>
      <c r="E89" s="920">
        <f>ROUND(SUM(E65-E86),1)</f>
        <v>697.3</v>
      </c>
      <c r="F89" s="920"/>
      <c r="G89" s="920">
        <f>ROUND(SUM(G65-G86),1)</f>
        <v>-352.8</v>
      </c>
      <c r="H89" s="920"/>
      <c r="I89" s="920">
        <f>ROUND(SUM(I65-I86),1)</f>
        <v>-234</v>
      </c>
      <c r="J89" s="920"/>
      <c r="K89" s="920">
        <f>ROUND(SUM(K65-K86),1)</f>
        <v>-232.2</v>
      </c>
      <c r="L89" s="60"/>
      <c r="M89" s="920">
        <f>ROUND(SUM(M65-M86),1)</f>
        <v>-679.4</v>
      </c>
      <c r="N89" s="60"/>
      <c r="O89" s="920">
        <f>ROUND(SUM(O65-O86),1)</f>
        <v>-471.7</v>
      </c>
      <c r="P89" s="60"/>
      <c r="Q89" s="920">
        <f>ROUND(SUM(Q65-Q86),1)</f>
        <v>-13.4</v>
      </c>
      <c r="R89" s="60"/>
      <c r="S89" s="109">
        <f>ROUND(SUM(S65-S86),1)</f>
        <v>0</v>
      </c>
      <c r="T89" s="60"/>
      <c r="U89" s="920">
        <f>ROUND(SUM(U65-U86),1)</f>
        <v>0</v>
      </c>
      <c r="V89" s="60"/>
      <c r="W89" s="920">
        <f>ROUND(SUM(W65-W86),1)</f>
        <v>0</v>
      </c>
      <c r="X89" s="60"/>
      <c r="Y89" s="920">
        <f>ROUND(SUM(Y65-Y86),1)</f>
        <v>0</v>
      </c>
      <c r="Z89" s="60"/>
      <c r="AA89" s="920">
        <f>ROUND(SUM(AA65-AA86),1)</f>
        <v>0</v>
      </c>
      <c r="AB89" s="920"/>
      <c r="AC89" s="920">
        <f>ROUND(SUM(AC65-AC86),1)</f>
        <v>0</v>
      </c>
      <c r="AD89" s="60"/>
      <c r="AE89" s="62"/>
      <c r="AF89" s="109">
        <f>ROUND(SUM(AF65-AF86),1)</f>
        <v>-1286.2</v>
      </c>
      <c r="AG89" s="213"/>
      <c r="AH89" s="74"/>
      <c r="AI89" s="109">
        <f>ROUND(SUM(AI65-AI86),1)</f>
        <v>-1593.8</v>
      </c>
      <c r="AJ89" s="74"/>
      <c r="AK89" s="332"/>
      <c r="AL89" s="72">
        <f>ROUND(SUM(AL65-AL86),1)</f>
        <v>307.60000000000002</v>
      </c>
      <c r="AM89" s="338"/>
      <c r="AN89" s="296">
        <f>ROUND(IF(AI89=0,0,AL89/ABS(AI89)),3)</f>
        <v>0.193</v>
      </c>
      <c r="AO89" s="327"/>
      <c r="AP89" s="327"/>
      <c r="AQ89" s="327"/>
      <c r="AR89" s="327"/>
    </row>
    <row r="90" spans="1:44">
      <c r="A90" s="31"/>
      <c r="B90" s="31"/>
      <c r="C90" s="31"/>
      <c r="D90" s="31"/>
      <c r="E90" s="686"/>
      <c r="F90" s="1529"/>
      <c r="G90" s="686"/>
      <c r="H90" s="1529"/>
      <c r="I90" s="686"/>
      <c r="J90" s="1529"/>
      <c r="K90" s="686"/>
      <c r="L90" s="64"/>
      <c r="M90" s="86"/>
      <c r="N90" s="64"/>
      <c r="O90" s="86"/>
      <c r="P90" s="64"/>
      <c r="Q90" s="86"/>
      <c r="R90" s="64"/>
      <c r="S90" s="123"/>
      <c r="T90" s="64"/>
      <c r="U90" s="86"/>
      <c r="V90" s="64"/>
      <c r="W90" s="86"/>
      <c r="X90" s="64"/>
      <c r="Y90" s="86"/>
      <c r="Z90" s="64"/>
      <c r="AA90" s="86"/>
      <c r="AB90" s="54"/>
      <c r="AC90" s="86"/>
      <c r="AD90" s="64"/>
      <c r="AE90" s="55"/>
      <c r="AF90" s="123"/>
      <c r="AG90" s="77"/>
      <c r="AH90" s="54"/>
      <c r="AI90" s="123"/>
      <c r="AJ90" s="54"/>
      <c r="AK90" s="332"/>
      <c r="AL90" s="56"/>
      <c r="AM90" s="322"/>
      <c r="AN90" s="329"/>
    </row>
    <row r="91" spans="1:44">
      <c r="A91" s="31"/>
      <c r="B91" s="29" t="s">
        <v>205</v>
      </c>
      <c r="C91" s="31"/>
      <c r="D91" s="31"/>
      <c r="E91" s="1529"/>
      <c r="F91" s="1529"/>
      <c r="G91" s="1529"/>
      <c r="H91" s="1529"/>
      <c r="I91" s="1529"/>
      <c r="J91" s="1529"/>
      <c r="K91" s="1529"/>
      <c r="L91" s="64"/>
      <c r="M91" s="64"/>
      <c r="N91" s="64"/>
      <c r="O91" s="64"/>
      <c r="P91" s="64"/>
      <c r="Q91" s="64"/>
      <c r="R91" s="64"/>
      <c r="S91" s="115"/>
      <c r="T91" s="64"/>
      <c r="U91" s="64"/>
      <c r="V91" s="64"/>
      <c r="W91" s="64"/>
      <c r="X91" s="64"/>
      <c r="Y91" s="64"/>
      <c r="Z91" s="64"/>
      <c r="AA91" s="64"/>
      <c r="AB91" s="64"/>
      <c r="AC91" s="115"/>
      <c r="AD91" s="64"/>
      <c r="AE91" s="55"/>
      <c r="AF91" s="115"/>
      <c r="AG91" s="77"/>
      <c r="AH91" s="54"/>
      <c r="AI91" s="124"/>
      <c r="AJ91" s="67"/>
      <c r="AK91" s="339"/>
      <c r="AL91" s="56"/>
      <c r="AM91" s="322"/>
      <c r="AN91" s="329"/>
    </row>
    <row r="92" spans="1:44" s="1088" customFormat="1">
      <c r="A92" s="104"/>
      <c r="B92" s="992" t="s">
        <v>1485</v>
      </c>
      <c r="C92" s="104"/>
      <c r="D92" s="104"/>
      <c r="E92" s="685">
        <f>+'Exhibit I State'!E91+'Exhibit I Federal'!E73</f>
        <v>0</v>
      </c>
      <c r="F92" s="1529"/>
      <c r="G92" s="685">
        <f>+'Exhibit I State'!G91+'Exhibit I Federal'!G73</f>
        <v>0</v>
      </c>
      <c r="H92" s="657"/>
      <c r="I92" s="685">
        <f>+'Exhibit I State'!I91+'Exhibit I Federal'!I73</f>
        <v>0</v>
      </c>
      <c r="J92" s="1529"/>
      <c r="K92" s="685">
        <f>+'Exhibit I State'!K91+'Exhibit I Federal'!K73</f>
        <v>0</v>
      </c>
      <c r="L92" s="115"/>
      <c r="M92" s="685">
        <f>+'Exhibit I State'!M91+'Exhibit I Federal'!M73</f>
        <v>0</v>
      </c>
      <c r="N92" s="354"/>
      <c r="O92" s="685">
        <f>+'Exhibit I State'!O91+'Exhibit I Federal'!O73</f>
        <v>0</v>
      </c>
      <c r="P92" s="115"/>
      <c r="Q92" s="685">
        <f>+'Exhibit I State'!Q91+'Exhibit I Federal'!Q73</f>
        <v>0</v>
      </c>
      <c r="R92" s="115"/>
      <c r="S92" s="685"/>
      <c r="T92" s="115"/>
      <c r="U92" s="685"/>
      <c r="V92" s="115"/>
      <c r="W92" s="685"/>
      <c r="X92" s="115"/>
      <c r="Y92" s="685"/>
      <c r="Z92" s="115"/>
      <c r="AA92" s="685"/>
      <c r="AB92" s="1078"/>
      <c r="AC92" s="1078">
        <v>0</v>
      </c>
      <c r="AD92" s="115"/>
      <c r="AE92" s="676"/>
      <c r="AF92" s="116">
        <f>ROUND(SUM(E92:AC92),1)</f>
        <v>0</v>
      </c>
      <c r="AG92" s="1079"/>
      <c r="AH92" s="65"/>
      <c r="AI92" s="124">
        <f>+'Exhibit I State'!AG91+'Exhibit I Federal'!AG73</f>
        <v>0</v>
      </c>
      <c r="AJ92" s="124"/>
      <c r="AK92" s="1106"/>
      <c r="AL92" s="1792">
        <f>ROUND(SUM(+AF92-AI92),1)</f>
        <v>0</v>
      </c>
      <c r="AM92" s="1081"/>
      <c r="AN92" s="1649">
        <f>ROUND(IF(AI92=0,0,AL92/ABS(AI92)),3)</f>
        <v>0</v>
      </c>
    </row>
    <row r="93" spans="1:44" s="1088" customFormat="1">
      <c r="A93" s="104"/>
      <c r="B93" s="1725" t="s">
        <v>173</v>
      </c>
      <c r="C93" s="104"/>
      <c r="D93" s="104"/>
      <c r="E93" s="685">
        <f>+'Exhibit I State'!E92+'Exhibit I Federal'!E73</f>
        <v>-805.1</v>
      </c>
      <c r="F93" s="1529"/>
      <c r="G93" s="685">
        <f>+'Exhibit I State'!G92+'Exhibit I Federal'!G73</f>
        <v>198</v>
      </c>
      <c r="H93" s="685"/>
      <c r="I93" s="685">
        <f>+'Exhibit I State'!I92+'Exhibit I Federal'!I73</f>
        <v>360.6</v>
      </c>
      <c r="J93" s="1529"/>
      <c r="K93" s="685">
        <f>+'Exhibit I State'!K92+'Exhibit I Federal'!K73</f>
        <v>523.4</v>
      </c>
      <c r="L93" s="115"/>
      <c r="M93" s="685">
        <f>+'Exhibit I State'!M92+'Exhibit I Federal'!M73</f>
        <v>566.29999999999984</v>
      </c>
      <c r="N93" s="115"/>
      <c r="O93" s="685">
        <f>+'Exhibit I State'!O92+'Exhibit I Federal'!O73</f>
        <v>250.00000000000045</v>
      </c>
      <c r="P93" s="115"/>
      <c r="Q93" s="685">
        <f>+'Exhibit I State'!Q92+'Exhibit I Federal'!Q73</f>
        <v>91.299999999999727</v>
      </c>
      <c r="R93" s="115"/>
      <c r="S93" s="685"/>
      <c r="T93" s="115"/>
      <c r="U93" s="685"/>
      <c r="V93" s="115"/>
      <c r="W93" s="685"/>
      <c r="X93" s="115"/>
      <c r="Y93" s="685"/>
      <c r="Z93" s="115"/>
      <c r="AA93" s="685"/>
      <c r="AB93" s="3434"/>
      <c r="AC93" s="1788">
        <v>0</v>
      </c>
      <c r="AD93" s="115"/>
      <c r="AE93" s="676"/>
      <c r="AF93" s="116">
        <f>ROUND(SUM(E93:AC93),1)</f>
        <v>1184.5</v>
      </c>
      <c r="AG93" s="1079"/>
      <c r="AH93" s="65"/>
      <c r="AI93" s="115">
        <v>2345.9</v>
      </c>
      <c r="AJ93" s="116"/>
      <c r="AK93" s="1080"/>
      <c r="AL93" s="1792">
        <f>ROUND(SUM(+AF93-AI93),1)</f>
        <v>-1161.4000000000001</v>
      </c>
      <c r="AM93" s="1100"/>
      <c r="AN93" s="1793">
        <f>ROUND(IF(AI93=0,0,AL93/ABS(AI93)),3)</f>
        <v>-0.495</v>
      </c>
      <c r="AO93" s="1100"/>
      <c r="AP93" s="1101"/>
    </row>
    <row r="94" spans="1:44">
      <c r="A94" s="31"/>
      <c r="B94" s="52" t="s">
        <v>206</v>
      </c>
      <c r="C94" s="31"/>
      <c r="D94" s="31"/>
      <c r="E94" s="685">
        <f>+'Exhibit I State'!E93+'Exhibit I Federal'!E74</f>
        <v>-12.3</v>
      </c>
      <c r="F94" s="1529"/>
      <c r="G94" s="685">
        <f>+'Exhibit I State'!G93+'Exhibit I Federal'!G74</f>
        <v>-12.399999999999999</v>
      </c>
      <c r="H94" s="1529"/>
      <c r="I94" s="685">
        <f>+'Exhibit I State'!I93+'Exhibit I Federal'!I74</f>
        <v>-12.3</v>
      </c>
      <c r="J94" s="1529"/>
      <c r="K94" s="685">
        <f>+'Exhibit I State'!K93+'Exhibit I Federal'!K74</f>
        <v>-14.000000000000004</v>
      </c>
      <c r="L94" s="115"/>
      <c r="M94" s="685">
        <f>+'Exhibit I State'!M93+'Exhibit I Federal'!M74</f>
        <v>-36.400000000000006</v>
      </c>
      <c r="N94" s="115"/>
      <c r="O94" s="685">
        <f>+'Exhibit I State'!O93+'Exhibit I Federal'!O74</f>
        <v>-186.99999999999994</v>
      </c>
      <c r="P94" s="115"/>
      <c r="Q94" s="685">
        <f>+'Exhibit I State'!Q93+'Exhibit I Federal'!Q74</f>
        <v>-12.100000000000051</v>
      </c>
      <c r="R94" s="115"/>
      <c r="S94" s="685"/>
      <c r="T94" s="115"/>
      <c r="U94" s="685"/>
      <c r="V94" s="115"/>
      <c r="W94" s="685"/>
      <c r="X94" s="115"/>
      <c r="Y94" s="685"/>
      <c r="Z94" s="115"/>
      <c r="AA94" s="685"/>
      <c r="AB94" s="3434"/>
      <c r="AC94" s="3423">
        <v>0</v>
      </c>
      <c r="AD94" s="64"/>
      <c r="AE94" s="55"/>
      <c r="AF94" s="116">
        <f>ROUND(SUM(E94:AC94),1)</f>
        <v>-286.5</v>
      </c>
      <c r="AG94" s="77"/>
      <c r="AH94" s="54"/>
      <c r="AI94" s="3872">
        <v>-560.4</v>
      </c>
      <c r="AJ94" s="54"/>
      <c r="AK94" s="332"/>
      <c r="AL94" s="895">
        <f>ROUND(-SUM(+AF94-AI94),1)</f>
        <v>-273.89999999999998</v>
      </c>
      <c r="AM94" s="322"/>
      <c r="AN94" s="901">
        <f>ROUND(IF(AI94=0,0,AL94/ABS(AI94)),3)</f>
        <v>-0.48899999999999999</v>
      </c>
      <c r="AO94" s="322"/>
      <c r="AP94" s="164"/>
    </row>
    <row r="95" spans="1:44">
      <c r="A95" s="31"/>
      <c r="B95" s="31"/>
      <c r="C95" s="31"/>
      <c r="D95" s="31"/>
      <c r="E95" s="86"/>
      <c r="F95" s="64"/>
      <c r="G95" s="86"/>
      <c r="H95" s="64"/>
      <c r="I95" s="86"/>
      <c r="J95" s="64"/>
      <c r="K95" s="86"/>
      <c r="L95" s="64"/>
      <c r="M95" s="86"/>
      <c r="N95" s="64"/>
      <c r="O95" s="86"/>
      <c r="P95" s="64"/>
      <c r="Q95" s="86"/>
      <c r="R95" s="64"/>
      <c r="S95" s="123"/>
      <c r="T95" s="64"/>
      <c r="U95" s="86"/>
      <c r="V95" s="64"/>
      <c r="W95" s="86"/>
      <c r="X95" s="64"/>
      <c r="Y95" s="86"/>
      <c r="Z95" s="64"/>
      <c r="AA95" s="86"/>
      <c r="AB95" s="54"/>
      <c r="AC95" s="65"/>
      <c r="AD95" s="64"/>
      <c r="AE95" s="55"/>
      <c r="AF95" s="123"/>
      <c r="AG95" s="77"/>
      <c r="AH95" s="54"/>
      <c r="AI95" s="355"/>
      <c r="AJ95" s="56"/>
      <c r="AK95" s="342"/>
      <c r="AL95" s="56"/>
      <c r="AM95" s="322"/>
      <c r="AN95" s="329"/>
      <c r="AO95" s="164"/>
    </row>
    <row r="96" spans="1:44">
      <c r="A96" s="31"/>
      <c r="B96" s="29" t="s">
        <v>1185</v>
      </c>
      <c r="C96" s="31"/>
      <c r="D96" s="31"/>
      <c r="E96" s="60">
        <f>ROUND(SUM(E92:E95),1)</f>
        <v>-817.4</v>
      </c>
      <c r="F96" s="60"/>
      <c r="G96" s="920">
        <f>ROUND(SUM(G92:G95),1)</f>
        <v>185.6</v>
      </c>
      <c r="H96" s="60"/>
      <c r="I96" s="920">
        <f>ROUND(SUM(I92:I95),1)</f>
        <v>348.3</v>
      </c>
      <c r="J96" s="60"/>
      <c r="K96" s="920">
        <f>ROUND(SUM(K92:K95),1)</f>
        <v>509.4</v>
      </c>
      <c r="L96" s="60"/>
      <c r="M96" s="920">
        <f>ROUND(SUM(M92:M95),1)</f>
        <v>529.9</v>
      </c>
      <c r="N96" s="60"/>
      <c r="O96" s="920">
        <f>ROUND(SUM(O92:O95),1)</f>
        <v>63</v>
      </c>
      <c r="P96" s="60"/>
      <c r="Q96" s="920">
        <f>ROUND(SUM(Q92:Q95),1)</f>
        <v>79.2</v>
      </c>
      <c r="R96" s="60"/>
      <c r="S96" s="109">
        <f>ROUND(SUM(S92:S95),1)</f>
        <v>0</v>
      </c>
      <c r="T96" s="60"/>
      <c r="U96" s="920">
        <f>ROUND(SUM(U92:U95),1)</f>
        <v>0</v>
      </c>
      <c r="V96" s="60"/>
      <c r="W96" s="920">
        <f>ROUND(SUM(W92:W95),1)</f>
        <v>0</v>
      </c>
      <c r="X96" s="60"/>
      <c r="Y96" s="920">
        <f>ROUND(SUM(Y92:Y95),1)</f>
        <v>0</v>
      </c>
      <c r="Z96" s="60"/>
      <c r="AA96" s="920">
        <f>ROUND(SUM(AA92:AA95),1)</f>
        <v>0</v>
      </c>
      <c r="AB96" s="920"/>
      <c r="AC96" s="920">
        <f>ROUND(SUM(AC92:AC95),1)</f>
        <v>0</v>
      </c>
      <c r="AD96" s="60"/>
      <c r="AE96" s="62"/>
      <c r="AF96" s="109">
        <f>ROUND(SUM(AF92:AF95),1)</f>
        <v>898</v>
      </c>
      <c r="AG96" s="213"/>
      <c r="AH96" s="74"/>
      <c r="AI96" s="109">
        <f>ROUND(SUM(AI92:AI95),1)</f>
        <v>1785.5</v>
      </c>
      <c r="AJ96" s="74"/>
      <c r="AK96" s="332"/>
      <c r="AL96" s="72">
        <f>ROUND(SUM(AF96-AI96),1)</f>
        <v>-887.5</v>
      </c>
      <c r="AM96" s="338"/>
      <c r="AN96" s="345">
        <f>ROUND(SUM(AL96/ABS(AI96)),3)</f>
        <v>-0.497</v>
      </c>
      <c r="AO96" s="327"/>
      <c r="AP96" s="327"/>
      <c r="AQ96" s="327"/>
      <c r="AR96" s="327"/>
    </row>
    <row r="97" spans="1:55">
      <c r="A97" s="31"/>
      <c r="B97" s="31"/>
      <c r="C97" s="31"/>
      <c r="D97" s="31"/>
      <c r="E97" s="86"/>
      <c r="F97" s="64"/>
      <c r="G97" s="86"/>
      <c r="H97" s="64"/>
      <c r="I97" s="86"/>
      <c r="J97" s="64"/>
      <c r="K97" s="86"/>
      <c r="L97" s="64"/>
      <c r="M97" s="86"/>
      <c r="N97" s="64"/>
      <c r="O97" s="86"/>
      <c r="P97" s="64"/>
      <c r="Q97" s="86"/>
      <c r="R97" s="64"/>
      <c r="S97" s="86"/>
      <c r="T97" s="64"/>
      <c r="U97" s="86"/>
      <c r="V97" s="64"/>
      <c r="W97" s="86"/>
      <c r="X97" s="64"/>
      <c r="Y97" s="86"/>
      <c r="Z97" s="64"/>
      <c r="AA97" s="86"/>
      <c r="AB97" s="54"/>
      <c r="AC97" s="86"/>
      <c r="AD97" s="64"/>
      <c r="AE97" s="55"/>
      <c r="AF97" s="86"/>
      <c r="AG97" s="77"/>
      <c r="AH97" s="54"/>
      <c r="AI97" s="123"/>
      <c r="AJ97" s="54"/>
      <c r="AK97" s="332"/>
      <c r="AL97" s="56"/>
      <c r="AM97" s="322"/>
      <c r="AN97" s="329"/>
    </row>
    <row r="98" spans="1:55">
      <c r="A98" s="31"/>
      <c r="B98" s="31"/>
      <c r="C98" s="31"/>
      <c r="D98" s="31"/>
      <c r="E98" s="64"/>
      <c r="F98" s="64"/>
      <c r="G98" s="64"/>
      <c r="H98" s="64"/>
      <c r="I98" s="64" t="s">
        <v>15</v>
      </c>
      <c r="J98" s="64"/>
      <c r="K98" s="64" t="s">
        <v>15</v>
      </c>
      <c r="L98" s="64"/>
      <c r="M98" s="64" t="s">
        <v>15</v>
      </c>
      <c r="N98" s="64"/>
      <c r="O98" s="64" t="s">
        <v>15</v>
      </c>
      <c r="P98" s="64"/>
      <c r="Q98" s="64" t="s">
        <v>15</v>
      </c>
      <c r="R98" s="64"/>
      <c r="S98" s="64" t="s">
        <v>15</v>
      </c>
      <c r="T98" s="64"/>
      <c r="U98" s="64" t="s">
        <v>15</v>
      </c>
      <c r="V98" s="64"/>
      <c r="W98" s="64" t="s">
        <v>15</v>
      </c>
      <c r="X98" s="64"/>
      <c r="Y98" s="64" t="s">
        <v>15</v>
      </c>
      <c r="Z98" s="64"/>
      <c r="AA98" s="64" t="s">
        <v>15</v>
      </c>
      <c r="AB98" s="64"/>
      <c r="AC98" s="1529" t="s">
        <v>15</v>
      </c>
      <c r="AD98" s="64"/>
      <c r="AE98" s="55"/>
      <c r="AF98" s="64" t="s">
        <v>15</v>
      </c>
      <c r="AG98" s="77"/>
      <c r="AH98" s="54"/>
      <c r="AI98" s="115" t="s">
        <v>15</v>
      </c>
      <c r="AJ98" s="64"/>
      <c r="AK98" s="332"/>
      <c r="AL98" s="56" t="s">
        <v>15</v>
      </c>
      <c r="AM98" s="322"/>
      <c r="AN98" s="329"/>
    </row>
    <row r="99" spans="1:55">
      <c r="A99" s="31"/>
      <c r="B99" s="29" t="s">
        <v>208</v>
      </c>
      <c r="C99" s="31"/>
      <c r="D99" s="31"/>
      <c r="E99" s="64"/>
      <c r="F99" s="64"/>
      <c r="G99" s="64"/>
      <c r="H99" s="64"/>
      <c r="I99" s="64" t="s">
        <v>15</v>
      </c>
      <c r="J99" s="64"/>
      <c r="K99" s="64" t="s">
        <v>15</v>
      </c>
      <c r="L99" s="64"/>
      <c r="M99" s="64" t="s">
        <v>15</v>
      </c>
      <c r="N99" s="64"/>
      <c r="O99" s="64" t="s">
        <v>15</v>
      </c>
      <c r="P99" s="64"/>
      <c r="Q99" s="64" t="s">
        <v>15</v>
      </c>
      <c r="R99" s="64"/>
      <c r="S99" s="64" t="s">
        <v>15</v>
      </c>
      <c r="T99" s="64"/>
      <c r="U99" s="64" t="s">
        <v>15</v>
      </c>
      <c r="V99" s="64"/>
      <c r="W99" s="64" t="s">
        <v>15</v>
      </c>
      <c r="X99" s="64"/>
      <c r="Y99" s="64" t="s">
        <v>15</v>
      </c>
      <c r="Z99" s="64"/>
      <c r="AA99" s="64" t="s">
        <v>15</v>
      </c>
      <c r="AB99" s="64"/>
      <c r="AC99" s="64" t="s">
        <v>15</v>
      </c>
      <c r="AD99" s="64"/>
      <c r="AE99" s="55"/>
      <c r="AF99" s="64"/>
      <c r="AG99" s="77"/>
      <c r="AH99" s="54"/>
      <c r="AI99" s="115" t="s">
        <v>15</v>
      </c>
      <c r="AJ99" s="64"/>
      <c r="AK99" s="332"/>
      <c r="AL99" s="56"/>
      <c r="AM99" s="322"/>
      <c r="AN99" s="329"/>
    </row>
    <row r="100" spans="1:55">
      <c r="A100" s="31"/>
      <c r="B100" s="29" t="s">
        <v>209</v>
      </c>
      <c r="C100" s="31"/>
      <c r="D100" s="31"/>
      <c r="E100" s="60" t="s">
        <v>15</v>
      </c>
      <c r="F100" s="60"/>
      <c r="G100" s="920" t="s">
        <v>15</v>
      </c>
      <c r="H100" s="60"/>
      <c r="I100" s="60"/>
      <c r="J100" s="60"/>
      <c r="K100" s="920"/>
      <c r="L100" s="60"/>
      <c r="M100" s="920"/>
      <c r="N100" s="60"/>
      <c r="O100" s="920"/>
      <c r="P100" s="60"/>
      <c r="Q100" s="920"/>
      <c r="R100" s="60"/>
      <c r="S100" s="920"/>
      <c r="T100" s="60"/>
      <c r="U100" s="920"/>
      <c r="V100" s="60"/>
      <c r="W100" s="920"/>
      <c r="X100" s="60"/>
      <c r="Y100" s="920"/>
      <c r="Z100" s="60"/>
      <c r="AA100" s="920"/>
      <c r="AB100" s="920"/>
      <c r="AC100" s="920"/>
      <c r="AD100" s="60"/>
      <c r="AE100" s="62"/>
      <c r="AF100" s="60" t="s">
        <v>15</v>
      </c>
      <c r="AG100" s="213"/>
      <c r="AH100" s="74"/>
      <c r="AI100" s="3468"/>
      <c r="AJ100" s="343"/>
      <c r="AK100" s="342"/>
      <c r="AL100" s="343"/>
      <c r="AM100" s="338"/>
      <c r="AN100" s="326"/>
      <c r="AO100" s="327"/>
      <c r="AP100" s="327"/>
      <c r="AQ100" s="327"/>
      <c r="AR100" s="327"/>
      <c r="AS100" s="327"/>
      <c r="AT100" s="327"/>
      <c r="AU100" s="327"/>
      <c r="AV100" s="327"/>
      <c r="AW100" s="327"/>
      <c r="AX100" s="327"/>
      <c r="AY100" s="327"/>
    </row>
    <row r="101" spans="1:55">
      <c r="A101" s="31"/>
      <c r="B101" s="29" t="s">
        <v>1176</v>
      </c>
      <c r="C101" s="31"/>
      <c r="D101" s="31"/>
      <c r="E101" s="344">
        <f>ROUND(SUM(E89+E96),1)</f>
        <v>-120.1</v>
      </c>
      <c r="F101" s="60"/>
      <c r="G101" s="344">
        <f>ROUND(SUM(G89+G96),1)</f>
        <v>-167.2</v>
      </c>
      <c r="H101" s="60"/>
      <c r="I101" s="344">
        <f>ROUND(SUM(I89+I96),1)</f>
        <v>114.3</v>
      </c>
      <c r="J101" s="60"/>
      <c r="K101" s="344">
        <f>ROUND(SUM(K89+K96),1)</f>
        <v>277.2</v>
      </c>
      <c r="L101" s="60"/>
      <c r="M101" s="344">
        <f>ROUND(SUM(M89+M96),1)</f>
        <v>-149.5</v>
      </c>
      <c r="N101" s="60"/>
      <c r="O101" s="344">
        <f>ROUND(SUM(O89+O96),1)</f>
        <v>-408.7</v>
      </c>
      <c r="P101" s="60"/>
      <c r="Q101" s="344">
        <f>ROUND(SUM(Q89+Q96),1)</f>
        <v>65.8</v>
      </c>
      <c r="R101" s="60"/>
      <c r="S101" s="344">
        <f>ROUND(SUM(S89+S96),1)</f>
        <v>0</v>
      </c>
      <c r="T101" s="60"/>
      <c r="U101" s="344">
        <f>ROUND(SUM(U89+U96),1)</f>
        <v>0</v>
      </c>
      <c r="V101" s="60"/>
      <c r="W101" s="344">
        <f>ROUND(SUM(W89+W96),1)</f>
        <v>0</v>
      </c>
      <c r="X101" s="60"/>
      <c r="Y101" s="344">
        <f>ROUND(SUM(Y89+Y96),1)</f>
        <v>0</v>
      </c>
      <c r="Z101" s="60"/>
      <c r="AA101" s="344">
        <f>ROUND(SUM(AA89+AA96),1)</f>
        <v>0</v>
      </c>
      <c r="AB101" s="1950"/>
      <c r="AC101" s="344">
        <f>ROUND(SUM(AC89+AC96),1)</f>
        <v>0</v>
      </c>
      <c r="AD101" s="60"/>
      <c r="AE101" s="62"/>
      <c r="AF101" s="344">
        <f>ROUND(AF89+AF96,1)</f>
        <v>-388.2</v>
      </c>
      <c r="AG101" s="213"/>
      <c r="AH101" s="74"/>
      <c r="AI101" s="3873">
        <f>ROUND(SUM(AI89+AI96),1)</f>
        <v>191.7</v>
      </c>
      <c r="AJ101" s="343"/>
      <c r="AK101" s="342"/>
      <c r="AL101" s="344">
        <f>ROUND(SUM(+AF101-AI101),1)</f>
        <v>-579.9</v>
      </c>
      <c r="AM101" s="338"/>
      <c r="AN101" s="1617">
        <f>ROUND(IF(AI101=0,0,AL101/ABS(AI101)),3)</f>
        <v>-3.0249999999999999</v>
      </c>
      <c r="AO101" s="327"/>
      <c r="AP101" s="346"/>
      <c r="AQ101" s="327"/>
      <c r="AR101" s="327"/>
      <c r="AS101" s="327"/>
      <c r="AT101" s="327"/>
      <c r="AU101" s="327"/>
      <c r="AV101" s="327"/>
      <c r="AW101" s="327"/>
      <c r="AX101" s="327"/>
      <c r="AY101" s="327"/>
    </row>
    <row r="102" spans="1:55">
      <c r="A102" s="31"/>
      <c r="B102" s="31" t="s">
        <v>15</v>
      </c>
      <c r="C102" s="31"/>
      <c r="D102" s="31"/>
      <c r="E102" s="36"/>
      <c r="F102" s="36"/>
      <c r="G102" s="36"/>
      <c r="H102" s="36"/>
      <c r="I102" s="36"/>
      <c r="J102" s="36"/>
      <c r="K102" s="36"/>
      <c r="L102" s="36"/>
      <c r="M102" s="36"/>
      <c r="N102" s="36"/>
      <c r="O102" s="36"/>
      <c r="P102" s="36"/>
      <c r="Q102" s="36"/>
      <c r="R102" s="36"/>
      <c r="S102" s="284" t="s">
        <v>15</v>
      </c>
      <c r="T102" s="36"/>
      <c r="U102" s="284" t="s">
        <v>15</v>
      </c>
      <c r="V102" s="36"/>
      <c r="W102" s="284" t="s">
        <v>15</v>
      </c>
      <c r="X102" s="36"/>
      <c r="Y102" s="284" t="s">
        <v>15</v>
      </c>
      <c r="Z102" s="36"/>
      <c r="AA102" s="36"/>
      <c r="AB102" s="36"/>
      <c r="AC102" s="36"/>
      <c r="AD102" s="96"/>
      <c r="AE102" s="347"/>
      <c r="AF102" s="36"/>
      <c r="AG102" s="96"/>
      <c r="AH102" s="347"/>
      <c r="AI102" s="994" t="s">
        <v>183</v>
      </c>
      <c r="AJ102" s="271"/>
      <c r="AK102" s="37"/>
      <c r="AL102" s="322"/>
      <c r="AM102" s="322"/>
      <c r="AN102" s="329"/>
      <c r="AO102" s="322"/>
      <c r="AP102" s="322"/>
    </row>
    <row r="103" spans="1:55" s="30" customFormat="1" ht="15" customHeight="1" thickBot="1">
      <c r="A103" s="31"/>
      <c r="B103" s="29" t="s">
        <v>1186</v>
      </c>
      <c r="C103" s="31"/>
      <c r="E103" s="264">
        <f>ROUND(SUM(+E101+E15),1)</f>
        <v>-1155</v>
      </c>
      <c r="F103" s="91"/>
      <c r="G103" s="264">
        <f>ROUND(SUM(+G101+G15),1)</f>
        <v>-1322.2</v>
      </c>
      <c r="H103" s="91"/>
      <c r="I103" s="264">
        <f>ROUND(SUM(+I101+I15),1)</f>
        <v>-1207.9000000000001</v>
      </c>
      <c r="J103" s="91"/>
      <c r="K103" s="264">
        <f>ROUND(SUM(+K101+K15),1)</f>
        <v>-930.7</v>
      </c>
      <c r="L103" s="91"/>
      <c r="M103" s="264">
        <f>ROUND(SUM(+M101+M15),1)</f>
        <v>-1080.2</v>
      </c>
      <c r="N103" s="91"/>
      <c r="O103" s="264">
        <f>ROUND(SUM(+O101+O15),1)</f>
        <v>-1488.9</v>
      </c>
      <c r="P103" s="91"/>
      <c r="Q103" s="264">
        <f>ROUND(SUM(+Q101+Q15),1)</f>
        <v>-1423.1</v>
      </c>
      <c r="R103" s="91"/>
      <c r="S103" s="264">
        <f>ROUND(SUM(+S101+S15),1)</f>
        <v>0</v>
      </c>
      <c r="T103" s="91"/>
      <c r="U103" s="264">
        <f>ROUND(SUM(+U101+U15),1)</f>
        <v>0</v>
      </c>
      <c r="V103" s="91"/>
      <c r="W103" s="264">
        <f>ROUND(SUM(+W101+W15),1)</f>
        <v>0</v>
      </c>
      <c r="X103" s="91"/>
      <c r="Y103" s="264">
        <f>ROUND(SUM(+Y101+Y15),1)</f>
        <v>0</v>
      </c>
      <c r="Z103" s="91"/>
      <c r="AA103" s="264">
        <f>ROUND(SUM(+AA101+AA15),1)</f>
        <v>0</v>
      </c>
      <c r="AB103" s="216"/>
      <c r="AC103" s="264">
        <f>ROUND(SUM(+AC101+AC15),1)</f>
        <v>0</v>
      </c>
      <c r="AD103" s="91"/>
      <c r="AE103" s="92"/>
      <c r="AF103" s="264">
        <f>ROUND(SUM(+AF101+AF15),1)</f>
        <v>-1423.1</v>
      </c>
      <c r="AG103" s="91"/>
      <c r="AH103" s="92"/>
      <c r="AI103" s="259">
        <f>ROUND(SUM(+AI101+AI15),1)</f>
        <v>-946.2</v>
      </c>
      <c r="AJ103" s="269"/>
      <c r="AK103" s="216"/>
      <c r="AL103" s="264">
        <f>ROUND(SUM(+AL101+AL15),1)</f>
        <v>-476.9</v>
      </c>
      <c r="AM103" s="179"/>
      <c r="AN103" s="283">
        <f>ROUND(SUM(-(+AF103-AI103)/AI103),3)</f>
        <v>-0.504</v>
      </c>
      <c r="AO103" s="338"/>
      <c r="AP103" s="338"/>
      <c r="AQ103" s="327"/>
      <c r="AR103" s="327"/>
      <c r="AS103" s="265"/>
      <c r="AT103" s="265"/>
      <c r="AU103" s="265"/>
      <c r="AV103" s="265"/>
      <c r="AW103" s="265"/>
      <c r="AX103" s="265"/>
      <c r="AY103" s="265"/>
      <c r="AZ103" s="265"/>
      <c r="BA103" s="265"/>
      <c r="BB103" s="265"/>
      <c r="BC103" s="265"/>
    </row>
    <row r="104" spans="1:55" ht="16" thickTop="1">
      <c r="B104" s="217"/>
    </row>
    <row r="105" spans="1:55">
      <c r="B105" s="1197" t="s">
        <v>1286</v>
      </c>
      <c r="C105" s="349"/>
      <c r="D105" s="349"/>
      <c r="E105" s="350"/>
      <c r="F105" s="350"/>
      <c r="G105" s="350"/>
      <c r="AI105" s="3469"/>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3 AN85:AN88" unlockedFormula="1"/>
    <ignoredError sqref="AN47 AN53 AN58:AN59 AN26 AN55" formula="1" unlockedFormula="1"/>
    <ignoredError sqref="AN49:AN50 AN75:AN78"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69140625" defaultRowHeight="15.5"/>
  <cols>
    <col min="1" max="1" width="2.53515625" style="2579" customWidth="1"/>
    <col min="2" max="2" width="14.07421875" style="2579" customWidth="1"/>
    <col min="3" max="3" width="26.07421875" style="2579" customWidth="1"/>
    <col min="4" max="4" width="2" style="2579" customWidth="1"/>
    <col min="5" max="5" width="11.07421875" style="2579" bestFit="1" customWidth="1"/>
    <col min="6" max="6" width="1.69140625" style="2579" customWidth="1"/>
    <col min="7" max="7" width="11.69140625" style="2579" customWidth="1"/>
    <col min="8" max="8" width="1.69140625" style="2579" customWidth="1"/>
    <col min="9" max="9" width="11.07421875" style="2579" bestFit="1" customWidth="1"/>
    <col min="10" max="10" width="1.69140625" style="2579" customWidth="1"/>
    <col min="11" max="11" width="12" style="2579" customWidth="1"/>
    <col min="12" max="12" width="1.07421875" style="2579" customWidth="1"/>
    <col min="13" max="13" width="10.07421875" style="2579" bestFit="1" customWidth="1"/>
    <col min="14" max="14" width="1.69140625" style="2579" customWidth="1"/>
    <col min="15" max="15" width="11.07421875" style="2579" customWidth="1"/>
    <col min="16" max="16" width="1.69140625" style="2579" customWidth="1"/>
    <col min="17" max="17" width="12.69140625" style="2579" customWidth="1"/>
    <col min="18" max="18" width="1.69140625" style="2579" customWidth="1"/>
    <col min="19" max="19" width="10.53515625" style="2579" customWidth="1"/>
    <col min="20" max="20" width="1.69140625" style="2579" customWidth="1"/>
    <col min="21" max="21" width="10.69140625" style="2579" customWidth="1"/>
    <col min="22" max="22" width="1.69140625" style="2579" customWidth="1"/>
    <col min="23" max="23" width="10.69140625" style="2579" customWidth="1"/>
    <col min="24" max="24" width="1.69140625" style="2579" customWidth="1"/>
    <col min="25" max="25" width="10.69140625" style="2579" customWidth="1"/>
    <col min="26" max="26" width="1.69140625" style="2579" customWidth="1"/>
    <col min="27" max="27" width="9" style="2579" bestFit="1" customWidth="1"/>
    <col min="28" max="29" width="1.69140625" style="2579" customWidth="1"/>
    <col min="30" max="30" width="11.07421875" style="2579" bestFit="1" customWidth="1"/>
    <col min="31" max="32" width="1.07421875" style="2579" customWidth="1"/>
    <col min="33" max="33" width="11.07421875" style="2579" customWidth="1"/>
    <col min="34" max="35" width="1" style="2579" customWidth="1"/>
    <col min="36" max="36" width="13.4609375" style="2579" bestFit="1" customWidth="1"/>
    <col min="37" max="37" width="1.07421875" style="2579" customWidth="1"/>
    <col min="38" max="38" width="12.69140625" style="2579" customWidth="1"/>
    <col min="39" max="40" width="8.69140625" style="2579"/>
    <col min="41" max="41" width="19.69140625" style="2579" bestFit="1" customWidth="1"/>
    <col min="42" max="16384" width="8.69140625" style="2579"/>
  </cols>
  <sheetData>
    <row r="1" spans="1:39">
      <c r="B1" s="2334" t="s">
        <v>963</v>
      </c>
    </row>
    <row r="2" spans="1:39">
      <c r="B2" s="3661"/>
    </row>
    <row r="3" spans="1:39" ht="19.5" customHeight="1">
      <c r="A3" s="3662"/>
      <c r="B3" s="1471" t="s">
        <v>0</v>
      </c>
      <c r="C3" s="2580"/>
      <c r="D3" s="2580"/>
      <c r="E3" s="2580"/>
      <c r="F3" s="2581"/>
      <c r="G3" s="2581"/>
      <c r="H3" s="2581"/>
      <c r="I3" s="2581"/>
      <c r="J3" s="2581"/>
      <c r="K3" s="2581"/>
      <c r="L3" s="2581"/>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L3" s="3110" t="s">
        <v>194</v>
      </c>
    </row>
    <row r="4" spans="1:39" ht="19.5" customHeight="1">
      <c r="A4" s="3662"/>
      <c r="B4" s="1471" t="s">
        <v>210</v>
      </c>
      <c r="C4" s="2580"/>
      <c r="D4" s="2580"/>
      <c r="E4" s="2580"/>
      <c r="F4" s="2581"/>
      <c r="G4" s="2581"/>
      <c r="H4" s="2581"/>
      <c r="I4" s="2581"/>
      <c r="J4" s="2581"/>
      <c r="K4" s="2581"/>
      <c r="L4" s="2581"/>
      <c r="M4" s="2581"/>
      <c r="N4" s="2581"/>
      <c r="O4" s="2581"/>
      <c r="P4" s="2581"/>
      <c r="Q4" s="2581"/>
      <c r="R4" s="2581"/>
      <c r="S4" s="2581"/>
      <c r="T4" s="2581"/>
      <c r="U4" s="2581"/>
      <c r="V4" s="2581"/>
      <c r="W4" s="2581"/>
      <c r="X4" s="2581"/>
      <c r="Y4" s="2581"/>
      <c r="Z4" s="2581"/>
      <c r="AA4" s="2581"/>
      <c r="AB4" s="2581"/>
      <c r="AC4" s="2581"/>
      <c r="AE4" s="3186"/>
      <c r="AF4" s="3186"/>
    </row>
    <row r="5" spans="1:39" ht="19.5" customHeight="1">
      <c r="A5" s="3662"/>
      <c r="B5" s="1472" t="s">
        <v>148</v>
      </c>
      <c r="C5" s="2580"/>
      <c r="D5" s="2580"/>
      <c r="E5" s="2580"/>
      <c r="F5" s="2581"/>
      <c r="G5" s="2581"/>
      <c r="H5" s="2581"/>
      <c r="I5" s="2581"/>
      <c r="J5" s="2581"/>
      <c r="K5" s="2581"/>
      <c r="L5" s="2581"/>
      <c r="M5" s="2581"/>
      <c r="N5" s="2581"/>
      <c r="O5" s="2581"/>
      <c r="P5" s="2581"/>
      <c r="Q5" s="2581"/>
      <c r="R5" s="2581"/>
      <c r="S5" s="2581"/>
      <c r="T5" s="2581"/>
      <c r="U5" s="2581"/>
      <c r="V5" s="2581"/>
      <c r="W5" s="2581"/>
      <c r="X5" s="2581"/>
      <c r="Y5" s="2581"/>
      <c r="Z5" s="2581"/>
      <c r="AA5" s="2581"/>
      <c r="AB5" s="2581"/>
      <c r="AC5" s="2581"/>
      <c r="AD5" s="2581"/>
      <c r="AE5" s="2581"/>
      <c r="AF5" s="2581"/>
      <c r="AG5" s="2581"/>
      <c r="AH5" s="2581"/>
      <c r="AI5" s="2581"/>
      <c r="AL5" s="3663"/>
    </row>
    <row r="6" spans="1:39" ht="19.5" customHeight="1">
      <c r="A6" s="3662"/>
      <c r="B6" s="1472" t="str">
        <f>'Cashflow Governmental'!A6</f>
        <v xml:space="preserve">FISCAL YEAR 2020-2021   </v>
      </c>
      <c r="C6" s="2580"/>
      <c r="D6" s="2580"/>
      <c r="E6" s="2580"/>
      <c r="F6" s="2581"/>
      <c r="G6" s="2581"/>
      <c r="H6" s="2582"/>
      <c r="I6" s="2581"/>
      <c r="J6" s="2581"/>
      <c r="K6" s="2581"/>
      <c r="L6" s="2581"/>
      <c r="M6" s="2581"/>
      <c r="N6" s="2581"/>
      <c r="O6" s="2581"/>
      <c r="P6" s="2581"/>
      <c r="Q6" s="2581"/>
      <c r="R6" s="2581"/>
      <c r="S6" s="2581"/>
      <c r="T6" s="2581"/>
      <c r="U6" s="2581"/>
      <c r="V6" s="2581"/>
      <c r="W6" s="2581"/>
      <c r="X6" s="2581"/>
      <c r="Y6" s="2581"/>
      <c r="Z6" s="2581"/>
      <c r="AA6" s="2581"/>
      <c r="AB6" s="2581"/>
      <c r="AC6" s="2581"/>
      <c r="AD6" s="2581"/>
      <c r="AE6" s="2583"/>
      <c r="AF6" s="2583"/>
      <c r="AG6" s="2583"/>
      <c r="AH6" s="2583"/>
      <c r="AI6" s="2583"/>
    </row>
    <row r="7" spans="1:39" ht="19.5" customHeight="1">
      <c r="A7" s="3662"/>
      <c r="B7" s="1471" t="s">
        <v>1366</v>
      </c>
      <c r="C7" s="2580"/>
      <c r="D7" s="2580"/>
      <c r="E7" s="2580"/>
      <c r="F7" s="2581"/>
      <c r="G7" s="2581"/>
      <c r="H7" s="2582"/>
      <c r="I7" s="2581"/>
      <c r="J7" s="2581"/>
      <c r="K7" s="2581"/>
      <c r="L7" s="2581"/>
      <c r="M7" s="2581"/>
      <c r="N7" s="2581"/>
      <c r="O7" s="2581"/>
      <c r="P7" s="2581"/>
      <c r="Q7" s="2581"/>
      <c r="R7" s="2581"/>
      <c r="S7" s="2581"/>
      <c r="T7" s="2581"/>
      <c r="U7" s="2581"/>
      <c r="V7" s="2581"/>
      <c r="W7" s="2581"/>
      <c r="X7" s="2581"/>
      <c r="Y7" s="2581"/>
      <c r="Z7" s="2581"/>
      <c r="AA7" s="2581"/>
      <c r="AB7" s="2581"/>
      <c r="AC7" s="2581"/>
      <c r="AD7" s="2581"/>
      <c r="AE7" s="2583"/>
      <c r="AF7" s="2583"/>
      <c r="AG7" s="2583"/>
      <c r="AH7" s="2583"/>
      <c r="AI7" s="2583"/>
    </row>
    <row r="8" spans="1:39" ht="19.5" customHeight="1">
      <c r="A8" s="3662"/>
      <c r="C8" s="2580"/>
      <c r="D8" s="2580"/>
      <c r="E8" s="2580"/>
      <c r="F8" s="2581"/>
      <c r="G8" s="2581"/>
      <c r="H8" s="2581"/>
      <c r="I8" s="2581"/>
      <c r="J8" s="2581"/>
      <c r="K8" s="2581"/>
      <c r="L8" s="2581"/>
      <c r="M8" s="2581"/>
      <c r="N8" s="2581"/>
      <c r="O8" s="2581"/>
      <c r="P8" s="2581"/>
      <c r="Q8" s="2581"/>
      <c r="R8" s="2581"/>
      <c r="S8" s="2581"/>
      <c r="T8" s="2581"/>
      <c r="U8" s="2581"/>
      <c r="V8" s="2581"/>
      <c r="W8" s="2581"/>
      <c r="X8" s="2581"/>
      <c r="Y8" s="2581"/>
      <c r="Z8" s="2581"/>
      <c r="AA8" s="2581"/>
      <c r="AB8" s="2581"/>
      <c r="AC8" s="2584"/>
    </row>
    <row r="9" spans="1:39" ht="15.75" customHeight="1">
      <c r="A9" s="3662"/>
      <c r="B9" s="1471"/>
      <c r="C9" s="2580"/>
      <c r="D9" s="2580"/>
      <c r="E9" s="2580"/>
      <c r="F9" s="2581"/>
      <c r="G9" s="2581"/>
      <c r="H9" s="2581"/>
      <c r="I9" s="2581"/>
      <c r="J9" s="2581"/>
      <c r="K9" s="2581"/>
      <c r="L9" s="2581"/>
      <c r="M9" s="2581"/>
      <c r="N9" s="2581"/>
      <c r="O9" s="2581"/>
      <c r="P9" s="2581"/>
      <c r="Q9" s="2581"/>
      <c r="R9" s="2581"/>
      <c r="S9" s="2581"/>
      <c r="T9" s="2581"/>
      <c r="U9" s="2581"/>
      <c r="V9" s="2581"/>
      <c r="W9" s="2581"/>
      <c r="X9" s="2581"/>
      <c r="Y9" s="2581"/>
      <c r="Z9" s="2581"/>
      <c r="AA9" s="2581"/>
      <c r="AB9" s="2581"/>
      <c r="AC9" s="2584"/>
    </row>
    <row r="10" spans="1:39" ht="15.75" customHeight="1">
      <c r="A10" s="3662"/>
      <c r="B10" s="3664"/>
      <c r="C10" s="2580"/>
      <c r="D10" s="2580"/>
      <c r="E10" s="2580"/>
      <c r="F10" s="2581"/>
      <c r="G10" s="2581"/>
      <c r="H10" s="2581"/>
      <c r="I10" s="2581"/>
      <c r="J10" s="2581"/>
      <c r="K10" s="2581"/>
      <c r="L10" s="2581"/>
      <c r="M10" s="2581"/>
      <c r="N10" s="2581"/>
      <c r="O10" s="2581"/>
      <c r="P10" s="2581"/>
      <c r="Q10" s="2581"/>
      <c r="R10" s="2581"/>
      <c r="S10" s="2581"/>
      <c r="T10" s="2581"/>
      <c r="U10" s="2581"/>
      <c r="V10" s="2581"/>
      <c r="W10" s="2581"/>
      <c r="X10" s="2581"/>
      <c r="Y10" s="2581"/>
      <c r="Z10" s="2581"/>
      <c r="AA10" s="2581"/>
      <c r="AB10" s="2581"/>
      <c r="AC10" s="2584"/>
      <c r="AD10" s="3939" t="s">
        <v>1546</v>
      </c>
      <c r="AE10" s="3939"/>
      <c r="AF10" s="3939"/>
      <c r="AG10" s="3939"/>
      <c r="AH10" s="3939"/>
      <c r="AI10" s="3939"/>
      <c r="AJ10" s="3939"/>
      <c r="AK10" s="3939"/>
      <c r="AL10" s="3939"/>
    </row>
    <row r="11" spans="1:39" ht="15.75" customHeight="1">
      <c r="A11" s="3665"/>
      <c r="B11" s="3665"/>
      <c r="C11" s="3665"/>
      <c r="D11" s="3665"/>
      <c r="E11" s="2585" t="str">
        <f>'Cashflow Governmental'!C13</f>
        <v>2020</v>
      </c>
      <c r="F11" s="2586"/>
      <c r="G11" s="2586"/>
      <c r="H11" s="2586"/>
      <c r="I11" s="2586"/>
      <c r="J11" s="2586"/>
      <c r="K11" s="2586"/>
      <c r="L11" s="2586"/>
      <c r="M11" s="2586"/>
      <c r="N11" s="2586"/>
      <c r="O11" s="2586"/>
      <c r="P11" s="2586"/>
      <c r="Q11" s="2586"/>
      <c r="R11" s="2586"/>
      <c r="S11" s="2586"/>
      <c r="T11" s="2586"/>
      <c r="U11" s="2586"/>
      <c r="V11" s="2586"/>
      <c r="W11" s="2585" t="str">
        <f>'Cashflow Governmental'!U13</f>
        <v>2021</v>
      </c>
      <c r="X11" s="2586"/>
      <c r="Y11" s="2586"/>
      <c r="Z11" s="2586"/>
      <c r="AA11" s="2586"/>
      <c r="AB11" s="2586"/>
      <c r="AC11" s="2586"/>
      <c r="AD11" s="2587"/>
      <c r="AE11" s="2587"/>
      <c r="AF11" s="2587"/>
      <c r="AG11" s="2587"/>
      <c r="AH11" s="2587"/>
      <c r="AI11" s="2587"/>
      <c r="AJ11" s="2588" t="s">
        <v>8</v>
      </c>
      <c r="AK11" s="2588"/>
      <c r="AL11" s="3666" t="s">
        <v>9</v>
      </c>
      <c r="AM11" s="3667"/>
    </row>
    <row r="12" spans="1:39" ht="15.75" customHeight="1">
      <c r="A12" s="2464"/>
      <c r="B12" s="2464"/>
      <c r="C12" s="2464"/>
      <c r="D12" s="2464"/>
      <c r="E12" s="2589" t="s">
        <v>124</v>
      </c>
      <c r="F12" s="2552"/>
      <c r="G12" s="2589" t="s">
        <v>125</v>
      </c>
      <c r="H12" s="2552"/>
      <c r="I12" s="2589" t="s">
        <v>126</v>
      </c>
      <c r="J12" s="2552"/>
      <c r="K12" s="2589" t="s">
        <v>127</v>
      </c>
      <c r="L12" s="2552"/>
      <c r="M12" s="2589" t="s">
        <v>128</v>
      </c>
      <c r="N12" s="2552"/>
      <c r="O12" s="2589" t="s">
        <v>143</v>
      </c>
      <c r="P12" s="2552"/>
      <c r="Q12" s="2589" t="s">
        <v>144</v>
      </c>
      <c r="R12" s="2552"/>
      <c r="S12" s="2589" t="s">
        <v>131</v>
      </c>
      <c r="T12" s="2552"/>
      <c r="U12" s="2589" t="s">
        <v>132</v>
      </c>
      <c r="V12" s="2552"/>
      <c r="W12" s="2589" t="s">
        <v>133</v>
      </c>
      <c r="X12" s="2552"/>
      <c r="Y12" s="2589" t="s">
        <v>134</v>
      </c>
      <c r="Z12" s="2552"/>
      <c r="AA12" s="2589" t="s">
        <v>185</v>
      </c>
      <c r="AB12" s="2552"/>
      <c r="AC12" s="2552"/>
      <c r="AD12" s="2589">
        <f>'Cashflow Governmental'!AB14</f>
        <v>2020</v>
      </c>
      <c r="AE12" s="2552"/>
      <c r="AF12" s="2552"/>
      <c r="AG12" s="2589">
        <f>'Cashflow Governmental'!AE14</f>
        <v>2019</v>
      </c>
      <c r="AH12" s="2590"/>
      <c r="AI12" s="2590"/>
      <c r="AJ12" s="2591" t="s">
        <v>12</v>
      </c>
      <c r="AK12" s="3668"/>
      <c r="AL12" s="2591" t="s">
        <v>13</v>
      </c>
      <c r="AM12" s="3667"/>
    </row>
    <row r="13" spans="1:39" ht="5.25" customHeight="1">
      <c r="A13" s="2464"/>
      <c r="B13" s="2552"/>
      <c r="C13" s="2552"/>
      <c r="D13" s="2464"/>
      <c r="E13" s="1990"/>
      <c r="F13" s="1990"/>
      <c r="G13" s="1990"/>
      <c r="H13" s="1990"/>
      <c r="I13" s="1990"/>
      <c r="J13" s="1990"/>
      <c r="K13" s="1990"/>
      <c r="L13" s="1990"/>
      <c r="M13" s="1990"/>
      <c r="N13" s="1990"/>
      <c r="O13" s="1990"/>
      <c r="P13" s="1990"/>
      <c r="Q13" s="1990"/>
      <c r="R13" s="1990"/>
      <c r="S13" s="1990"/>
      <c r="T13" s="1990"/>
      <c r="U13" s="1990"/>
      <c r="V13" s="1990"/>
      <c r="W13" s="1990"/>
      <c r="X13" s="1990"/>
      <c r="Y13" s="1990"/>
      <c r="Z13" s="1990"/>
      <c r="AA13" s="1990"/>
      <c r="AB13" s="1990"/>
      <c r="AC13" s="1995"/>
      <c r="AD13" s="1990"/>
      <c r="AE13" s="1990"/>
      <c r="AF13" s="2185"/>
      <c r="AG13" s="1990"/>
      <c r="AH13" s="1990"/>
      <c r="AI13" s="2592"/>
      <c r="AJ13" s="2593"/>
      <c r="AK13" s="2593"/>
      <c r="AL13" s="2593"/>
    </row>
    <row r="14" spans="1:39">
      <c r="A14" s="2464"/>
      <c r="B14" s="1850" t="s">
        <v>1254</v>
      </c>
      <c r="C14" s="2552"/>
      <c r="D14" s="2464"/>
      <c r="E14" s="2452">
        <v>-472.2</v>
      </c>
      <c r="F14" s="1990"/>
      <c r="G14" s="2028">
        <f>E102</f>
        <v>-598.4</v>
      </c>
      <c r="H14" s="2594"/>
      <c r="I14" s="2028">
        <f>G102</f>
        <v>-754.3</v>
      </c>
      <c r="J14" s="2594"/>
      <c r="K14" s="2028">
        <f>I102</f>
        <v>-629.29999999999995</v>
      </c>
      <c r="L14" s="2594"/>
      <c r="M14" s="2028">
        <f>K102</f>
        <v>-389.5</v>
      </c>
      <c r="N14" s="1990"/>
      <c r="O14" s="2028">
        <f>M102</f>
        <v>-564.6</v>
      </c>
      <c r="P14" s="1990"/>
      <c r="Q14" s="2028">
        <f>O102</f>
        <v>-935.6</v>
      </c>
      <c r="R14" s="2028"/>
      <c r="S14" s="2028"/>
      <c r="T14" s="2028"/>
      <c r="U14" s="2028"/>
      <c r="V14" s="2028"/>
      <c r="W14" s="2028"/>
      <c r="X14" s="2028"/>
      <c r="Y14" s="2028"/>
      <c r="Z14" s="2028"/>
      <c r="AA14" s="2028"/>
      <c r="AB14" s="1990"/>
      <c r="AC14" s="1995"/>
      <c r="AD14" s="2028">
        <f>E14</f>
        <v>-472.2</v>
      </c>
      <c r="AE14" s="1990"/>
      <c r="AF14" s="2185"/>
      <c r="AG14" s="3460">
        <v>-633.20000000000005</v>
      </c>
      <c r="AH14" s="1990"/>
      <c r="AI14" s="2592"/>
      <c r="AJ14" s="2028">
        <f>ROUND(AD14-AG14,1)</f>
        <v>161</v>
      </c>
      <c r="AK14" s="2595"/>
      <c r="AL14" s="2596">
        <f>ROUND(IF(AG14=0,0,AJ14/ABS(AG14)),3)</f>
        <v>0.254</v>
      </c>
    </row>
    <row r="15" spans="1:39">
      <c r="A15" s="2464"/>
      <c r="B15" s="2552"/>
      <c r="C15" s="2552"/>
      <c r="D15" s="2464"/>
      <c r="E15" s="1990"/>
      <c r="F15" s="1990"/>
      <c r="G15" s="1990"/>
      <c r="H15" s="1990"/>
      <c r="I15" s="1990"/>
      <c r="J15" s="1990"/>
      <c r="K15" s="1990"/>
      <c r="L15" s="1990"/>
      <c r="M15" s="1990"/>
      <c r="N15" s="1990"/>
      <c r="O15" s="1990"/>
      <c r="P15" s="1990"/>
      <c r="Q15" s="1990"/>
      <c r="R15" s="1990"/>
      <c r="S15" s="1990"/>
      <c r="T15" s="1990"/>
      <c r="U15" s="1990"/>
      <c r="V15" s="1990"/>
      <c r="W15" s="1990"/>
      <c r="X15" s="1990"/>
      <c r="Y15" s="1990"/>
      <c r="Z15" s="1990"/>
      <c r="AA15" s="1990"/>
      <c r="AB15" s="1990"/>
      <c r="AC15" s="1995"/>
      <c r="AD15" s="1990"/>
      <c r="AE15" s="1990"/>
      <c r="AF15" s="2185"/>
      <c r="AG15" s="1990"/>
      <c r="AH15" s="1990"/>
      <c r="AI15" s="2592"/>
      <c r="AJ15" s="2593"/>
      <c r="AK15" s="2593"/>
      <c r="AL15" s="2593"/>
    </row>
    <row r="16" spans="1:39">
      <c r="A16" s="2464"/>
      <c r="B16" s="2552" t="s">
        <v>195</v>
      </c>
      <c r="C16" s="2464"/>
      <c r="D16" s="2464"/>
      <c r="E16" s="1990"/>
      <c r="F16" s="1990"/>
      <c r="G16" s="1990"/>
      <c r="H16" s="1990"/>
      <c r="I16" s="1990"/>
      <c r="J16" s="1990"/>
      <c r="K16" s="1990"/>
      <c r="L16" s="1990"/>
      <c r="M16" s="1990"/>
      <c r="N16" s="1990"/>
      <c r="O16" s="1990"/>
      <c r="P16" s="1990"/>
      <c r="Q16" s="1990"/>
      <c r="R16" s="1990"/>
      <c r="S16" s="1990"/>
      <c r="T16" s="1990"/>
      <c r="U16" s="1990"/>
      <c r="V16" s="1990"/>
      <c r="W16" s="1990"/>
      <c r="X16" s="1990"/>
      <c r="Y16" s="1990"/>
      <c r="Z16" s="1990"/>
      <c r="AA16" s="1990"/>
      <c r="AB16" s="1990"/>
      <c r="AC16" s="1995"/>
      <c r="AD16" s="1990"/>
      <c r="AE16" s="3187"/>
      <c r="AF16" s="2017"/>
      <c r="AG16" s="1990"/>
      <c r="AH16" s="1990"/>
      <c r="AI16" s="2592"/>
      <c r="AJ16" s="2597"/>
      <c r="AK16" s="2597"/>
      <c r="AL16" s="2597"/>
    </row>
    <row r="17" spans="1:39">
      <c r="A17" s="2464"/>
      <c r="B17" s="2461" t="s">
        <v>1078</v>
      </c>
      <c r="C17" s="2464"/>
      <c r="D17" s="2464"/>
      <c r="E17" s="1990"/>
      <c r="F17" s="1990"/>
      <c r="G17" s="1990"/>
      <c r="H17" s="1990"/>
      <c r="I17" s="1990"/>
      <c r="J17" s="1990"/>
      <c r="K17" s="1990"/>
      <c r="L17" s="1990"/>
      <c r="M17" s="1990"/>
      <c r="N17" s="1990"/>
      <c r="O17" s="1990"/>
      <c r="P17" s="1990"/>
      <c r="Q17" s="1990"/>
      <c r="R17" s="1990"/>
      <c r="S17" s="1990"/>
      <c r="T17" s="1990"/>
      <c r="U17" s="1990"/>
      <c r="V17" s="1990"/>
      <c r="W17" s="1990"/>
      <c r="X17" s="1990"/>
      <c r="Y17" s="1990"/>
      <c r="Z17" s="1990"/>
      <c r="AA17" s="1990"/>
      <c r="AB17" s="1990"/>
      <c r="AC17" s="1995"/>
      <c r="AD17" s="1990"/>
      <c r="AE17" s="3188"/>
      <c r="AF17" s="2017"/>
      <c r="AG17" s="1990"/>
      <c r="AH17" s="1990"/>
      <c r="AI17" s="2592"/>
      <c r="AJ17" s="2597"/>
      <c r="AK17" s="2597"/>
      <c r="AL17" s="2597"/>
    </row>
    <row r="18" spans="1:39">
      <c r="A18" s="2464"/>
      <c r="B18" s="2540" t="s">
        <v>1091</v>
      </c>
      <c r="C18" s="2464"/>
      <c r="D18" s="2464"/>
      <c r="E18" s="2598"/>
      <c r="F18" s="1990"/>
      <c r="G18" s="1994"/>
      <c r="H18" s="1994"/>
      <c r="I18" s="1994"/>
      <c r="J18" s="1994"/>
      <c r="K18" s="1994"/>
      <c r="L18" s="1994"/>
      <c r="M18" s="1994"/>
      <c r="N18" s="1994"/>
      <c r="O18" s="1994"/>
      <c r="P18" s="1994"/>
      <c r="Q18" s="1994"/>
      <c r="R18" s="1994"/>
      <c r="S18" s="1994"/>
      <c r="T18" s="1994"/>
      <c r="U18" s="1994"/>
      <c r="V18" s="1994"/>
      <c r="W18" s="1994"/>
      <c r="X18" s="1994"/>
      <c r="Y18" s="1994"/>
      <c r="Z18" s="1994"/>
      <c r="AA18" s="1994"/>
      <c r="AB18" s="1994"/>
      <c r="AC18" s="2038"/>
      <c r="AD18" s="3189" t="s">
        <v>15</v>
      </c>
      <c r="AE18" s="3190"/>
      <c r="AF18" s="1976"/>
      <c r="AG18" s="1994" t="s">
        <v>15</v>
      </c>
      <c r="AH18" s="1994"/>
      <c r="AI18" s="2599"/>
      <c r="AJ18" s="2600"/>
      <c r="AK18" s="2597"/>
      <c r="AL18" s="2597"/>
    </row>
    <row r="19" spans="1:39">
      <c r="A19" s="2464"/>
      <c r="B19" s="2334" t="s">
        <v>1094</v>
      </c>
      <c r="C19" s="2464"/>
      <c r="D19" s="2601" t="s">
        <v>15</v>
      </c>
      <c r="E19" s="1999">
        <v>0.6</v>
      </c>
      <c r="F19" s="1999"/>
      <c r="G19" s="1999">
        <v>9.9999999999999978E-2</v>
      </c>
      <c r="H19" s="1999"/>
      <c r="I19" s="1999">
        <v>10.100000000000001</v>
      </c>
      <c r="J19" s="1999"/>
      <c r="K19" s="1999">
        <v>0</v>
      </c>
      <c r="L19" s="1997"/>
      <c r="M19" s="1999">
        <v>0</v>
      </c>
      <c r="N19" s="1986"/>
      <c r="O19" s="1999">
        <v>15.599999999999994</v>
      </c>
      <c r="P19" s="1986"/>
      <c r="Q19" s="1788">
        <f>$AD19-$E19-$G19-$I19-$K19-$M19-$O19</f>
        <v>0.10000000000000142</v>
      </c>
      <c r="R19" s="1986"/>
      <c r="S19" s="1788"/>
      <c r="T19" s="1986"/>
      <c r="U19" s="1788"/>
      <c r="V19" s="1986"/>
      <c r="W19" s="1788"/>
      <c r="X19" s="1986"/>
      <c r="Y19" s="1788"/>
      <c r="Z19" s="1986"/>
      <c r="AA19" s="1788"/>
      <c r="AB19" s="1999"/>
      <c r="AC19" s="2000"/>
      <c r="AD19" s="1999">
        <v>26.5</v>
      </c>
      <c r="AE19" s="3191"/>
      <c r="AF19" s="3192"/>
      <c r="AG19" s="1999">
        <v>49.9</v>
      </c>
      <c r="AH19" s="2602"/>
      <c r="AI19" s="2603"/>
      <c r="AJ19" s="1999">
        <f>ROUND(AD19-AG19,1)</f>
        <v>-23.4</v>
      </c>
      <c r="AK19" s="2604"/>
      <c r="AL19" s="2616">
        <f>ROUND(IF(AG19=0,0,AJ19/ABS(AG19)),3)</f>
        <v>-0.46899999999999997</v>
      </c>
    </row>
    <row r="20" spans="1:39">
      <c r="A20" s="2464"/>
      <c r="B20" s="2334" t="s">
        <v>1096</v>
      </c>
      <c r="C20" s="2464"/>
      <c r="D20" s="2464"/>
      <c r="E20" s="1999">
        <v>23.799999999999997</v>
      </c>
      <c r="F20" s="1999"/>
      <c r="G20" s="1999">
        <v>16.700000000000003</v>
      </c>
      <c r="H20" s="1999"/>
      <c r="I20" s="1999">
        <v>24.900000000000006</v>
      </c>
      <c r="J20" s="1999"/>
      <c r="K20" s="1999">
        <v>31.199999999999989</v>
      </c>
      <c r="L20" s="2605"/>
      <c r="M20" s="1999">
        <v>33.400000000000006</v>
      </c>
      <c r="N20" s="2605"/>
      <c r="O20" s="1999">
        <v>32.700000000000031</v>
      </c>
      <c r="P20" s="2605"/>
      <c r="Q20" s="1788">
        <f>$AD20-$E20-$G20-$I20-$K20-$M20-$O20</f>
        <v>31.299999999999969</v>
      </c>
      <c r="R20" s="2605"/>
      <c r="S20" s="1788"/>
      <c r="T20" s="2605"/>
      <c r="U20" s="1788"/>
      <c r="V20" s="2605"/>
      <c r="W20" s="1788"/>
      <c r="X20" s="2605"/>
      <c r="Y20" s="1788"/>
      <c r="Z20" s="2605"/>
      <c r="AA20" s="1788"/>
      <c r="AB20" s="1999"/>
      <c r="AC20" s="2038"/>
      <c r="AD20" s="1999">
        <v>194</v>
      </c>
      <c r="AE20" s="3190"/>
      <c r="AF20" s="1976"/>
      <c r="AG20" s="1999">
        <v>247.4</v>
      </c>
      <c r="AH20" s="1994"/>
      <c r="AI20" s="2599"/>
      <c r="AJ20" s="1994">
        <f>ROUND(AD20-AG20,1)</f>
        <v>-53.4</v>
      </c>
      <c r="AK20" s="2606"/>
      <c r="AL20" s="1649">
        <f>ROUND(IF(AG20=0,0,AJ20/ABS(AG20)),3)</f>
        <v>-0.216</v>
      </c>
      <c r="AM20" s="2597"/>
    </row>
    <row r="21" spans="1:39">
      <c r="A21" s="2464"/>
      <c r="B21" s="2334" t="s">
        <v>1098</v>
      </c>
      <c r="C21" s="2464"/>
      <c r="D21" s="2464"/>
      <c r="E21" s="1999">
        <v>11.6</v>
      </c>
      <c r="F21" s="1999"/>
      <c r="G21" s="1999">
        <v>8.7999999999999989</v>
      </c>
      <c r="H21" s="1999"/>
      <c r="I21" s="1999">
        <v>12.399999999999997</v>
      </c>
      <c r="J21" s="1999"/>
      <c r="K21" s="1999">
        <v>12.400000000000007</v>
      </c>
      <c r="L21" s="2605"/>
      <c r="M21" s="1999">
        <v>10.199999999999994</v>
      </c>
      <c r="N21" s="2605"/>
      <c r="O21" s="1999">
        <v>12.699999999999998</v>
      </c>
      <c r="P21" s="2605"/>
      <c r="Q21" s="1788">
        <f>$AD21-$E21-$G21-$I21-$K21-$M21-$O21</f>
        <v>10.600000000000014</v>
      </c>
      <c r="R21" s="2605"/>
      <c r="S21" s="1788"/>
      <c r="T21" s="2605"/>
      <c r="U21" s="1788"/>
      <c r="V21" s="2605"/>
      <c r="W21" s="1788"/>
      <c r="X21" s="2605"/>
      <c r="Y21" s="1788"/>
      <c r="Z21" s="2605"/>
      <c r="AA21" s="1788"/>
      <c r="AB21" s="1999"/>
      <c r="AC21" s="2038"/>
      <c r="AD21" s="1999">
        <v>78.7</v>
      </c>
      <c r="AE21" s="3190"/>
      <c r="AF21" s="1976"/>
      <c r="AG21" s="1999">
        <v>85.1</v>
      </c>
      <c r="AH21" s="1994"/>
      <c r="AI21" s="2599"/>
      <c r="AJ21" s="1994">
        <f>ROUND(AD21-AG21,1)</f>
        <v>-6.4</v>
      </c>
      <c r="AK21" s="2606"/>
      <c r="AL21" s="2195">
        <f>ROUND(IF(AG21=0,0,AJ21/ABS(AG21)),3)</f>
        <v>-7.4999999999999997E-2</v>
      </c>
    </row>
    <row r="22" spans="1:39">
      <c r="A22" s="2464"/>
      <c r="B22" s="2472" t="s">
        <v>1182</v>
      </c>
      <c r="C22" s="2464"/>
      <c r="D22" s="2464"/>
      <c r="E22" s="1458">
        <f>ROUND(SUM(E19:E21),1)</f>
        <v>36</v>
      </c>
      <c r="F22" s="1999"/>
      <c r="G22" s="1458">
        <f>ROUND(SUM(G19:G21),1)</f>
        <v>25.6</v>
      </c>
      <c r="H22" s="1999"/>
      <c r="I22" s="1458">
        <f>ROUND(SUM(I19:I21),1)</f>
        <v>47.4</v>
      </c>
      <c r="J22" s="1999"/>
      <c r="K22" s="1458">
        <f>ROUND(SUM(K19:K21),1)</f>
        <v>43.6</v>
      </c>
      <c r="L22" s="1999"/>
      <c r="M22" s="1458">
        <f>ROUND(SUM(M19:M21),1)</f>
        <v>43.6</v>
      </c>
      <c r="N22" s="1999"/>
      <c r="O22" s="1458">
        <f>ROUND(SUM(O19:O21),1)</f>
        <v>61</v>
      </c>
      <c r="P22" s="1994"/>
      <c r="Q22" s="1458">
        <f>ROUND(SUM(Q19:Q21),1)</f>
        <v>42</v>
      </c>
      <c r="R22" s="1994"/>
      <c r="S22" s="1458">
        <f>ROUND(SUM(S19:S21),1)</f>
        <v>0</v>
      </c>
      <c r="T22" s="1994"/>
      <c r="U22" s="1458">
        <f>ROUND(SUM(U19:U21),1)</f>
        <v>0</v>
      </c>
      <c r="V22" s="1994"/>
      <c r="W22" s="1458">
        <f>ROUND(SUM(W19:W21),1)</f>
        <v>0</v>
      </c>
      <c r="X22" s="1994"/>
      <c r="Y22" s="1458">
        <f>ROUND(SUM(Y19:Y21),1)</f>
        <v>0</v>
      </c>
      <c r="Z22" s="1994"/>
      <c r="AA22" s="1458">
        <f>ROUND(SUM(AA19:AA21),1)</f>
        <v>0</v>
      </c>
      <c r="AB22" s="1994"/>
      <c r="AC22" s="2038"/>
      <c r="AD22" s="1458">
        <f>ROUND(SUM(AD19:AD21),1)</f>
        <v>299.2</v>
      </c>
      <c r="AE22" s="3193"/>
      <c r="AF22" s="1976"/>
      <c r="AG22" s="1458">
        <f>ROUND(SUM(AG19:AG21),1)</f>
        <v>382.4</v>
      </c>
      <c r="AH22" s="1994"/>
      <c r="AI22" s="2599"/>
      <c r="AJ22" s="1458">
        <f>ROUND(SUM(AJ19:AJ21),1)</f>
        <v>-83.2</v>
      </c>
      <c r="AK22" s="2606"/>
      <c r="AL22" s="2196">
        <f>ROUND(IF(AG22=0,0,AJ22/ABS(AG22)),3)</f>
        <v>-0.218</v>
      </c>
    </row>
    <row r="23" spans="1:39">
      <c r="A23" s="2464"/>
      <c r="B23" s="2540" t="s">
        <v>1082</v>
      </c>
      <c r="C23" s="2464"/>
      <c r="D23" s="2464"/>
      <c r="E23" s="1999"/>
      <c r="F23" s="1999"/>
      <c r="G23" s="1999"/>
      <c r="H23" s="1999"/>
      <c r="I23" s="1999"/>
      <c r="J23" s="1999"/>
      <c r="K23" s="1999"/>
      <c r="L23" s="1999"/>
      <c r="M23" s="1999"/>
      <c r="N23" s="1999"/>
      <c r="O23" s="1999"/>
      <c r="P23" s="1994"/>
      <c r="Q23" s="2612"/>
      <c r="R23" s="1994"/>
      <c r="S23" s="2612"/>
      <c r="T23" s="1994"/>
      <c r="U23" s="2612"/>
      <c r="V23" s="1994"/>
      <c r="W23" s="3669"/>
      <c r="X23" s="1994"/>
      <c r="Y23" s="2612"/>
      <c r="Z23" s="1994"/>
      <c r="AA23" s="3669"/>
      <c r="AB23" s="1994"/>
      <c r="AC23" s="2038"/>
      <c r="AD23" s="1993"/>
      <c r="AE23" s="3190"/>
      <c r="AF23" s="1976"/>
      <c r="AG23" s="1993"/>
      <c r="AH23" s="1994"/>
      <c r="AI23" s="2599"/>
      <c r="AJ23" s="1993"/>
      <c r="AK23" s="2597"/>
      <c r="AL23" s="1797"/>
    </row>
    <row r="24" spans="1:39">
      <c r="A24" s="2464"/>
      <c r="B24" s="2334" t="s">
        <v>1100</v>
      </c>
      <c r="C24" s="2464"/>
      <c r="D24" s="2464"/>
      <c r="E24" s="1999">
        <v>0</v>
      </c>
      <c r="F24" s="1999"/>
      <c r="G24" s="1999">
        <v>0</v>
      </c>
      <c r="H24" s="1999"/>
      <c r="I24" s="1999">
        <v>0</v>
      </c>
      <c r="J24" s="1999"/>
      <c r="K24" s="1999">
        <v>0</v>
      </c>
      <c r="L24" s="2605"/>
      <c r="M24" s="1999">
        <v>0</v>
      </c>
      <c r="N24" s="2605"/>
      <c r="O24" s="1999">
        <v>0</v>
      </c>
      <c r="P24" s="2605"/>
      <c r="Q24" s="1788">
        <f>$AD24-$E24-$G24-$I24-$K24-$M24-$O24</f>
        <v>0</v>
      </c>
      <c r="R24" s="2605"/>
      <c r="S24" s="1788"/>
      <c r="T24" s="2605"/>
      <c r="U24" s="1788"/>
      <c r="V24" s="2605"/>
      <c r="W24" s="1788"/>
      <c r="X24" s="2605"/>
      <c r="Y24" s="1788"/>
      <c r="Z24" s="2605"/>
      <c r="AA24" s="1788"/>
      <c r="AB24" s="1994"/>
      <c r="AC24" s="2038"/>
      <c r="AD24" s="1999">
        <v>0</v>
      </c>
      <c r="AE24" s="3193"/>
      <c r="AF24" s="1976"/>
      <c r="AG24" s="1999">
        <v>0</v>
      </c>
      <c r="AH24" s="1994"/>
      <c r="AI24" s="2599"/>
      <c r="AJ24" s="1994">
        <f>ROUND(AD24-AG24,1)</f>
        <v>0</v>
      </c>
      <c r="AK24" s="2597"/>
      <c r="AL24" s="1649">
        <f>ROUND(IF(AG24=0,0,AJ24/ABS(AG24)),3)</f>
        <v>0</v>
      </c>
    </row>
    <row r="25" spans="1:39">
      <c r="A25" s="2464"/>
      <c r="B25" s="2334" t="s">
        <v>1101</v>
      </c>
      <c r="C25" s="2464"/>
      <c r="D25" s="2464"/>
      <c r="E25" s="1999">
        <v>0.1</v>
      </c>
      <c r="F25" s="1999"/>
      <c r="G25" s="1999">
        <v>-1.5</v>
      </c>
      <c r="H25" s="1999"/>
      <c r="I25" s="1999">
        <v>0.6</v>
      </c>
      <c r="J25" s="1999"/>
      <c r="K25" s="1999">
        <v>3.5999999999999992</v>
      </c>
      <c r="L25" s="2605"/>
      <c r="M25" s="1999">
        <v>0.10000000000000053</v>
      </c>
      <c r="N25" s="2605"/>
      <c r="O25" s="1999">
        <v>2.2000000000000006</v>
      </c>
      <c r="P25" s="2605"/>
      <c r="Q25" s="1788">
        <f>$AD25-$E25-$G25-$I25-$K25-$M25-$O25</f>
        <v>0.70000000000000018</v>
      </c>
      <c r="R25" s="2605"/>
      <c r="S25" s="1788"/>
      <c r="T25" s="2605"/>
      <c r="U25" s="1788"/>
      <c r="V25" s="2605"/>
      <c r="W25" s="1788"/>
      <c r="X25" s="2605"/>
      <c r="Y25" s="1788"/>
      <c r="Z25" s="2605"/>
      <c r="AA25" s="1788"/>
      <c r="AB25" s="1994"/>
      <c r="AC25" s="2038"/>
      <c r="AD25" s="1999">
        <v>5.8</v>
      </c>
      <c r="AE25" s="3193"/>
      <c r="AF25" s="1976"/>
      <c r="AG25" s="1999">
        <v>8.3000000000000007</v>
      </c>
      <c r="AH25" s="1994"/>
      <c r="AI25" s="2599"/>
      <c r="AJ25" s="1994">
        <f>ROUND(AD25-AG25,1)</f>
        <v>-2.5</v>
      </c>
      <c r="AK25" s="2597"/>
      <c r="AL25" s="1723">
        <f>ROUND(IF(AG25=0,1,AJ25/ABS(AG25)),3)</f>
        <v>-0.30099999999999999</v>
      </c>
    </row>
    <row r="26" spans="1:39">
      <c r="A26" s="2464"/>
      <c r="B26" s="2334" t="s">
        <v>1104</v>
      </c>
      <c r="C26" s="2552"/>
      <c r="D26" s="2464"/>
      <c r="E26" s="1999">
        <v>38</v>
      </c>
      <c r="F26" s="1999"/>
      <c r="G26" s="1999">
        <v>22.200000000000003</v>
      </c>
      <c r="H26" s="1999"/>
      <c r="I26" s="1999">
        <v>48</v>
      </c>
      <c r="J26" s="1999"/>
      <c r="K26" s="1999">
        <v>49.09999999999998</v>
      </c>
      <c r="L26" s="2605"/>
      <c r="M26" s="1999">
        <v>48.3</v>
      </c>
      <c r="N26" s="2605"/>
      <c r="O26" s="1999">
        <v>55.200000000000045</v>
      </c>
      <c r="P26" s="2605"/>
      <c r="Q26" s="1788">
        <f>$AD26-$E26-$G26-$I26-$K26-$M26-$O26</f>
        <v>49.899999999999991</v>
      </c>
      <c r="R26" s="2605"/>
      <c r="S26" s="1788"/>
      <c r="T26" s="2605"/>
      <c r="U26" s="1788"/>
      <c r="V26" s="2605"/>
      <c r="W26" s="1788"/>
      <c r="X26" s="2605"/>
      <c r="Y26" s="1788"/>
      <c r="Z26" s="2605"/>
      <c r="AA26" s="1788"/>
      <c r="AB26" s="1994"/>
      <c r="AC26" s="2038"/>
      <c r="AD26" s="1999">
        <v>310.7</v>
      </c>
      <c r="AE26" s="3190"/>
      <c r="AF26" s="1976"/>
      <c r="AG26" s="1999">
        <v>400</v>
      </c>
      <c r="AH26" s="1994"/>
      <c r="AI26" s="2599"/>
      <c r="AJ26" s="1994">
        <f>ROUND(AD26-AG26,1)</f>
        <v>-89.3</v>
      </c>
      <c r="AK26" s="2606"/>
      <c r="AL26" s="2607">
        <f>ROUND(IF(AG26=0,0,AJ26/ABS(AG26)),3)</f>
        <v>-0.223</v>
      </c>
    </row>
    <row r="27" spans="1:39">
      <c r="A27" s="2464"/>
      <c r="B27" s="2472" t="s">
        <v>1183</v>
      </c>
      <c r="C27" s="2552"/>
      <c r="D27" s="2464"/>
      <c r="E27" s="1458">
        <f>ROUND(SUM(E24:E26),1)</f>
        <v>38.1</v>
      </c>
      <c r="F27" s="1999"/>
      <c r="G27" s="1458">
        <f>ROUND(SUM(G24:G26),1)</f>
        <v>20.7</v>
      </c>
      <c r="H27" s="1999"/>
      <c r="I27" s="1458">
        <f>ROUND(SUM(I24:I26),1)</f>
        <v>48.6</v>
      </c>
      <c r="J27" s="1999"/>
      <c r="K27" s="1458">
        <f>ROUND(SUM(K24:K26),1)</f>
        <v>52.7</v>
      </c>
      <c r="L27" s="1999"/>
      <c r="M27" s="1458">
        <f>ROUND(SUM(M24:M26),1)</f>
        <v>48.4</v>
      </c>
      <c r="N27" s="1999"/>
      <c r="O27" s="1458">
        <f>ROUND(SUM(O24:O26),1)</f>
        <v>57.4</v>
      </c>
      <c r="P27" s="1994"/>
      <c r="Q27" s="1458">
        <f>ROUND(SUM(Q24:Q26),1)</f>
        <v>50.6</v>
      </c>
      <c r="R27" s="1994"/>
      <c r="S27" s="1458">
        <f>ROUND(SUM(S24:S26),1)</f>
        <v>0</v>
      </c>
      <c r="T27" s="1994"/>
      <c r="U27" s="1458">
        <f>ROUND(SUM(U24:U26),1)</f>
        <v>0</v>
      </c>
      <c r="V27" s="1994"/>
      <c r="W27" s="1458">
        <f>ROUND(SUM(W24:W26),1)</f>
        <v>0</v>
      </c>
      <c r="X27" s="1994"/>
      <c r="Y27" s="1458">
        <f>ROUND(SUM(Y24:Y26),1)</f>
        <v>0</v>
      </c>
      <c r="Z27" s="1994"/>
      <c r="AA27" s="1458">
        <f>ROUND(SUM(AA24:AA26),1)</f>
        <v>0</v>
      </c>
      <c r="AB27" s="1994"/>
      <c r="AC27" s="2038"/>
      <c r="AD27" s="1458">
        <f>ROUND(SUM(AD24:AD26),1)</f>
        <v>316.5</v>
      </c>
      <c r="AE27" s="3193"/>
      <c r="AF27" s="1976"/>
      <c r="AG27" s="1458">
        <f>ROUND(SUM(AG24:AG26),1)</f>
        <v>408.3</v>
      </c>
      <c r="AH27" s="1994"/>
      <c r="AI27" s="2599"/>
      <c r="AJ27" s="1458">
        <f>ROUND(SUM(AJ24:AJ26),1)</f>
        <v>-91.8</v>
      </c>
      <c r="AK27" s="2606"/>
      <c r="AL27" s="2627">
        <f>ROUND(IF(AG27=0,0,AJ27/ABS(AG27)),3)</f>
        <v>-0.22500000000000001</v>
      </c>
    </row>
    <row r="28" spans="1:39">
      <c r="A28" s="2464"/>
      <c r="B28" s="2540" t="s">
        <v>1083</v>
      </c>
      <c r="C28" s="2464"/>
      <c r="D28" s="2464"/>
      <c r="E28" s="2608"/>
      <c r="F28" s="1999"/>
      <c r="G28" s="2608"/>
      <c r="H28" s="1999"/>
      <c r="I28" s="1998"/>
      <c r="J28" s="1999"/>
      <c r="K28" s="1998"/>
      <c r="L28" s="1999"/>
      <c r="M28" s="1999"/>
      <c r="N28" s="1999"/>
      <c r="O28" s="1999"/>
      <c r="P28" s="1994"/>
      <c r="Q28" s="2612"/>
      <c r="R28" s="1994"/>
      <c r="S28" s="2612"/>
      <c r="T28" s="1994"/>
      <c r="U28" s="2612"/>
      <c r="V28" s="1994"/>
      <c r="W28" s="2612"/>
      <c r="X28" s="1994"/>
      <c r="Y28" s="2612"/>
      <c r="Z28" s="1994"/>
      <c r="AA28" s="2612"/>
      <c r="AB28" s="1994"/>
      <c r="AC28" s="2038"/>
      <c r="AD28" s="1994"/>
      <c r="AE28" s="3194"/>
      <c r="AF28" s="3195"/>
      <c r="AG28" s="1994"/>
      <c r="AH28" s="1993"/>
      <c r="AI28" s="2609"/>
      <c r="AJ28" s="1993"/>
      <c r="AK28" s="2613"/>
      <c r="AL28" s="1649"/>
      <c r="AM28" s="2597"/>
    </row>
    <row r="29" spans="1:39">
      <c r="A29" s="2464"/>
      <c r="B29" s="2334" t="s">
        <v>1110</v>
      </c>
      <c r="C29" s="2464"/>
      <c r="D29" s="2464"/>
      <c r="E29" s="1999">
        <v>0</v>
      </c>
      <c r="F29" s="1999"/>
      <c r="G29" s="1999">
        <v>0</v>
      </c>
      <c r="H29" s="1999"/>
      <c r="I29" s="1999">
        <v>11.9</v>
      </c>
      <c r="J29" s="1999"/>
      <c r="K29" s="1999">
        <v>11.9</v>
      </c>
      <c r="L29" s="2605"/>
      <c r="M29" s="1999">
        <v>11.900000000000004</v>
      </c>
      <c r="N29" s="2605"/>
      <c r="O29" s="1999">
        <v>11.9</v>
      </c>
      <c r="P29" s="2605"/>
      <c r="Q29" s="1788">
        <f>$AD29-$E29-$G29-$I29-$K29-$M29-$O29</f>
        <v>11.999999999999998</v>
      </c>
      <c r="R29" s="2605"/>
      <c r="S29" s="1788"/>
      <c r="T29" s="2605"/>
      <c r="U29" s="1788"/>
      <c r="V29" s="2605"/>
      <c r="W29" s="1788"/>
      <c r="X29" s="2605"/>
      <c r="Y29" s="1788"/>
      <c r="Z29" s="2605"/>
      <c r="AA29" s="1788"/>
      <c r="AB29" s="1994"/>
      <c r="AC29" s="2038"/>
      <c r="AD29" s="1999">
        <v>59.6</v>
      </c>
      <c r="AE29" s="3196"/>
      <c r="AF29" s="3195"/>
      <c r="AG29" s="1999">
        <v>59.6</v>
      </c>
      <c r="AH29" s="1993"/>
      <c r="AI29" s="2609"/>
      <c r="AJ29" s="1994">
        <f>ROUND(AD29-AG29,1)</f>
        <v>0</v>
      </c>
      <c r="AK29" s="2613"/>
      <c r="AL29" s="2607">
        <f>ROUND(IF(AG29=0,0,AJ29/ABS(AG29)),3)</f>
        <v>0</v>
      </c>
      <c r="AM29" s="2597"/>
    </row>
    <row r="30" spans="1:39">
      <c r="B30" s="2472" t="s">
        <v>1184</v>
      </c>
      <c r="C30" s="2464"/>
      <c r="D30" s="2464"/>
      <c r="E30" s="1458">
        <f>ROUND(SUM(E29:E29),1)</f>
        <v>0</v>
      </c>
      <c r="F30" s="1999"/>
      <c r="G30" s="1458">
        <f>ROUND(SUM(G29:G29),1)</f>
        <v>0</v>
      </c>
      <c r="H30" s="1999"/>
      <c r="I30" s="1458">
        <f>ROUND(SUM(I29:I29),1)</f>
        <v>11.9</v>
      </c>
      <c r="J30" s="1999"/>
      <c r="K30" s="1458">
        <f>ROUND(SUM(K29:K29),1)</f>
        <v>11.9</v>
      </c>
      <c r="L30" s="1999"/>
      <c r="M30" s="1458">
        <f>ROUND(SUM(M29:M29),1)</f>
        <v>11.9</v>
      </c>
      <c r="N30" s="1999"/>
      <c r="O30" s="1458">
        <f>ROUND(SUM(O29:O29),1)</f>
        <v>11.9</v>
      </c>
      <c r="P30" s="1994"/>
      <c r="Q30" s="1458">
        <f>ROUND(SUM(Q29:Q29),1)</f>
        <v>12</v>
      </c>
      <c r="R30" s="1994"/>
      <c r="S30" s="1458">
        <f>ROUND(SUM(S29:S29),1)</f>
        <v>0</v>
      </c>
      <c r="T30" s="1994"/>
      <c r="U30" s="1458">
        <f>ROUND(SUM(U29:U29),1)</f>
        <v>0</v>
      </c>
      <c r="V30" s="1994"/>
      <c r="W30" s="1458">
        <f>ROUND(SUM(W29:W29),1)</f>
        <v>0</v>
      </c>
      <c r="X30" s="1994"/>
      <c r="Y30" s="1458">
        <f>ROUND(SUM(Y29:Y29),1)</f>
        <v>0</v>
      </c>
      <c r="Z30" s="1994"/>
      <c r="AA30" s="1458">
        <f>ROUND(SUM(AA29:AA29),1)</f>
        <v>0</v>
      </c>
      <c r="AB30" s="1994"/>
      <c r="AC30" s="2038"/>
      <c r="AD30" s="1458">
        <f>ROUND(SUM(AD29:AD29),1)</f>
        <v>59.6</v>
      </c>
      <c r="AE30" s="3196"/>
      <c r="AF30" s="3195"/>
      <c r="AG30" s="1458">
        <f>ROUND(SUM(AG29:AG29),1)</f>
        <v>59.6</v>
      </c>
      <c r="AH30" s="1993"/>
      <c r="AI30" s="2609"/>
      <c r="AJ30" s="1458">
        <f>ROUND(SUM(AJ29:AJ29),1)</f>
        <v>0</v>
      </c>
      <c r="AK30" s="2613"/>
      <c r="AL30" s="2196">
        <f>ROUND(IF(AG30=0,0,AJ30/ABS(AG30)),3)</f>
        <v>0</v>
      </c>
      <c r="AM30" s="2597"/>
    </row>
    <row r="31" spans="1:39">
      <c r="A31" s="2464"/>
      <c r="B31" s="2552"/>
      <c r="C31" s="2464"/>
      <c r="D31" s="2464"/>
      <c r="E31" s="2608"/>
      <c r="F31" s="1999"/>
      <c r="G31" s="2608"/>
      <c r="H31" s="1999"/>
      <c r="I31" s="1998"/>
      <c r="J31" s="1999"/>
      <c r="K31" s="1998"/>
      <c r="L31" s="1999"/>
      <c r="M31" s="1999"/>
      <c r="N31" s="1999"/>
      <c r="O31" s="1999"/>
      <c r="P31" s="1994"/>
      <c r="Q31" s="2612"/>
      <c r="R31" s="1994"/>
      <c r="S31" s="2612"/>
      <c r="T31" s="1994"/>
      <c r="U31" s="2612"/>
      <c r="V31" s="1994"/>
      <c r="W31" s="2612"/>
      <c r="X31" s="1994"/>
      <c r="Y31" s="2612"/>
      <c r="Z31" s="1994"/>
      <c r="AA31" s="2612"/>
      <c r="AB31" s="1994"/>
      <c r="AC31" s="2038"/>
      <c r="AD31" s="1994"/>
      <c r="AE31" s="3196"/>
      <c r="AF31" s="3195"/>
      <c r="AG31" s="1994"/>
      <c r="AH31" s="1993"/>
      <c r="AI31" s="2609"/>
      <c r="AJ31" s="1993"/>
      <c r="AK31" s="2613"/>
      <c r="AL31" s="3670"/>
      <c r="AM31" s="2597"/>
    </row>
    <row r="32" spans="1:39" s="2620" customFormat="1">
      <c r="A32" s="2552"/>
      <c r="B32" s="2472" t="s">
        <v>1106</v>
      </c>
      <c r="C32" s="2552"/>
      <c r="D32" s="2552"/>
      <c r="E32" s="2610">
        <f>ROUND(SUM(+E27+E22+E30),1)</f>
        <v>74.099999999999994</v>
      </c>
      <c r="F32" s="2049"/>
      <c r="G32" s="2610">
        <f>ROUND(SUM(+G27+G22+G30),1)</f>
        <v>46.3</v>
      </c>
      <c r="H32" s="2049"/>
      <c r="I32" s="2610">
        <f>ROUND(SUM(+I27+I22+I30),1)</f>
        <v>107.9</v>
      </c>
      <c r="J32" s="2049"/>
      <c r="K32" s="2610">
        <f>ROUND(SUM(+K27+K22+K30),1)</f>
        <v>108.2</v>
      </c>
      <c r="L32" s="2049"/>
      <c r="M32" s="2034">
        <f>ROUND(SUM(+M27+M22+M30),1)</f>
        <v>103.9</v>
      </c>
      <c r="N32" s="2049"/>
      <c r="O32" s="2034">
        <f>ROUND(SUM(+O27+O22+O30),1)</f>
        <v>130.30000000000001</v>
      </c>
      <c r="P32" s="2049"/>
      <c r="Q32" s="2034">
        <f>ROUND(SUM(+Q27+Q22+Q30),1)</f>
        <v>104.6</v>
      </c>
      <c r="R32" s="2049"/>
      <c r="S32" s="2034">
        <f>ROUND(SUM(+S27+S22+S30),1)</f>
        <v>0</v>
      </c>
      <c r="T32" s="2049"/>
      <c r="U32" s="2034">
        <f>ROUND(SUM(+U27+U22+U30),1)</f>
        <v>0</v>
      </c>
      <c r="V32" s="2049"/>
      <c r="W32" s="2034">
        <f>ROUND(SUM(+W27+W22+W30),1)</f>
        <v>0</v>
      </c>
      <c r="X32" s="2049"/>
      <c r="Y32" s="2034">
        <f>ROUND(SUM(+Y27+Y22+Y30),1)</f>
        <v>0</v>
      </c>
      <c r="Z32" s="2049"/>
      <c r="AA32" s="2034">
        <f>ROUND(SUM(+AA27+AA22+AA30),1)</f>
        <v>0</v>
      </c>
      <c r="AB32" s="2049"/>
      <c r="AC32" s="2553"/>
      <c r="AD32" s="2034">
        <f>ROUND(SUM(+AD27+AD22+AD30),1)</f>
        <v>675.3</v>
      </c>
      <c r="AE32" s="3197"/>
      <c r="AF32" s="3198"/>
      <c r="AG32" s="2034">
        <f>ROUND(SUM(+AG27+AG22+AG30),1)</f>
        <v>850.3</v>
      </c>
      <c r="AH32" s="2611"/>
      <c r="AI32" s="2609"/>
      <c r="AJ32" s="2034">
        <f>ROUND(SUM(+AJ27+AJ22+AJ30),1)</f>
        <v>-175</v>
      </c>
      <c r="AK32" s="3671"/>
      <c r="AL32" s="2627">
        <f>ROUND(IF(AG32=0,1,AJ32/ABS(AG32)),3)</f>
        <v>-0.20599999999999999</v>
      </c>
      <c r="AM32" s="2628"/>
    </row>
    <row r="33" spans="1:39">
      <c r="A33" s="2464"/>
      <c r="B33" s="2504"/>
      <c r="C33" s="2464"/>
      <c r="D33" s="2464"/>
      <c r="E33" s="2608"/>
      <c r="F33" s="1999"/>
      <c r="G33" s="2608"/>
      <c r="H33" s="1999"/>
      <c r="I33" s="1998"/>
      <c r="J33" s="1999"/>
      <c r="K33" s="1998"/>
      <c r="L33" s="1999"/>
      <c r="M33" s="1999"/>
      <c r="N33" s="1999"/>
      <c r="O33" s="1999"/>
      <c r="P33" s="1994"/>
      <c r="Q33" s="2612"/>
      <c r="R33" s="1994"/>
      <c r="S33" s="2612"/>
      <c r="T33" s="1994"/>
      <c r="U33" s="2612"/>
      <c r="V33" s="1994"/>
      <c r="W33" s="2612"/>
      <c r="X33" s="1994"/>
      <c r="Y33" s="2612"/>
      <c r="Z33" s="1994"/>
      <c r="AA33" s="2612"/>
      <c r="AB33" s="1994"/>
      <c r="AC33" s="2038"/>
      <c r="AD33" s="1994"/>
      <c r="AE33" s="3196"/>
      <c r="AF33" s="3195"/>
      <c r="AG33" s="1994"/>
      <c r="AH33" s="1993"/>
      <c r="AI33" s="2609"/>
      <c r="AJ33" s="1993"/>
      <c r="AK33" s="2613"/>
      <c r="AL33" s="1649"/>
      <c r="AM33" s="2597"/>
    </row>
    <row r="34" spans="1:39">
      <c r="A34" s="2464"/>
      <c r="B34" s="2461" t="s">
        <v>1014</v>
      </c>
      <c r="C34" s="2464"/>
      <c r="D34" s="2464"/>
      <c r="E34" s="1998"/>
      <c r="F34" s="1999"/>
      <c r="G34" s="1998"/>
      <c r="H34" s="1999"/>
      <c r="I34" s="1998"/>
      <c r="J34" s="1999"/>
      <c r="K34" s="1998"/>
      <c r="L34" s="1999"/>
      <c r="M34" s="1999"/>
      <c r="N34" s="1999"/>
      <c r="O34" s="1999"/>
      <c r="P34" s="1994"/>
      <c r="Q34" s="2612"/>
      <c r="R34" s="1994"/>
      <c r="S34" s="2612"/>
      <c r="T34" s="1994"/>
      <c r="U34" s="2612"/>
      <c r="V34" s="1994"/>
      <c r="W34" s="2612"/>
      <c r="X34" s="1994"/>
      <c r="Y34" s="2612"/>
      <c r="Z34" s="1994"/>
      <c r="AA34" s="2612"/>
      <c r="AB34" s="1994"/>
      <c r="AC34" s="2038"/>
      <c r="AD34" s="1994"/>
      <c r="AE34" s="3190"/>
      <c r="AF34" s="1976"/>
      <c r="AG34" s="1994"/>
      <c r="AH34" s="1993"/>
      <c r="AI34" s="2609"/>
      <c r="AJ34" s="1993"/>
      <c r="AK34" s="2606"/>
      <c r="AL34" s="1797"/>
    </row>
    <row r="35" spans="1:39">
      <c r="A35" s="2464"/>
      <c r="B35" s="2484" t="s">
        <v>1133</v>
      </c>
      <c r="C35" s="2504"/>
      <c r="D35" s="2464"/>
      <c r="E35" s="1998"/>
      <c r="F35" s="1999"/>
      <c r="G35" s="1998"/>
      <c r="H35" s="1999"/>
      <c r="I35" s="1998"/>
      <c r="J35" s="1999"/>
      <c r="K35" s="1998"/>
      <c r="L35" s="1999"/>
      <c r="M35" s="1999"/>
      <c r="N35" s="1999"/>
      <c r="O35" s="1999"/>
      <c r="P35" s="1994"/>
      <c r="Q35" s="2612"/>
      <c r="R35" s="1994"/>
      <c r="S35" s="2612"/>
      <c r="T35" s="1994"/>
      <c r="U35" s="2612"/>
      <c r="V35" s="1994"/>
      <c r="W35" s="2612"/>
      <c r="X35" s="1994"/>
      <c r="Y35" s="2612"/>
      <c r="Z35" s="1994"/>
      <c r="AA35" s="2612"/>
      <c r="AB35" s="1994"/>
      <c r="AC35" s="2038"/>
      <c r="AD35" s="1994"/>
      <c r="AE35" s="3193"/>
      <c r="AF35" s="1976"/>
      <c r="AG35" s="1994"/>
      <c r="AH35" s="1993"/>
      <c r="AI35" s="2609"/>
      <c r="AJ35" s="1993"/>
      <c r="AK35" s="2606"/>
      <c r="AL35" s="1797"/>
    </row>
    <row r="36" spans="1:39">
      <c r="A36" s="2464"/>
      <c r="B36" s="2484" t="s">
        <v>1048</v>
      </c>
      <c r="C36" s="2504"/>
      <c r="D36" s="2464"/>
      <c r="E36" s="1999">
        <v>0</v>
      </c>
      <c r="F36" s="1999"/>
      <c r="G36" s="1999">
        <v>0</v>
      </c>
      <c r="H36" s="1999"/>
      <c r="I36" s="1999">
        <v>0</v>
      </c>
      <c r="J36" s="1999"/>
      <c r="K36" s="1999">
        <v>23</v>
      </c>
      <c r="L36" s="2605"/>
      <c r="M36" s="1999">
        <v>0</v>
      </c>
      <c r="N36" s="2605"/>
      <c r="O36" s="1999">
        <v>0</v>
      </c>
      <c r="P36" s="2605"/>
      <c r="Q36" s="1788">
        <f>$AD36-$E36-$G36-$I36-$K36-$M36-$O36</f>
        <v>0</v>
      </c>
      <c r="R36" s="2605"/>
      <c r="S36" s="1788"/>
      <c r="T36" s="2605"/>
      <c r="U36" s="1788"/>
      <c r="V36" s="2605"/>
      <c r="W36" s="1788"/>
      <c r="X36" s="2605"/>
      <c r="Y36" s="1788"/>
      <c r="Z36" s="2605"/>
      <c r="AA36" s="1788"/>
      <c r="AB36" s="1994"/>
      <c r="AC36" s="2038"/>
      <c r="AD36" s="1999">
        <v>23</v>
      </c>
      <c r="AE36" s="3193"/>
      <c r="AF36" s="1976"/>
      <c r="AG36" s="1999">
        <v>23</v>
      </c>
      <c r="AH36" s="1993"/>
      <c r="AI36" s="2609"/>
      <c r="AJ36" s="1994">
        <f t="shared" ref="AJ36:AJ59" si="0">ROUND(AD36-AG36,1)</f>
        <v>0</v>
      </c>
      <c r="AK36" s="2606"/>
      <c r="AL36" s="1649">
        <f>ROUND(IF(AG36=0,0,AJ36/ABS(AG36)),3)</f>
        <v>0</v>
      </c>
    </row>
    <row r="37" spans="1:39">
      <c r="A37" s="2464"/>
      <c r="B37" s="2484" t="s">
        <v>1134</v>
      </c>
      <c r="C37" s="2504"/>
      <c r="D37" s="2464"/>
      <c r="E37" s="1999" t="s">
        <v>15</v>
      </c>
      <c r="F37" s="1999"/>
      <c r="G37" s="1999"/>
      <c r="H37" s="1999"/>
      <c r="I37" s="1999"/>
      <c r="J37" s="1999"/>
      <c r="K37" s="1999"/>
      <c r="L37" s="2605"/>
      <c r="M37" s="1999"/>
      <c r="N37" s="2605"/>
      <c r="O37" s="1999"/>
      <c r="P37" s="2605"/>
      <c r="Q37" s="1788"/>
      <c r="R37" s="2605"/>
      <c r="S37" s="1788"/>
      <c r="T37" s="2605"/>
      <c r="U37" s="1788"/>
      <c r="V37" s="2605"/>
      <c r="W37" s="1788"/>
      <c r="X37" s="2605"/>
      <c r="Y37" s="1788"/>
      <c r="Z37" s="2605"/>
      <c r="AA37" s="1788"/>
      <c r="AB37" s="1994"/>
      <c r="AC37" s="2038"/>
      <c r="AD37" s="2612"/>
      <c r="AE37" s="3193"/>
      <c r="AF37" s="1976"/>
      <c r="AG37" s="2612"/>
      <c r="AH37" s="1993"/>
      <c r="AI37" s="2609"/>
      <c r="AJ37" s="1994"/>
      <c r="AK37" s="2606"/>
      <c r="AL37" s="1797"/>
    </row>
    <row r="38" spans="1:39">
      <c r="A38" s="2464"/>
      <c r="B38" s="2484" t="s">
        <v>1049</v>
      </c>
      <c r="C38" s="2504"/>
      <c r="D38" s="2464"/>
      <c r="E38" s="1999">
        <v>7.9</v>
      </c>
      <c r="F38" s="1999"/>
      <c r="G38" s="1999">
        <v>3.5999999999999996</v>
      </c>
      <c r="H38" s="1999"/>
      <c r="I38" s="1999">
        <v>5.3999999999999986</v>
      </c>
      <c r="J38" s="1999"/>
      <c r="K38" s="1999">
        <v>7</v>
      </c>
      <c r="L38" s="2605"/>
      <c r="M38" s="1999">
        <v>7.6000000000000014</v>
      </c>
      <c r="N38" s="2605"/>
      <c r="O38" s="1999">
        <v>7.1000000000000014</v>
      </c>
      <c r="P38" s="2605"/>
      <c r="Q38" s="1788">
        <f>$AD38-$E38-$G38-$I38-$K38-$M38-$O38</f>
        <v>7.2999999999999972</v>
      </c>
      <c r="R38" s="2605"/>
      <c r="S38" s="1788"/>
      <c r="T38" s="2605"/>
      <c r="U38" s="1788"/>
      <c r="V38" s="2605"/>
      <c r="W38" s="1788"/>
      <c r="X38" s="2605"/>
      <c r="Y38" s="1788"/>
      <c r="Z38" s="2605"/>
      <c r="AA38" s="1788"/>
      <c r="AB38" s="1994"/>
      <c r="AC38" s="2038"/>
      <c r="AD38" s="1999">
        <v>45.9</v>
      </c>
      <c r="AE38" s="3193"/>
      <c r="AF38" s="1976"/>
      <c r="AG38" s="1999">
        <v>61.5</v>
      </c>
      <c r="AH38" s="1993"/>
      <c r="AI38" s="2609"/>
      <c r="AJ38" s="1994">
        <f t="shared" si="0"/>
        <v>-15.6</v>
      </c>
      <c r="AK38" s="2606"/>
      <c r="AL38" s="1649">
        <f>ROUND(IF(AG38=0,0,AJ38/ABS(AG38)),3)</f>
        <v>-0.254</v>
      </c>
    </row>
    <row r="39" spans="1:39">
      <c r="A39" s="2464"/>
      <c r="B39" s="2484" t="s">
        <v>1139</v>
      </c>
      <c r="C39" s="2504"/>
      <c r="D39" s="2464"/>
      <c r="E39" s="1999" t="s">
        <v>15</v>
      </c>
      <c r="F39" s="1999"/>
      <c r="G39" s="1999"/>
      <c r="H39" s="1999"/>
      <c r="I39" s="1999"/>
      <c r="J39" s="1999"/>
      <c r="K39" s="1999"/>
      <c r="L39" s="2605"/>
      <c r="M39" s="1999"/>
      <c r="N39" s="2605"/>
      <c r="O39" s="1999"/>
      <c r="P39" s="2605"/>
      <c r="Q39" s="1788"/>
      <c r="R39" s="2605"/>
      <c r="S39" s="1788"/>
      <c r="T39" s="2605"/>
      <c r="U39" s="1788"/>
      <c r="V39" s="2605"/>
      <c r="W39" s="1788"/>
      <c r="X39" s="2605"/>
      <c r="Y39" s="1788"/>
      <c r="Z39" s="2605"/>
      <c r="AA39" s="1788"/>
      <c r="AB39" s="1994"/>
      <c r="AC39" s="2038"/>
      <c r="AD39" s="2612"/>
      <c r="AE39" s="3193"/>
      <c r="AF39" s="1976"/>
      <c r="AG39" s="2612"/>
      <c r="AH39" s="1993"/>
      <c r="AI39" s="2609"/>
      <c r="AJ39" s="1994"/>
      <c r="AK39" s="2606"/>
      <c r="AL39" s="1797"/>
    </row>
    <row r="40" spans="1:39">
      <c r="A40" s="2464"/>
      <c r="B40" s="2484" t="s">
        <v>1053</v>
      </c>
      <c r="C40" s="2504"/>
      <c r="D40" s="2464"/>
      <c r="E40" s="1999">
        <v>1.8</v>
      </c>
      <c r="F40" s="1999"/>
      <c r="G40" s="1999">
        <v>2.0999999999999996</v>
      </c>
      <c r="H40" s="1999"/>
      <c r="I40" s="1999">
        <v>1.6000000000000005</v>
      </c>
      <c r="J40" s="1999"/>
      <c r="K40" s="1999">
        <v>1.2999999999999998</v>
      </c>
      <c r="L40" s="2605"/>
      <c r="M40" s="1999">
        <v>9.3000000000000007</v>
      </c>
      <c r="N40" s="2605"/>
      <c r="O40" s="1999">
        <v>3.0999999999999979</v>
      </c>
      <c r="P40" s="2605"/>
      <c r="Q40" s="1788">
        <f>$AD40-$E40-$G40-$I40-$K40-$M40-$O40</f>
        <v>2.4999999999999964</v>
      </c>
      <c r="R40" s="2605"/>
      <c r="S40" s="1788"/>
      <c r="T40" s="2605"/>
      <c r="U40" s="1788"/>
      <c r="V40" s="2605"/>
      <c r="W40" s="1788"/>
      <c r="X40" s="2605"/>
      <c r="Y40" s="1788"/>
      <c r="Z40" s="2605"/>
      <c r="AA40" s="1788"/>
      <c r="AB40" s="1994"/>
      <c r="AC40" s="2038"/>
      <c r="AD40" s="1999">
        <v>21.7</v>
      </c>
      <c r="AE40" s="3193"/>
      <c r="AF40" s="1976"/>
      <c r="AG40" s="1999">
        <v>25.8</v>
      </c>
      <c r="AH40" s="1993"/>
      <c r="AI40" s="2609"/>
      <c r="AJ40" s="1994">
        <f t="shared" si="0"/>
        <v>-4.0999999999999996</v>
      </c>
      <c r="AK40" s="2606"/>
      <c r="AL40" s="1649">
        <f>ROUND(IF(AG40=0,0,AJ40/ABS(AG40)),3)</f>
        <v>-0.159</v>
      </c>
    </row>
    <row r="41" spans="1:39">
      <c r="A41" s="2464"/>
      <c r="B41" s="2484" t="s">
        <v>1197</v>
      </c>
      <c r="C41" s="2504"/>
      <c r="D41" s="2464"/>
      <c r="E41" s="1999">
        <v>0</v>
      </c>
      <c r="F41" s="1999"/>
      <c r="G41" s="1999">
        <v>0</v>
      </c>
      <c r="H41" s="1999"/>
      <c r="I41" s="1999">
        <v>0</v>
      </c>
      <c r="J41" s="1999"/>
      <c r="K41" s="1999">
        <v>0</v>
      </c>
      <c r="L41" s="2605"/>
      <c r="M41" s="1999">
        <v>0</v>
      </c>
      <c r="N41" s="2605"/>
      <c r="O41" s="1999">
        <v>0</v>
      </c>
      <c r="P41" s="2605"/>
      <c r="Q41" s="1788">
        <f>$AD41-$E41-$G41-$I41-$K41-$M41-$O41</f>
        <v>0</v>
      </c>
      <c r="R41" s="2605"/>
      <c r="S41" s="1788"/>
      <c r="T41" s="2605"/>
      <c r="U41" s="1788"/>
      <c r="V41" s="2605"/>
      <c r="W41" s="1788"/>
      <c r="X41" s="2605"/>
      <c r="Y41" s="1788"/>
      <c r="Z41" s="2605"/>
      <c r="AA41" s="1788"/>
      <c r="AB41" s="1994"/>
      <c r="AC41" s="2038"/>
      <c r="AD41" s="1999">
        <v>0</v>
      </c>
      <c r="AE41" s="3199"/>
      <c r="AF41" s="1976"/>
      <c r="AG41" s="1999">
        <v>0</v>
      </c>
      <c r="AH41" s="1993"/>
      <c r="AI41" s="2609"/>
      <c r="AJ41" s="1994">
        <f>ROUND(AD41-AG41,1)</f>
        <v>0</v>
      </c>
      <c r="AK41" s="2606"/>
      <c r="AL41" s="1723">
        <f>ROUND(IF(AG41=0,0,AJ41/ABS(AG41)),3)</f>
        <v>0</v>
      </c>
    </row>
    <row r="42" spans="1:39">
      <c r="A42" s="2464"/>
      <c r="B42" s="2484" t="s">
        <v>1056</v>
      </c>
      <c r="C42" s="2504"/>
      <c r="D42" s="2464"/>
      <c r="E42" s="1999">
        <v>52.2</v>
      </c>
      <c r="F42" s="1999"/>
      <c r="G42" s="1999">
        <v>33.200000000000003</v>
      </c>
      <c r="H42" s="1999"/>
      <c r="I42" s="1999">
        <v>43.099999999999994</v>
      </c>
      <c r="J42" s="1999"/>
      <c r="K42" s="1999">
        <v>60.59999999999998</v>
      </c>
      <c r="L42" s="2605"/>
      <c r="M42" s="1999">
        <v>63.400000000000048</v>
      </c>
      <c r="N42" s="2605"/>
      <c r="O42" s="1999">
        <v>57.399999999999977</v>
      </c>
      <c r="P42" s="2605"/>
      <c r="Q42" s="1788">
        <f>$AD42-$E42-$G42-$I42-$K42-$M42-$O42</f>
        <v>60.700000000000031</v>
      </c>
      <c r="R42" s="2605"/>
      <c r="S42" s="1788"/>
      <c r="T42" s="2605"/>
      <c r="U42" s="1788"/>
      <c r="V42" s="2605"/>
      <c r="W42" s="1788"/>
      <c r="X42" s="2605"/>
      <c r="Y42" s="1788"/>
      <c r="Z42" s="2605"/>
      <c r="AA42" s="1788"/>
      <c r="AB42" s="1994"/>
      <c r="AC42" s="2038"/>
      <c r="AD42" s="1999">
        <v>370.6</v>
      </c>
      <c r="AE42" s="3193"/>
      <c r="AF42" s="1976"/>
      <c r="AG42" s="1999">
        <v>443.9</v>
      </c>
      <c r="AH42" s="1993"/>
      <c r="AI42" s="2609"/>
      <c r="AJ42" s="1994">
        <f t="shared" si="0"/>
        <v>-73.3</v>
      </c>
      <c r="AK42" s="2606"/>
      <c r="AL42" s="1649">
        <f>ROUND(IF(AG42=0,0,AJ42/ABS(AG42)),3)</f>
        <v>-0.16500000000000001</v>
      </c>
    </row>
    <row r="43" spans="1:39">
      <c r="A43" s="2464"/>
      <c r="B43" s="2484" t="s">
        <v>1057</v>
      </c>
      <c r="C43" s="2504"/>
      <c r="D43" s="2464"/>
      <c r="E43" s="1999">
        <v>0</v>
      </c>
      <c r="F43" s="1999"/>
      <c r="G43" s="1999">
        <v>0</v>
      </c>
      <c r="H43" s="1999"/>
      <c r="I43" s="1999">
        <v>0.5</v>
      </c>
      <c r="J43" s="1999"/>
      <c r="K43" s="1999">
        <v>0</v>
      </c>
      <c r="L43" s="2605"/>
      <c r="M43" s="1999">
        <v>11</v>
      </c>
      <c r="N43" s="2605"/>
      <c r="O43" s="1999">
        <v>7.6999999999999993</v>
      </c>
      <c r="P43" s="2605"/>
      <c r="Q43" s="1788">
        <f>$AD43-$E43-$G43-$I43-$K43-$M43-$O43</f>
        <v>0.10000000000000142</v>
      </c>
      <c r="R43" s="2605"/>
      <c r="S43" s="1788"/>
      <c r="T43" s="2605"/>
      <c r="U43" s="1788"/>
      <c r="V43" s="2605"/>
      <c r="W43" s="1788"/>
      <c r="X43" s="2605"/>
      <c r="Y43" s="1788"/>
      <c r="Z43" s="2605"/>
      <c r="AA43" s="1788"/>
      <c r="AB43" s="1994"/>
      <c r="AC43" s="2038"/>
      <c r="AD43" s="1999">
        <v>19.3</v>
      </c>
      <c r="AE43" s="3193"/>
      <c r="AF43" s="1976"/>
      <c r="AG43" s="1999">
        <v>16.100000000000001</v>
      </c>
      <c r="AH43" s="1993"/>
      <c r="AI43" s="2609"/>
      <c r="AJ43" s="1994">
        <f t="shared" si="0"/>
        <v>3.2</v>
      </c>
      <c r="AK43" s="2606"/>
      <c r="AL43" s="1728">
        <f>ROUND(IF(AG43=0,1,AJ43/ABS(AG43)),3)</f>
        <v>0.19900000000000001</v>
      </c>
    </row>
    <row r="44" spans="1:39">
      <c r="A44" s="2464"/>
      <c r="B44" s="2484" t="s">
        <v>1015</v>
      </c>
      <c r="C44" s="2504"/>
      <c r="D44" s="2464"/>
      <c r="E44" s="1999">
        <v>2</v>
      </c>
      <c r="F44" s="1999"/>
      <c r="G44" s="1999">
        <v>1.9</v>
      </c>
      <c r="H44" s="1999"/>
      <c r="I44" s="1999">
        <v>2.0000000000000004</v>
      </c>
      <c r="J44" s="1999"/>
      <c r="K44" s="1999">
        <v>1.2000000000000002</v>
      </c>
      <c r="L44" s="2605"/>
      <c r="M44" s="1999">
        <v>3.2</v>
      </c>
      <c r="N44" s="2605"/>
      <c r="O44" s="1999">
        <v>2.1999999999999993</v>
      </c>
      <c r="P44" s="2605"/>
      <c r="Q44" s="1788">
        <f t="shared" ref="Q44:Q59" si="1">$AD44-$E44-$G44-$I44-$K44-$M44-$O44</f>
        <v>1.9000000000000004</v>
      </c>
      <c r="R44" s="2605"/>
      <c r="S44" s="1788"/>
      <c r="T44" s="2605"/>
      <c r="U44" s="1788"/>
      <c r="V44" s="2605"/>
      <c r="W44" s="1788"/>
      <c r="X44" s="2605"/>
      <c r="Y44" s="1788"/>
      <c r="Z44" s="2605"/>
      <c r="AA44" s="1788"/>
      <c r="AB44" s="1994"/>
      <c r="AC44" s="2038"/>
      <c r="AD44" s="1999">
        <v>14.4</v>
      </c>
      <c r="AE44" s="3193"/>
      <c r="AF44" s="1976"/>
      <c r="AG44" s="1999">
        <v>14.2</v>
      </c>
      <c r="AH44" s="1993"/>
      <c r="AI44" s="2609"/>
      <c r="AJ44" s="1994">
        <f t="shared" si="0"/>
        <v>0.2</v>
      </c>
      <c r="AK44" s="2606"/>
      <c r="AL44" s="1728">
        <f>ROUND(IF(AG44=0,1,AJ44/ABS(AG44)),3)</f>
        <v>1.4E-2</v>
      </c>
    </row>
    <row r="45" spans="1:39">
      <c r="A45" s="2464"/>
      <c r="B45" s="2484" t="s">
        <v>1016</v>
      </c>
      <c r="C45" s="2504"/>
      <c r="D45" s="2464"/>
      <c r="E45" s="1999">
        <v>0.7</v>
      </c>
      <c r="F45" s="1999"/>
      <c r="G45" s="1999">
        <v>0.5</v>
      </c>
      <c r="H45" s="1999"/>
      <c r="I45" s="1999">
        <v>0.10000000000000009</v>
      </c>
      <c r="J45" s="1999"/>
      <c r="K45" s="1999">
        <v>0</v>
      </c>
      <c r="L45" s="2605"/>
      <c r="M45" s="1999">
        <v>9.9999999999999867E-2</v>
      </c>
      <c r="N45" s="2605"/>
      <c r="O45" s="1999">
        <v>0.10000000000000009</v>
      </c>
      <c r="P45" s="2605"/>
      <c r="Q45" s="1788">
        <f t="shared" si="1"/>
        <v>0</v>
      </c>
      <c r="R45" s="2605"/>
      <c r="S45" s="1788"/>
      <c r="T45" s="2605"/>
      <c r="U45" s="1788"/>
      <c r="V45" s="2605"/>
      <c r="W45" s="1788"/>
      <c r="X45" s="2605"/>
      <c r="Y45" s="1788"/>
      <c r="Z45" s="2605"/>
      <c r="AA45" s="1788"/>
      <c r="AB45" s="1994"/>
      <c r="AC45" s="2038"/>
      <c r="AD45" s="1999">
        <v>1.5</v>
      </c>
      <c r="AE45" s="3193"/>
      <c r="AF45" s="1976"/>
      <c r="AG45" s="1999">
        <v>7.2</v>
      </c>
      <c r="AH45" s="1993"/>
      <c r="AI45" s="2609"/>
      <c r="AJ45" s="1994">
        <f t="shared" si="0"/>
        <v>-5.7</v>
      </c>
      <c r="AK45" s="2606"/>
      <c r="AL45" s="1723">
        <f>ROUND(IF(AG45=0,1,AJ45/ABS(AG45)),3)</f>
        <v>-0.79200000000000004</v>
      </c>
    </row>
    <row r="46" spans="1:39">
      <c r="A46" s="2464"/>
      <c r="B46" s="2484" t="s">
        <v>1137</v>
      </c>
      <c r="C46" s="2504"/>
      <c r="D46" s="2464"/>
      <c r="E46" s="1999" t="s">
        <v>15</v>
      </c>
      <c r="F46" s="1999"/>
      <c r="G46" s="1999"/>
      <c r="H46" s="1999"/>
      <c r="I46" s="1999"/>
      <c r="J46" s="1999"/>
      <c r="K46" s="1999"/>
      <c r="L46" s="2605"/>
      <c r="M46" s="1999"/>
      <c r="N46" s="2605"/>
      <c r="O46" s="1999"/>
      <c r="P46" s="2605"/>
      <c r="Q46" s="1788"/>
      <c r="R46" s="2605"/>
      <c r="S46" s="1788"/>
      <c r="T46" s="2605"/>
      <c r="U46" s="1788"/>
      <c r="V46" s="2605"/>
      <c r="W46" s="1788"/>
      <c r="X46" s="2605"/>
      <c r="Y46" s="1788"/>
      <c r="Z46" s="2605"/>
      <c r="AA46" s="1788"/>
      <c r="AB46" s="1994"/>
      <c r="AC46" s="2038"/>
      <c r="AD46" s="2612"/>
      <c r="AE46" s="3193"/>
      <c r="AF46" s="1976"/>
      <c r="AG46" s="2612"/>
      <c r="AH46" s="1993"/>
      <c r="AI46" s="2609"/>
      <c r="AJ46" s="1994"/>
      <c r="AK46" s="2606"/>
      <c r="AL46" s="1797"/>
    </row>
    <row r="47" spans="1:39">
      <c r="A47" s="2464"/>
      <c r="B47" s="2484" t="s">
        <v>1061</v>
      </c>
      <c r="C47" s="2504"/>
      <c r="D47" s="2464"/>
      <c r="E47" s="1999">
        <v>1122.0999999999999</v>
      </c>
      <c r="F47" s="1999"/>
      <c r="G47" s="1999">
        <v>19.100000000000136</v>
      </c>
      <c r="H47" s="1999"/>
      <c r="I47" s="1999">
        <v>342.39999999999986</v>
      </c>
      <c r="J47" s="1999"/>
      <c r="K47" s="1999">
        <v>269.90000000000009</v>
      </c>
      <c r="L47" s="2605"/>
      <c r="M47" s="1999">
        <v>32.400000000000091</v>
      </c>
      <c r="N47" s="2605"/>
      <c r="O47" s="1999">
        <v>384.69999999999982</v>
      </c>
      <c r="P47" s="2605"/>
      <c r="Q47" s="1788">
        <f t="shared" si="1"/>
        <v>895.80000000000018</v>
      </c>
      <c r="R47" s="2605"/>
      <c r="S47" s="1788"/>
      <c r="T47" s="2605"/>
      <c r="U47" s="1788"/>
      <c r="V47" s="2605"/>
      <c r="W47" s="1788"/>
      <c r="X47" s="2605"/>
      <c r="Y47" s="1788"/>
      <c r="Z47" s="2605"/>
      <c r="AA47" s="1788"/>
      <c r="AB47" s="1994"/>
      <c r="AC47" s="2038"/>
      <c r="AD47" s="1999">
        <v>3066.4</v>
      </c>
      <c r="AE47" s="3193"/>
      <c r="AF47" s="1976"/>
      <c r="AG47" s="1999">
        <v>2671.8</v>
      </c>
      <c r="AH47" s="1993"/>
      <c r="AI47" s="2609"/>
      <c r="AJ47" s="1994">
        <f t="shared" si="0"/>
        <v>394.6</v>
      </c>
      <c r="AK47" s="2606"/>
      <c r="AL47" s="3672">
        <f>ROUND(IF(AG47=0,1,AJ47/ABS(AG47)),3)</f>
        <v>0.14799999999999999</v>
      </c>
    </row>
    <row r="48" spans="1:39" s="2615" customFormat="1">
      <c r="A48" s="3673"/>
      <c r="B48" s="2484" t="s">
        <v>1063</v>
      </c>
      <c r="C48" s="2504"/>
      <c r="D48" s="2504"/>
      <c r="E48" s="1999">
        <v>0</v>
      </c>
      <c r="F48" s="1998"/>
      <c r="G48" s="1999">
        <v>0</v>
      </c>
      <c r="H48" s="1998"/>
      <c r="I48" s="1999">
        <v>0</v>
      </c>
      <c r="J48" s="1998"/>
      <c r="K48" s="1999">
        <v>0</v>
      </c>
      <c r="L48" s="2605"/>
      <c r="M48" s="1999">
        <v>0</v>
      </c>
      <c r="N48" s="2605"/>
      <c r="O48" s="1999">
        <v>0</v>
      </c>
      <c r="P48" s="2605"/>
      <c r="Q48" s="1788">
        <f t="shared" si="1"/>
        <v>0</v>
      </c>
      <c r="R48" s="2605"/>
      <c r="S48" s="1788"/>
      <c r="T48" s="2605"/>
      <c r="U48" s="1788"/>
      <c r="V48" s="2605"/>
      <c r="W48" s="1788"/>
      <c r="X48" s="2605"/>
      <c r="Y48" s="1788"/>
      <c r="Z48" s="2605"/>
      <c r="AA48" s="1788"/>
      <c r="AB48" s="1999"/>
      <c r="AC48" s="2000"/>
      <c r="AD48" s="1999">
        <v>0</v>
      </c>
      <c r="AE48" s="3200"/>
      <c r="AF48" s="2040"/>
      <c r="AG48" s="1999">
        <v>0</v>
      </c>
      <c r="AH48" s="2031"/>
      <c r="AI48" s="2609"/>
      <c r="AJ48" s="1999">
        <f t="shared" si="0"/>
        <v>0</v>
      </c>
      <c r="AK48" s="2614"/>
      <c r="AL48" s="1723">
        <f>ROUND(IF(AG48=0,0,AJ48/ABS(AG48)),3)</f>
        <v>0</v>
      </c>
    </row>
    <row r="49" spans="1:41">
      <c r="A49" s="2464"/>
      <c r="B49" s="2484" t="s">
        <v>1064</v>
      </c>
      <c r="C49" s="2504"/>
      <c r="D49" s="2464"/>
      <c r="E49" s="1999">
        <v>0.1</v>
      </c>
      <c r="F49" s="1999"/>
      <c r="G49" s="1999">
        <v>0</v>
      </c>
      <c r="H49" s="1999"/>
      <c r="I49" s="1999">
        <v>0.5</v>
      </c>
      <c r="J49" s="1999"/>
      <c r="K49" s="1999">
        <v>9.9999999999999978E-2</v>
      </c>
      <c r="L49" s="2605"/>
      <c r="M49" s="1999">
        <v>0.49999999999999989</v>
      </c>
      <c r="N49" s="2605"/>
      <c r="O49" s="1999">
        <v>0.10000000000000009</v>
      </c>
      <c r="P49" s="2605"/>
      <c r="Q49" s="1788">
        <f t="shared" si="1"/>
        <v>0.39999999999999991</v>
      </c>
      <c r="R49" s="2605"/>
      <c r="S49" s="1788"/>
      <c r="T49" s="2605"/>
      <c r="U49" s="1788"/>
      <c r="V49" s="2605"/>
      <c r="W49" s="1788"/>
      <c r="X49" s="2605"/>
      <c r="Y49" s="1788"/>
      <c r="Z49" s="2605"/>
      <c r="AA49" s="1788"/>
      <c r="AB49" s="1994"/>
      <c r="AC49" s="2038"/>
      <c r="AD49" s="1999">
        <v>1.7</v>
      </c>
      <c r="AE49" s="3193"/>
      <c r="AF49" s="1976"/>
      <c r="AG49" s="1999">
        <v>24.3</v>
      </c>
      <c r="AH49" s="1993"/>
      <c r="AI49" s="2609"/>
      <c r="AJ49" s="1994">
        <f t="shared" si="0"/>
        <v>-22.6</v>
      </c>
      <c r="AK49" s="2606"/>
      <c r="AL49" s="2616">
        <f>ROUND(IF(AG49=0,1,AJ49/ABS(AG49)),3)</f>
        <v>-0.93</v>
      </c>
    </row>
    <row r="50" spans="1:41">
      <c r="A50" s="2464"/>
      <c r="B50" s="2484" t="s">
        <v>1034</v>
      </c>
      <c r="C50" s="2504"/>
      <c r="D50" s="2464"/>
      <c r="E50" s="1999">
        <v>0</v>
      </c>
      <c r="F50" s="1999"/>
      <c r="G50" s="1999">
        <v>0</v>
      </c>
      <c r="H50" s="1999"/>
      <c r="I50" s="1999">
        <v>0.1</v>
      </c>
      <c r="J50" s="1999"/>
      <c r="K50" s="1999">
        <v>0</v>
      </c>
      <c r="L50" s="2605"/>
      <c r="M50" s="1999">
        <v>0.30000000000000004</v>
      </c>
      <c r="N50" s="2605"/>
      <c r="O50" s="1999">
        <v>0</v>
      </c>
      <c r="P50" s="2605"/>
      <c r="Q50" s="1788">
        <f t="shared" si="1"/>
        <v>9.9999999999999978E-2</v>
      </c>
      <c r="R50" s="2605"/>
      <c r="S50" s="1788"/>
      <c r="T50" s="2605"/>
      <c r="U50" s="1788"/>
      <c r="V50" s="2605"/>
      <c r="W50" s="1788"/>
      <c r="X50" s="2605"/>
      <c r="Y50" s="1788"/>
      <c r="Z50" s="2605"/>
      <c r="AA50" s="1788"/>
      <c r="AB50" s="1994"/>
      <c r="AC50" s="2038"/>
      <c r="AD50" s="1999">
        <v>0.5</v>
      </c>
      <c r="AE50" s="3193"/>
      <c r="AF50" s="1976"/>
      <c r="AG50" s="1999">
        <v>1.3</v>
      </c>
      <c r="AH50" s="1993"/>
      <c r="AI50" s="2609"/>
      <c r="AJ50" s="1994">
        <f t="shared" si="0"/>
        <v>-0.8</v>
      </c>
      <c r="AK50" s="2606"/>
      <c r="AL50" s="1649">
        <f>ROUND(IF(AG50=0,1,AJ50/ABS(AG50)),3)</f>
        <v>-0.61499999999999999</v>
      </c>
    </row>
    <row r="51" spans="1:41">
      <c r="A51" s="2464"/>
      <c r="B51" s="2484" t="s">
        <v>1035</v>
      </c>
      <c r="C51" s="2504"/>
      <c r="D51" s="2464"/>
      <c r="E51" s="1999">
        <v>0.4</v>
      </c>
      <c r="F51" s="1999"/>
      <c r="G51" s="1999">
        <v>1.1000000000000001</v>
      </c>
      <c r="H51" s="1999"/>
      <c r="I51" s="1999">
        <v>2</v>
      </c>
      <c r="J51" s="1999"/>
      <c r="K51" s="1999">
        <v>2.1999999999999993</v>
      </c>
      <c r="L51" s="2605"/>
      <c r="M51" s="1999">
        <v>3.7000000000000011</v>
      </c>
      <c r="N51" s="2605"/>
      <c r="O51" s="1999">
        <v>1.0999999999999996</v>
      </c>
      <c r="P51" s="2605"/>
      <c r="Q51" s="1788">
        <f t="shared" si="1"/>
        <v>0.69999999999999929</v>
      </c>
      <c r="R51" s="2605"/>
      <c r="S51" s="1788"/>
      <c r="T51" s="2605"/>
      <c r="U51" s="1788"/>
      <c r="V51" s="2605"/>
      <c r="W51" s="1788"/>
      <c r="X51" s="2605"/>
      <c r="Y51" s="1788"/>
      <c r="Z51" s="2605"/>
      <c r="AA51" s="1788"/>
      <c r="AB51" s="1994"/>
      <c r="AC51" s="2038"/>
      <c r="AD51" s="1999">
        <v>11.2</v>
      </c>
      <c r="AE51" s="3193"/>
      <c r="AF51" s="1976"/>
      <c r="AG51" s="1999">
        <v>5.3</v>
      </c>
      <c r="AH51" s="1993"/>
      <c r="AI51" s="2609"/>
      <c r="AJ51" s="1994">
        <f t="shared" si="0"/>
        <v>5.9</v>
      </c>
      <c r="AK51" s="2606"/>
      <c r="AL51" s="1649">
        <f>ROUND(IF(AG51=0,0,AJ51/ABS(AG51)),3)</f>
        <v>1.113</v>
      </c>
    </row>
    <row r="52" spans="1:41">
      <c r="A52" s="2464"/>
      <c r="B52" s="2484" t="s">
        <v>1138</v>
      </c>
      <c r="C52" s="2504"/>
      <c r="D52" s="2464"/>
      <c r="E52" s="1999" t="s">
        <v>15</v>
      </c>
      <c r="F52" s="1999"/>
      <c r="G52" s="1999"/>
      <c r="H52" s="1999"/>
      <c r="I52" s="1999"/>
      <c r="J52" s="1999"/>
      <c r="K52" s="1999"/>
      <c r="L52" s="2605"/>
      <c r="M52" s="1999"/>
      <c r="N52" s="2605"/>
      <c r="O52" s="1999"/>
      <c r="P52" s="2605"/>
      <c r="Q52" s="1788"/>
      <c r="R52" s="2605"/>
      <c r="S52" s="1788"/>
      <c r="T52" s="2605"/>
      <c r="U52" s="1788"/>
      <c r="V52" s="2605"/>
      <c r="W52" s="1788"/>
      <c r="X52" s="2605"/>
      <c r="Y52" s="1788"/>
      <c r="Z52" s="2605"/>
      <c r="AA52" s="1788"/>
      <c r="AB52" s="1994"/>
      <c r="AC52" s="2038"/>
      <c r="AD52" s="2612"/>
      <c r="AE52" s="3193"/>
      <c r="AF52" s="1976"/>
      <c r="AG52" s="2612"/>
      <c r="AH52" s="1993"/>
      <c r="AI52" s="2609"/>
      <c r="AJ52" s="1994"/>
      <c r="AK52" s="2606"/>
      <c r="AL52" s="1797"/>
    </row>
    <row r="53" spans="1:41">
      <c r="A53" s="2464"/>
      <c r="B53" s="2484" t="s">
        <v>1065</v>
      </c>
      <c r="C53" s="2504"/>
      <c r="D53" s="2464"/>
      <c r="E53" s="1999">
        <v>0</v>
      </c>
      <c r="F53" s="1998"/>
      <c r="G53" s="1999">
        <v>0</v>
      </c>
      <c r="H53" s="1999"/>
      <c r="I53" s="1999">
        <v>0</v>
      </c>
      <c r="J53" s="1999"/>
      <c r="K53" s="1999">
        <v>0</v>
      </c>
      <c r="L53" s="2605"/>
      <c r="M53" s="1999">
        <v>0</v>
      </c>
      <c r="N53" s="2605"/>
      <c r="O53" s="1999">
        <v>0</v>
      </c>
      <c r="P53" s="2605"/>
      <c r="Q53" s="1788">
        <f t="shared" si="1"/>
        <v>0</v>
      </c>
      <c r="R53" s="2605"/>
      <c r="S53" s="1788"/>
      <c r="T53" s="2605"/>
      <c r="U53" s="1788"/>
      <c r="V53" s="2605"/>
      <c r="W53" s="1788"/>
      <c r="X53" s="2605"/>
      <c r="Y53" s="1788"/>
      <c r="Z53" s="2605"/>
      <c r="AA53" s="1788"/>
      <c r="AB53" s="1994"/>
      <c r="AC53" s="2038"/>
      <c r="AD53" s="1999">
        <v>0</v>
      </c>
      <c r="AE53" s="3193"/>
      <c r="AF53" s="1976"/>
      <c r="AG53" s="1999">
        <v>0</v>
      </c>
      <c r="AH53" s="1993"/>
      <c r="AI53" s="2609"/>
      <c r="AJ53" s="1994">
        <f t="shared" si="0"/>
        <v>0</v>
      </c>
      <c r="AK53" s="2606"/>
      <c r="AL53" s="1649">
        <f>ROUND(IF(AG53=0,0,AJ53/ABS(AG53)),3)</f>
        <v>0</v>
      </c>
    </row>
    <row r="54" spans="1:41">
      <c r="A54" s="2464"/>
      <c r="B54" s="2484" t="s">
        <v>1067</v>
      </c>
      <c r="C54" s="2504"/>
      <c r="D54" s="2464"/>
      <c r="E54" s="1999">
        <v>0</v>
      </c>
      <c r="F54" s="1998"/>
      <c r="G54" s="1999">
        <v>0.7</v>
      </c>
      <c r="H54" s="1999"/>
      <c r="I54" s="1999">
        <v>5.8</v>
      </c>
      <c r="J54" s="1999"/>
      <c r="K54" s="1999">
        <v>0</v>
      </c>
      <c r="L54" s="2605"/>
      <c r="M54" s="1999">
        <v>1.2999999999999998</v>
      </c>
      <c r="N54" s="2605"/>
      <c r="O54" s="1999">
        <v>1.6000000000000014</v>
      </c>
      <c r="P54" s="2605"/>
      <c r="Q54" s="1788">
        <f t="shared" si="1"/>
        <v>0.79999999999999893</v>
      </c>
      <c r="R54" s="2605"/>
      <c r="S54" s="1788"/>
      <c r="T54" s="2605"/>
      <c r="U54" s="1788"/>
      <c r="V54" s="2605"/>
      <c r="W54" s="1788"/>
      <c r="X54" s="2605"/>
      <c r="Y54" s="1788"/>
      <c r="Z54" s="2605"/>
      <c r="AA54" s="1788"/>
      <c r="AB54" s="1994"/>
      <c r="AC54" s="2038"/>
      <c r="AD54" s="1999">
        <v>10.199999999999999</v>
      </c>
      <c r="AE54" s="3193"/>
      <c r="AF54" s="1976"/>
      <c r="AG54" s="1999">
        <v>15.5</v>
      </c>
      <c r="AH54" s="1993"/>
      <c r="AI54" s="2609"/>
      <c r="AJ54" s="1994">
        <f t="shared" si="0"/>
        <v>-5.3</v>
      </c>
      <c r="AK54" s="2606"/>
      <c r="AL54" s="2195">
        <f>ROUND(IF(AG54=0,1,AJ54/ABS(AG54)),3)</f>
        <v>-0.34200000000000003</v>
      </c>
    </row>
    <row r="55" spans="1:41">
      <c r="A55" s="2464"/>
      <c r="B55" s="2484" t="s">
        <v>1068</v>
      </c>
      <c r="C55" s="2504"/>
      <c r="D55" s="2464"/>
      <c r="E55" s="1999">
        <v>0</v>
      </c>
      <c r="F55" s="1998"/>
      <c r="G55" s="1999">
        <v>0</v>
      </c>
      <c r="H55" s="1999"/>
      <c r="I55" s="1999">
        <v>0</v>
      </c>
      <c r="J55" s="1999"/>
      <c r="K55" s="1999">
        <v>0</v>
      </c>
      <c r="L55" s="2605"/>
      <c r="M55" s="1999">
        <v>0</v>
      </c>
      <c r="N55" s="2605"/>
      <c r="O55" s="1999">
        <v>0</v>
      </c>
      <c r="P55" s="2605"/>
      <c r="Q55" s="1788">
        <f t="shared" si="1"/>
        <v>0</v>
      </c>
      <c r="R55" s="2605"/>
      <c r="S55" s="1788"/>
      <c r="T55" s="2605"/>
      <c r="U55" s="1788"/>
      <c r="V55" s="2605"/>
      <c r="W55" s="1788"/>
      <c r="X55" s="2605"/>
      <c r="Y55" s="1788"/>
      <c r="Z55" s="2605"/>
      <c r="AA55" s="1788"/>
      <c r="AB55" s="1994"/>
      <c r="AC55" s="2038"/>
      <c r="AD55" s="1999">
        <v>0</v>
      </c>
      <c r="AE55" s="2181"/>
      <c r="AF55" s="1976"/>
      <c r="AG55" s="1999">
        <v>-0.9</v>
      </c>
      <c r="AH55" s="1993"/>
      <c r="AI55" s="2609"/>
      <c r="AJ55" s="1994">
        <f t="shared" si="0"/>
        <v>0.9</v>
      </c>
      <c r="AK55" s="2606"/>
      <c r="AL55" s="1649">
        <f>ROUND(IF(AG55=0,-1,AJ55/ABS(AG55)),3)</f>
        <v>1</v>
      </c>
    </row>
    <row r="56" spans="1:41">
      <c r="A56" s="2464"/>
      <c r="B56" s="2484" t="s">
        <v>1070</v>
      </c>
      <c r="C56" s="2504"/>
      <c r="D56" s="2464"/>
      <c r="E56" s="1999">
        <v>0</v>
      </c>
      <c r="F56" s="1998"/>
      <c r="G56" s="1999">
        <v>0</v>
      </c>
      <c r="H56" s="1999"/>
      <c r="I56" s="1999">
        <v>0</v>
      </c>
      <c r="J56" s="1999"/>
      <c r="K56" s="1999">
        <v>0</v>
      </c>
      <c r="L56" s="2605"/>
      <c r="M56" s="1999">
        <v>0</v>
      </c>
      <c r="N56" s="2605"/>
      <c r="O56" s="1999">
        <v>0</v>
      </c>
      <c r="P56" s="2605"/>
      <c r="Q56" s="1788">
        <f t="shared" si="1"/>
        <v>0</v>
      </c>
      <c r="R56" s="2605"/>
      <c r="S56" s="1788"/>
      <c r="T56" s="2605"/>
      <c r="U56" s="1788"/>
      <c r="V56" s="2605"/>
      <c r="W56" s="1788"/>
      <c r="X56" s="2605"/>
      <c r="Y56" s="1788"/>
      <c r="Z56" s="2605"/>
      <c r="AA56" s="1788"/>
      <c r="AB56" s="1994"/>
      <c r="AC56" s="2038"/>
      <c r="AD56" s="1999">
        <v>0</v>
      </c>
      <c r="AE56" s="3201"/>
      <c r="AF56" s="1976"/>
      <c r="AG56" s="1999">
        <v>0.2</v>
      </c>
      <c r="AH56" s="1993"/>
      <c r="AI56" s="2609"/>
      <c r="AJ56" s="1994">
        <f>ROUND(AD56-AG56,1)</f>
        <v>-0.2</v>
      </c>
      <c r="AK56" s="2606"/>
      <c r="AL56" s="1649">
        <f>ROUND(IF(AG56=0,0,AJ56/ABS(AG56)),3)</f>
        <v>-1</v>
      </c>
    </row>
    <row r="57" spans="1:41">
      <c r="A57" s="2464"/>
      <c r="B57" s="2484" t="s">
        <v>1071</v>
      </c>
      <c r="C57" s="2504"/>
      <c r="D57" s="2464"/>
      <c r="E57" s="1999">
        <v>3.1</v>
      </c>
      <c r="F57" s="1998"/>
      <c r="G57" s="1999">
        <v>0.19999999999999973</v>
      </c>
      <c r="H57" s="1999"/>
      <c r="I57" s="1999">
        <v>0</v>
      </c>
      <c r="J57" s="1999"/>
      <c r="K57" s="1999">
        <v>0.10000000000000009</v>
      </c>
      <c r="L57" s="2605"/>
      <c r="M57" s="1999">
        <v>0.89999999999999991</v>
      </c>
      <c r="N57" s="2605"/>
      <c r="O57" s="1999">
        <v>1.4000000000000004</v>
      </c>
      <c r="P57" s="2605"/>
      <c r="Q57" s="1788">
        <f t="shared" si="1"/>
        <v>3.3000000000000007</v>
      </c>
      <c r="R57" s="2605"/>
      <c r="S57" s="1788"/>
      <c r="T57" s="2605"/>
      <c r="U57" s="1788"/>
      <c r="V57" s="2605"/>
      <c r="W57" s="1788"/>
      <c r="X57" s="2605"/>
      <c r="Y57" s="1788"/>
      <c r="Z57" s="2605"/>
      <c r="AA57" s="1788"/>
      <c r="AB57" s="1994"/>
      <c r="AC57" s="2038"/>
      <c r="AD57" s="1999">
        <v>9</v>
      </c>
      <c r="AE57" s="3193"/>
      <c r="AF57" s="1976"/>
      <c r="AG57" s="1999">
        <v>4</v>
      </c>
      <c r="AH57" s="1993"/>
      <c r="AI57" s="2609"/>
      <c r="AJ57" s="1994">
        <f t="shared" si="0"/>
        <v>5</v>
      </c>
      <c r="AK57" s="2606"/>
      <c r="AL57" s="3672">
        <f>ROUND(IF(AG57=0,1,AJ57/ABS(AG57)),3)</f>
        <v>1.25</v>
      </c>
    </row>
    <row r="58" spans="1:41">
      <c r="A58" s="2464"/>
      <c r="B58" s="2484" t="s">
        <v>1073</v>
      </c>
      <c r="C58" s="2504"/>
      <c r="D58" s="2464"/>
      <c r="E58" s="1999">
        <v>0.3</v>
      </c>
      <c r="F58" s="1998"/>
      <c r="G58" s="1999">
        <v>1.8</v>
      </c>
      <c r="H58" s="1999"/>
      <c r="I58" s="1999">
        <v>11.999999999999998</v>
      </c>
      <c r="J58" s="1999"/>
      <c r="K58" s="1999">
        <v>0.20000000000000107</v>
      </c>
      <c r="L58" s="2605"/>
      <c r="M58" s="1999">
        <v>0.69999999999999929</v>
      </c>
      <c r="N58" s="2605"/>
      <c r="O58" s="1999">
        <v>13.7</v>
      </c>
      <c r="P58" s="2605"/>
      <c r="Q58" s="1788">
        <f t="shared" si="1"/>
        <v>4.7000000000000028</v>
      </c>
      <c r="R58" s="2605"/>
      <c r="S58" s="1788"/>
      <c r="T58" s="2605"/>
      <c r="U58" s="1788"/>
      <c r="V58" s="2605"/>
      <c r="W58" s="1788"/>
      <c r="X58" s="2605"/>
      <c r="Y58" s="1788"/>
      <c r="Z58" s="2605"/>
      <c r="AA58" s="1788"/>
      <c r="AB58" s="1994"/>
      <c r="AC58" s="2038"/>
      <c r="AD58" s="1805">
        <v>33.4</v>
      </c>
      <c r="AE58" s="3193"/>
      <c r="AF58" s="1976"/>
      <c r="AG58" s="1805">
        <v>41.6</v>
      </c>
      <c r="AH58" s="1993"/>
      <c r="AI58" s="2609"/>
      <c r="AJ58" s="1994">
        <f t="shared" si="0"/>
        <v>-8.1999999999999993</v>
      </c>
      <c r="AK58" s="2606"/>
      <c r="AL58" s="2195">
        <f>ROUND(IF(AG58=0,0,AJ58/ABS(AG58)),3)</f>
        <v>-0.19700000000000001</v>
      </c>
    </row>
    <row r="59" spans="1:41">
      <c r="A59" s="2464"/>
      <c r="B59" s="2484" t="s">
        <v>1045</v>
      </c>
      <c r="C59" s="2504"/>
      <c r="D59" s="2464"/>
      <c r="E59" s="1999">
        <v>0</v>
      </c>
      <c r="F59" s="1998"/>
      <c r="G59" s="1999">
        <v>0</v>
      </c>
      <c r="H59" s="1999"/>
      <c r="I59" s="1999">
        <v>0</v>
      </c>
      <c r="J59" s="1999"/>
      <c r="K59" s="1999">
        <v>0</v>
      </c>
      <c r="L59" s="2605"/>
      <c r="M59" s="1999">
        <v>0.1</v>
      </c>
      <c r="N59" s="2605"/>
      <c r="O59" s="1999">
        <v>0</v>
      </c>
      <c r="P59" s="2605"/>
      <c r="Q59" s="1788">
        <f t="shared" si="1"/>
        <v>0</v>
      </c>
      <c r="R59" s="2605"/>
      <c r="S59" s="1788"/>
      <c r="T59" s="2605"/>
      <c r="U59" s="1788"/>
      <c r="V59" s="2605"/>
      <c r="W59" s="1788"/>
      <c r="X59" s="2605"/>
      <c r="Y59" s="1788"/>
      <c r="Z59" s="2605"/>
      <c r="AA59" s="1788"/>
      <c r="AB59" s="1994"/>
      <c r="AC59" s="2038"/>
      <c r="AD59" s="1805">
        <v>0.1</v>
      </c>
      <c r="AE59" s="3193"/>
      <c r="AF59" s="1976"/>
      <c r="AG59" s="1805">
        <v>4.3</v>
      </c>
      <c r="AH59" s="1993"/>
      <c r="AI59" s="2609"/>
      <c r="AJ59" s="1994">
        <f t="shared" si="0"/>
        <v>-4.2</v>
      </c>
      <c r="AK59" s="2606"/>
      <c r="AL59" s="1793">
        <f>ROUND(IF(AG59=0,1,AJ59/ABS(AG59)),3)</f>
        <v>-0.97699999999999998</v>
      </c>
      <c r="AN59" s="2617"/>
    </row>
    <row r="60" spans="1:41" s="2620" customFormat="1" collapsed="1">
      <c r="A60" s="2552"/>
      <c r="B60" s="2472" t="s">
        <v>1178</v>
      </c>
      <c r="C60" s="2552"/>
      <c r="D60" s="2552"/>
      <c r="E60" s="1458">
        <f>ROUND(SUM(E34:E59),1)</f>
        <v>1190.5999999999999</v>
      </c>
      <c r="F60" s="2049"/>
      <c r="G60" s="1458">
        <f>ROUND(SUM(G34:G59),1)</f>
        <v>64.2</v>
      </c>
      <c r="H60" s="2618"/>
      <c r="I60" s="1458">
        <f>ROUND(SUM(I34:I59),1)</f>
        <v>415.5</v>
      </c>
      <c r="J60" s="2049"/>
      <c r="K60" s="1458">
        <f>ROUND(SUM(K34:K59),1)</f>
        <v>365.6</v>
      </c>
      <c r="L60" s="1999"/>
      <c r="M60" s="1458">
        <f>ROUND(SUM(M34:M59),1)</f>
        <v>134.5</v>
      </c>
      <c r="N60" s="1999"/>
      <c r="O60" s="1458">
        <f>ROUND(SUM(O34:O59),1)</f>
        <v>480.2</v>
      </c>
      <c r="P60" s="1994"/>
      <c r="Q60" s="1458">
        <f>ROUND(SUM(Q34:Q59),1)</f>
        <v>978.3</v>
      </c>
      <c r="R60" s="1994"/>
      <c r="S60" s="1458">
        <f>ROUND(SUM(S34:S59),1)</f>
        <v>0</v>
      </c>
      <c r="T60" s="1994"/>
      <c r="U60" s="1458">
        <f>ROUND(SUM(U34:U59),1)</f>
        <v>0</v>
      </c>
      <c r="V60" s="1994"/>
      <c r="W60" s="1458">
        <f>ROUND(SUM(W34:W59),1)</f>
        <v>0</v>
      </c>
      <c r="X60" s="1994"/>
      <c r="Y60" s="1458">
        <f>ROUND(SUM(Y34:Y59),1)</f>
        <v>0</v>
      </c>
      <c r="Z60" s="1994"/>
      <c r="AA60" s="1458">
        <f>ROUND(SUM(AA34:AA59),1)</f>
        <v>0</v>
      </c>
      <c r="AB60" s="2049"/>
      <c r="AC60" s="2553"/>
      <c r="AD60" s="1458">
        <f>ROUND(SUM(AD34:AD59),1)</f>
        <v>3628.9</v>
      </c>
      <c r="AE60" s="3202"/>
      <c r="AF60" s="1460"/>
      <c r="AG60" s="1458">
        <f>ROUND(SUM(AG34:AG59),1)</f>
        <v>3359.1</v>
      </c>
      <c r="AH60" s="2611"/>
      <c r="AI60" s="2609"/>
      <c r="AJ60" s="1458">
        <f>ROUND(SUM(AJ34:AJ59),1)</f>
        <v>269.8</v>
      </c>
      <c r="AK60" s="2619"/>
      <c r="AL60" s="2196">
        <f>ROUND(IF(AG60=0,0,AJ60/ABS(AG60)),3)</f>
        <v>0.08</v>
      </c>
    </row>
    <row r="61" spans="1:41" s="2620" customFormat="1">
      <c r="A61" s="2552"/>
      <c r="B61" s="2472"/>
      <c r="C61" s="2552"/>
      <c r="D61" s="2552"/>
      <c r="E61" s="1460"/>
      <c r="F61" s="2049"/>
      <c r="G61" s="1460"/>
      <c r="H61" s="2618"/>
      <c r="I61" s="1460"/>
      <c r="J61" s="2049"/>
      <c r="K61" s="1460"/>
      <c r="L61" s="2605"/>
      <c r="M61" s="1788"/>
      <c r="N61" s="2605"/>
      <c r="O61" s="1788"/>
      <c r="P61" s="2605"/>
      <c r="Q61" s="1788"/>
      <c r="R61" s="2605"/>
      <c r="S61" s="1788"/>
      <c r="T61" s="2605"/>
      <c r="U61" s="1788"/>
      <c r="V61" s="2605"/>
      <c r="W61" s="1788"/>
      <c r="X61" s="2605"/>
      <c r="Y61" s="1788"/>
      <c r="Z61" s="2605"/>
      <c r="AA61" s="1788"/>
      <c r="AB61" s="2049"/>
      <c r="AC61" s="2553"/>
      <c r="AD61" s="1460"/>
      <c r="AE61" s="3203"/>
      <c r="AF61" s="1460"/>
      <c r="AG61" s="1460"/>
      <c r="AH61" s="2611"/>
      <c r="AI61" s="2609"/>
      <c r="AJ61" s="1460"/>
      <c r="AK61" s="2619"/>
      <c r="AL61" s="2621"/>
    </row>
    <row r="62" spans="1:41">
      <c r="A62" s="2464"/>
      <c r="B62" s="2464" t="s">
        <v>149</v>
      </c>
      <c r="C62" s="2464"/>
      <c r="D62" s="2464"/>
      <c r="E62" s="1999">
        <v>0</v>
      </c>
      <c r="F62" s="1999"/>
      <c r="G62" s="1999">
        <v>0</v>
      </c>
      <c r="H62" s="1999"/>
      <c r="I62" s="1999">
        <v>0</v>
      </c>
      <c r="J62" s="1999"/>
      <c r="K62" s="1999">
        <v>0</v>
      </c>
      <c r="L62" s="2605"/>
      <c r="M62" s="1999">
        <v>0</v>
      </c>
      <c r="N62" s="2605"/>
      <c r="O62" s="1999">
        <v>2.1</v>
      </c>
      <c r="P62" s="2605"/>
      <c r="Q62" s="1999">
        <f>$AD62-$E62-$G62-$I62-$K62-$M62-$O62</f>
        <v>0</v>
      </c>
      <c r="R62" s="2605"/>
      <c r="S62" s="1788"/>
      <c r="T62" s="2605"/>
      <c r="U62" s="1788"/>
      <c r="V62" s="2605"/>
      <c r="W62" s="1788"/>
      <c r="X62" s="2605"/>
      <c r="Y62" s="1788"/>
      <c r="Z62" s="2605"/>
      <c r="AA62" s="1788"/>
      <c r="AB62" s="1994"/>
      <c r="AC62" s="2038"/>
      <c r="AD62" s="1999">
        <v>2.1</v>
      </c>
      <c r="AE62" s="3190"/>
      <c r="AF62" s="1976"/>
      <c r="AG62" s="1999">
        <v>2.2999999999999998</v>
      </c>
      <c r="AH62" s="1993"/>
      <c r="AI62" s="2599"/>
      <c r="AJ62" s="1994">
        <f>ROUND(AD62-AG62,1)</f>
        <v>-0.2</v>
      </c>
      <c r="AK62" s="2606"/>
      <c r="AL62" s="1649">
        <f>ROUND(IF(AG62=0,0,AJ62/ABS(AG62)),3)</f>
        <v>-8.6999999999999994E-2</v>
      </c>
    </row>
    <row r="63" spans="1:41">
      <c r="A63" s="2464"/>
      <c r="B63" s="2464"/>
      <c r="C63" s="2464"/>
      <c r="D63" s="2464"/>
      <c r="E63" s="2493"/>
      <c r="F63" s="1999"/>
      <c r="G63" s="2493"/>
      <c r="H63" s="1999"/>
      <c r="I63" s="2493"/>
      <c r="J63" s="1999"/>
      <c r="K63" s="2622"/>
      <c r="L63" s="2605"/>
      <c r="M63" s="2623"/>
      <c r="N63" s="2624"/>
      <c r="O63" s="2623"/>
      <c r="P63" s="2624"/>
      <c r="Q63" s="2623"/>
      <c r="R63" s="2624"/>
      <c r="S63" s="2623"/>
      <c r="T63" s="2624"/>
      <c r="U63" s="2623"/>
      <c r="V63" s="2624"/>
      <c r="W63" s="2623"/>
      <c r="X63" s="2624"/>
      <c r="Y63" s="2623"/>
      <c r="Z63" s="2624"/>
      <c r="AA63" s="2623"/>
      <c r="AB63" s="1994"/>
      <c r="AC63" s="2038"/>
      <c r="AD63" s="2050"/>
      <c r="AE63" s="3190"/>
      <c r="AF63" s="1976"/>
      <c r="AG63" s="2050"/>
      <c r="AH63" s="1976"/>
      <c r="AI63" s="2599"/>
      <c r="AJ63" s="2050"/>
      <c r="AK63" s="2597"/>
      <c r="AL63" s="2169"/>
    </row>
    <row r="64" spans="1:41">
      <c r="A64" s="2464"/>
      <c r="B64" s="2552" t="s">
        <v>196</v>
      </c>
      <c r="C64" s="2464"/>
      <c r="D64" s="2464"/>
      <c r="E64" s="2053">
        <f>ROUND(SUM(E32+E60+E62),1)</f>
        <v>1264.7</v>
      </c>
      <c r="F64" s="2049"/>
      <c r="G64" s="2625">
        <f>ROUND(SUM(G32+G60+G62),1)</f>
        <v>110.5</v>
      </c>
      <c r="H64" s="2049"/>
      <c r="I64" s="2625">
        <f>ROUND(SUM(I32+I60+I62),1)</f>
        <v>523.4</v>
      </c>
      <c r="J64" s="2049"/>
      <c r="K64" s="2625">
        <f>ROUND(SUM(K32+K60+K62),1)</f>
        <v>473.8</v>
      </c>
      <c r="L64" s="2049"/>
      <c r="M64" s="1558">
        <f>ROUND(SUM(M32+M60+M62),1)</f>
        <v>238.4</v>
      </c>
      <c r="N64" s="1460"/>
      <c r="O64" s="1558">
        <f>ROUND(SUM(O32+O60+O62),1)</f>
        <v>612.6</v>
      </c>
      <c r="P64" s="1460"/>
      <c r="Q64" s="1558">
        <f>ROUND(SUM(Q32+Q60+Q62),1)</f>
        <v>1082.9000000000001</v>
      </c>
      <c r="R64" s="1460"/>
      <c r="S64" s="1558">
        <f>ROUND(SUM(S32+S60+S62),1)</f>
        <v>0</v>
      </c>
      <c r="T64" s="1460"/>
      <c r="U64" s="1558">
        <f>ROUND(SUM(U32+U60+U62),1)</f>
        <v>0</v>
      </c>
      <c r="V64" s="1460"/>
      <c r="W64" s="1558">
        <f>ROUND(SUM(W32+W60+W62),1)</f>
        <v>0</v>
      </c>
      <c r="X64" s="1460"/>
      <c r="Y64" s="1558">
        <f>ROUND(SUM(Y32+Y60+Y62),1)</f>
        <v>0</v>
      </c>
      <c r="Z64" s="1460"/>
      <c r="AA64" s="1558">
        <f>ROUND(SUM(AA32+AA60+AA62),1)</f>
        <v>0</v>
      </c>
      <c r="AB64" s="2049"/>
      <c r="AC64" s="2553"/>
      <c r="AD64" s="1558">
        <f>ROUND(SUM(AD32+AD60+AD62),1)</f>
        <v>4306.3</v>
      </c>
      <c r="AE64" s="3202"/>
      <c r="AF64" s="1460"/>
      <c r="AG64" s="1558">
        <f>ROUND(SUM(AG32+AG60+AG62),1)</f>
        <v>4211.7</v>
      </c>
      <c r="AH64" s="2611"/>
      <c r="AI64" s="2599"/>
      <c r="AJ64" s="1558">
        <f>ROUND(SUM(AJ32+AJ60+AJ62),1)</f>
        <v>94.6</v>
      </c>
      <c r="AK64" s="2626"/>
      <c r="AL64" s="2627">
        <f>ROUND(IF(AG64=0,0,AJ64/ABS(AG64)),3)</f>
        <v>2.1999999999999999E-2</v>
      </c>
      <c r="AM64" s="2620"/>
      <c r="AO64" s="2644"/>
    </row>
    <row r="65" spans="1:41">
      <c r="A65" s="2464"/>
      <c r="B65" s="2464"/>
      <c r="C65" s="2464"/>
      <c r="D65" s="2464"/>
      <c r="E65" s="2040"/>
      <c r="F65" s="1999"/>
      <c r="G65" s="2493"/>
      <c r="H65" s="1999"/>
      <c r="I65" s="2493"/>
      <c r="J65" s="1999"/>
      <c r="K65" s="2493"/>
      <c r="L65" s="2605"/>
      <c r="M65" s="1788"/>
      <c r="N65" s="2605"/>
      <c r="O65" s="1788"/>
      <c r="P65" s="2605"/>
      <c r="Q65" s="1788"/>
      <c r="R65" s="2605"/>
      <c r="S65" s="1788"/>
      <c r="T65" s="2605"/>
      <c r="U65" s="1788"/>
      <c r="V65" s="2605"/>
      <c r="W65" s="1788"/>
      <c r="X65" s="2605"/>
      <c r="Y65" s="1788"/>
      <c r="Z65" s="2605"/>
      <c r="AA65" s="1788"/>
      <c r="AB65" s="2181"/>
      <c r="AC65" s="1976"/>
      <c r="AD65" s="2050"/>
      <c r="AE65" s="2181"/>
      <c r="AF65" s="1976"/>
      <c r="AG65" s="2050"/>
      <c r="AH65" s="1976"/>
      <c r="AI65" s="2599"/>
      <c r="AJ65" s="2600"/>
      <c r="AK65" s="2597"/>
      <c r="AL65" s="1797"/>
    </row>
    <row r="66" spans="1:41">
      <c r="A66" s="2464"/>
      <c r="B66" s="2552" t="s">
        <v>23</v>
      </c>
      <c r="C66" s="2464"/>
      <c r="D66" s="2464"/>
      <c r="E66" s="1999"/>
      <c r="F66" s="1999"/>
      <c r="G66" s="1999"/>
      <c r="H66" s="1999"/>
      <c r="I66" s="1999"/>
      <c r="J66" s="1999"/>
      <c r="K66" s="1999"/>
      <c r="L66" s="2605"/>
      <c r="M66" s="1788"/>
      <c r="N66" s="2605"/>
      <c r="O66" s="1788"/>
      <c r="P66" s="2605"/>
      <c r="Q66" s="1788"/>
      <c r="R66" s="2605"/>
      <c r="S66" s="1788"/>
      <c r="T66" s="2605"/>
      <c r="U66" s="1788"/>
      <c r="V66" s="2605"/>
      <c r="W66" s="1788"/>
      <c r="X66" s="2605"/>
      <c r="Y66" s="1788"/>
      <c r="Z66" s="2605"/>
      <c r="AA66" s="1788"/>
      <c r="AB66" s="2181"/>
      <c r="AC66" s="1976"/>
      <c r="AD66" s="1994"/>
      <c r="AE66" s="2181"/>
      <c r="AF66" s="1976"/>
      <c r="AG66" s="1994"/>
      <c r="AH66" s="1994"/>
      <c r="AI66" s="2599"/>
      <c r="AJ66" s="2600"/>
      <c r="AK66" s="2597"/>
      <c r="AL66" s="1797"/>
    </row>
    <row r="67" spans="1:41">
      <c r="A67" s="2464"/>
      <c r="B67" s="2464" t="s">
        <v>151</v>
      </c>
      <c r="C67" s="2464"/>
      <c r="D67" s="2464"/>
      <c r="E67" s="1999"/>
      <c r="F67" s="1999"/>
      <c r="G67" s="1999"/>
      <c r="H67" s="1999"/>
      <c r="I67" s="1999"/>
      <c r="J67" s="1999"/>
      <c r="K67" s="1999"/>
      <c r="L67" s="2605"/>
      <c r="M67" s="1788"/>
      <c r="N67" s="2605"/>
      <c r="O67" s="1788"/>
      <c r="P67" s="2605"/>
      <c r="Q67" s="1788"/>
      <c r="R67" s="2605"/>
      <c r="S67" s="1788"/>
      <c r="T67" s="2605"/>
      <c r="U67" s="1788"/>
      <c r="V67" s="2605"/>
      <c r="W67" s="1788"/>
      <c r="X67" s="2605"/>
      <c r="Y67" s="1788"/>
      <c r="Z67" s="2605"/>
      <c r="AA67" s="1788"/>
      <c r="AB67" s="1994"/>
      <c r="AC67" s="2038"/>
      <c r="AD67" s="1994"/>
      <c r="AE67" s="3190"/>
      <c r="AF67" s="1976"/>
      <c r="AG67" s="1994"/>
      <c r="AH67" s="1994"/>
      <c r="AI67" s="2599"/>
      <c r="AJ67" s="2600"/>
      <c r="AK67" s="2597"/>
      <c r="AL67" s="1797"/>
    </row>
    <row r="68" spans="1:41">
      <c r="A68" s="2464"/>
      <c r="B68" s="2464" t="s">
        <v>25</v>
      </c>
      <c r="C68" s="2464"/>
      <c r="D68" s="2464"/>
      <c r="E68" s="1999">
        <v>12</v>
      </c>
      <c r="F68" s="1999"/>
      <c r="G68" s="1999">
        <v>0</v>
      </c>
      <c r="H68" s="1999"/>
      <c r="I68" s="1999">
        <v>4.8999999999999986</v>
      </c>
      <c r="J68" s="1999"/>
      <c r="K68" s="1999">
        <v>1</v>
      </c>
      <c r="L68" s="2605"/>
      <c r="M68" s="1999">
        <v>1</v>
      </c>
      <c r="N68" s="2605"/>
      <c r="O68" s="1999">
        <v>1.4000000000000021</v>
      </c>
      <c r="P68" s="2605"/>
      <c r="Q68" s="1999">
        <f>$AD68-$E68-$G68-$I68-$K68-$M68-$O68</f>
        <v>20.3</v>
      </c>
      <c r="R68" s="2605"/>
      <c r="S68" s="1788"/>
      <c r="T68" s="2605"/>
      <c r="U68" s="1788"/>
      <c r="V68" s="2605"/>
      <c r="W68" s="1788"/>
      <c r="X68" s="2605"/>
      <c r="Y68" s="1788"/>
      <c r="Z68" s="2605"/>
      <c r="AA68" s="1788"/>
      <c r="AB68" s="1994"/>
      <c r="AC68" s="2038"/>
      <c r="AD68" s="1999">
        <v>40.6</v>
      </c>
      <c r="AE68" s="3190"/>
      <c r="AF68" s="1976"/>
      <c r="AG68" s="1999">
        <v>102.2</v>
      </c>
      <c r="AH68" s="1993"/>
      <c r="AI68" s="2609"/>
      <c r="AJ68" s="1994">
        <f t="shared" ref="AJ68:AJ77" si="2">ROUND(AD68-AG68,1)</f>
        <v>-61.6</v>
      </c>
      <c r="AK68" s="2606"/>
      <c r="AL68" s="3672">
        <f>ROUND(IF(AG68=0,1,AJ68/ABS(AG68)),3)</f>
        <v>-0.60299999999999998</v>
      </c>
    </row>
    <row r="69" spans="1:41">
      <c r="A69" s="2464"/>
      <c r="B69" s="2464" t="s">
        <v>26</v>
      </c>
      <c r="C69" s="2464"/>
      <c r="D69" s="2464"/>
      <c r="E69" s="1999">
        <v>4.4000000000000004</v>
      </c>
      <c r="F69" s="1999"/>
      <c r="G69" s="1999">
        <v>3.1999999999999993</v>
      </c>
      <c r="H69" s="1999"/>
      <c r="I69" s="1999">
        <v>14.000000000000004</v>
      </c>
      <c r="J69" s="1999"/>
      <c r="K69" s="1999">
        <v>12.600000000000001</v>
      </c>
      <c r="L69" s="2605"/>
      <c r="M69" s="1999">
        <v>20.6</v>
      </c>
      <c r="N69" s="2605"/>
      <c r="O69" s="1999">
        <v>15.299999999999983</v>
      </c>
      <c r="P69" s="2605"/>
      <c r="Q69" s="1788">
        <f t="shared" ref="Q69:Q77" si="3">$AD69-$E69-$G69-$I69-$K69-$M69-$O69</f>
        <v>6.9000000000000057</v>
      </c>
      <c r="R69" s="2605"/>
      <c r="S69" s="1788"/>
      <c r="T69" s="2605"/>
      <c r="U69" s="1788"/>
      <c r="V69" s="2605"/>
      <c r="W69" s="1788"/>
      <c r="X69" s="2605"/>
      <c r="Y69" s="1788"/>
      <c r="Z69" s="2605"/>
      <c r="AA69" s="1788"/>
      <c r="AB69" s="1994"/>
      <c r="AC69" s="2038"/>
      <c r="AD69" s="1999">
        <v>77</v>
      </c>
      <c r="AE69" s="3190"/>
      <c r="AF69" s="1976"/>
      <c r="AG69" s="1999">
        <v>122.1</v>
      </c>
      <c r="AH69" s="1993"/>
      <c r="AI69" s="2609"/>
      <c r="AJ69" s="1994">
        <f t="shared" si="2"/>
        <v>-45.1</v>
      </c>
      <c r="AK69" s="2606"/>
      <c r="AL69" s="1649">
        <f>ROUND(IF(AG69=0,0,AJ69/ABS(AG69)),3)</f>
        <v>-0.36899999999999999</v>
      </c>
    </row>
    <row r="70" spans="1:41">
      <c r="A70" s="2464"/>
      <c r="B70" s="2464" t="s">
        <v>27</v>
      </c>
      <c r="C70" s="2464"/>
      <c r="D70" s="2464"/>
      <c r="E70" s="1999">
        <v>30.4</v>
      </c>
      <c r="F70" s="1999"/>
      <c r="G70" s="1999">
        <v>10.899999999999999</v>
      </c>
      <c r="H70" s="1999"/>
      <c r="I70" s="1999">
        <v>41.5</v>
      </c>
      <c r="J70" s="1999"/>
      <c r="K70" s="1999">
        <v>36</v>
      </c>
      <c r="L70" s="2605"/>
      <c r="M70" s="1999">
        <v>69</v>
      </c>
      <c r="N70" s="2605"/>
      <c r="O70" s="1999">
        <v>18.699999999999989</v>
      </c>
      <c r="P70" s="2605"/>
      <c r="Q70" s="1788">
        <f t="shared" si="3"/>
        <v>90.4</v>
      </c>
      <c r="R70" s="2605"/>
      <c r="S70" s="1788"/>
      <c r="T70" s="2605"/>
      <c r="U70" s="1788"/>
      <c r="V70" s="2605"/>
      <c r="W70" s="1788"/>
      <c r="X70" s="2605"/>
      <c r="Y70" s="1788"/>
      <c r="Z70" s="2605"/>
      <c r="AA70" s="1788"/>
      <c r="AB70" s="1994"/>
      <c r="AC70" s="2038"/>
      <c r="AD70" s="1999">
        <v>296.89999999999998</v>
      </c>
      <c r="AE70" s="3190"/>
      <c r="AF70" s="1976"/>
      <c r="AG70" s="1999">
        <v>546.70000000000005</v>
      </c>
      <c r="AH70" s="1993"/>
      <c r="AI70" s="2609"/>
      <c r="AJ70" s="1994">
        <f t="shared" si="2"/>
        <v>-249.8</v>
      </c>
      <c r="AK70" s="2606"/>
      <c r="AL70" s="1649">
        <f>ROUND(IF(AG70=0,0,AJ70/ABS(AG70)),3)</f>
        <v>-0.45700000000000002</v>
      </c>
      <c r="AM70" s="2597"/>
    </row>
    <row r="71" spans="1:41">
      <c r="A71" s="2464"/>
      <c r="B71" s="2464" t="s">
        <v>28</v>
      </c>
      <c r="C71" s="2464"/>
      <c r="D71" s="2464"/>
      <c r="E71" s="1999" t="s">
        <v>15</v>
      </c>
      <c r="F71" s="1999"/>
      <c r="G71" s="1999"/>
      <c r="H71" s="1999"/>
      <c r="I71" s="1999"/>
      <c r="J71" s="1999"/>
      <c r="K71" s="1999"/>
      <c r="L71" s="2605"/>
      <c r="M71" s="1999"/>
      <c r="N71" s="2605"/>
      <c r="O71" s="1999"/>
      <c r="P71" s="2605"/>
      <c r="Q71" s="1788"/>
      <c r="R71" s="2605"/>
      <c r="S71" s="1788"/>
      <c r="T71" s="2605"/>
      <c r="U71" s="1788"/>
      <c r="V71" s="2605"/>
      <c r="W71" s="1788"/>
      <c r="X71" s="2605"/>
      <c r="Y71" s="1788"/>
      <c r="Z71" s="2605"/>
      <c r="AA71" s="1788"/>
      <c r="AB71" s="1994"/>
      <c r="AC71" s="2038"/>
      <c r="AD71" s="1999"/>
      <c r="AE71" s="3190"/>
      <c r="AF71" s="1976"/>
      <c r="AG71" s="1999"/>
      <c r="AH71" s="1994"/>
      <c r="AI71" s="2599"/>
      <c r="AJ71" s="1999"/>
      <c r="AK71" s="2606"/>
      <c r="AL71" s="1797"/>
      <c r="AM71" s="2597"/>
    </row>
    <row r="72" spans="1:41">
      <c r="A72" s="2464"/>
      <c r="B72" s="2464" t="s">
        <v>29</v>
      </c>
      <c r="C72" s="2552"/>
      <c r="D72" s="2464"/>
      <c r="E72" s="1999">
        <v>0</v>
      </c>
      <c r="F72" s="1999"/>
      <c r="G72" s="1999">
        <v>0</v>
      </c>
      <c r="H72" s="1999"/>
      <c r="I72" s="1999">
        <v>0</v>
      </c>
      <c r="J72" s="1999"/>
      <c r="K72" s="1999">
        <v>0</v>
      </c>
      <c r="L72" s="2605"/>
      <c r="M72" s="1999">
        <v>0</v>
      </c>
      <c r="N72" s="2605"/>
      <c r="O72" s="1999">
        <v>0</v>
      </c>
      <c r="P72" s="2605"/>
      <c r="Q72" s="1788">
        <f t="shared" si="3"/>
        <v>0</v>
      </c>
      <c r="R72" s="2605"/>
      <c r="S72" s="1788"/>
      <c r="T72" s="2605"/>
      <c r="U72" s="1788"/>
      <c r="V72" s="2605"/>
      <c r="W72" s="1788"/>
      <c r="X72" s="2605"/>
      <c r="Y72" s="1788"/>
      <c r="Z72" s="2605"/>
      <c r="AA72" s="1788"/>
      <c r="AB72" s="1994"/>
      <c r="AC72" s="2038"/>
      <c r="AD72" s="1999">
        <v>0</v>
      </c>
      <c r="AE72" s="3190"/>
      <c r="AF72" s="1976"/>
      <c r="AG72" s="1999">
        <v>0</v>
      </c>
      <c r="AH72" s="1994"/>
      <c r="AI72" s="2599"/>
      <c r="AJ72" s="1994">
        <f t="shared" si="2"/>
        <v>0</v>
      </c>
      <c r="AK72" s="2597"/>
      <c r="AL72" s="2195">
        <f>ROUND(IF(AG72=0,0,AJ72/ABS(AG72)),3)</f>
        <v>0</v>
      </c>
      <c r="AM72" s="2597"/>
    </row>
    <row r="73" spans="1:41">
      <c r="A73" s="2464"/>
      <c r="B73" s="2464" t="s">
        <v>30</v>
      </c>
      <c r="C73" s="2464"/>
      <c r="D73" s="2464"/>
      <c r="E73" s="1999">
        <v>29</v>
      </c>
      <c r="F73" s="1999"/>
      <c r="G73" s="1999">
        <v>58.2</v>
      </c>
      <c r="H73" s="1999"/>
      <c r="I73" s="1999">
        <v>30.899999999999991</v>
      </c>
      <c r="J73" s="1999"/>
      <c r="K73" s="1999">
        <v>37.5</v>
      </c>
      <c r="L73" s="2605"/>
      <c r="M73" s="1999">
        <v>76.100000000000009</v>
      </c>
      <c r="N73" s="2605"/>
      <c r="O73" s="1999">
        <v>25.100000000000037</v>
      </c>
      <c r="P73" s="2605"/>
      <c r="Q73" s="1788">
        <f t="shared" si="3"/>
        <v>50.900000000000034</v>
      </c>
      <c r="R73" s="2605"/>
      <c r="S73" s="1788"/>
      <c r="T73" s="2605"/>
      <c r="U73" s="1788"/>
      <c r="V73" s="2605"/>
      <c r="W73" s="1788"/>
      <c r="X73" s="2605"/>
      <c r="Y73" s="1788"/>
      <c r="Z73" s="2605"/>
      <c r="AA73" s="1788"/>
      <c r="AB73" s="1994"/>
      <c r="AC73" s="2038"/>
      <c r="AD73" s="1999">
        <v>307.70000000000005</v>
      </c>
      <c r="AE73" s="3190"/>
      <c r="AF73" s="1976"/>
      <c r="AG73" s="1999">
        <v>240.5</v>
      </c>
      <c r="AH73" s="1993"/>
      <c r="AI73" s="2609"/>
      <c r="AJ73" s="1994">
        <f t="shared" si="2"/>
        <v>67.2</v>
      </c>
      <c r="AK73" s="2606"/>
      <c r="AL73" s="1649">
        <f>ROUND(IF(AG73=0,0,AJ73/ABS(AG73)),3)</f>
        <v>0.27900000000000003</v>
      </c>
    </row>
    <row r="74" spans="1:41">
      <c r="A74" s="2464"/>
      <c r="B74" s="2464" t="s">
        <v>31</v>
      </c>
      <c r="C74" s="2464"/>
      <c r="D74" s="2464"/>
      <c r="E74" s="1999">
        <v>0</v>
      </c>
      <c r="F74" s="1999"/>
      <c r="G74" s="1999">
        <v>0</v>
      </c>
      <c r="H74" s="1999"/>
      <c r="I74" s="1999">
        <v>0.7</v>
      </c>
      <c r="J74" s="1999"/>
      <c r="K74" s="1999">
        <v>0.90000000000000013</v>
      </c>
      <c r="L74" s="2605"/>
      <c r="M74" s="1999">
        <v>1.0999999999999999</v>
      </c>
      <c r="N74" s="2605"/>
      <c r="O74" s="1999">
        <v>0.29999999999999982</v>
      </c>
      <c r="P74" s="2605"/>
      <c r="Q74" s="1788">
        <f t="shared" si="3"/>
        <v>0.29999999999999982</v>
      </c>
      <c r="R74" s="2605"/>
      <c r="S74" s="1788"/>
      <c r="T74" s="2605"/>
      <c r="U74" s="1788"/>
      <c r="V74" s="2605"/>
      <c r="W74" s="1788"/>
      <c r="X74" s="2605"/>
      <c r="Y74" s="1788"/>
      <c r="Z74" s="2605"/>
      <c r="AA74" s="1788"/>
      <c r="AB74" s="1994"/>
      <c r="AC74" s="2038"/>
      <c r="AD74" s="1999">
        <v>3.3</v>
      </c>
      <c r="AE74" s="3190"/>
      <c r="AF74" s="1976"/>
      <c r="AG74" s="1999">
        <v>2.6</v>
      </c>
      <c r="AH74" s="1993"/>
      <c r="AI74" s="2609"/>
      <c r="AJ74" s="1994">
        <f t="shared" si="2"/>
        <v>0.7</v>
      </c>
      <c r="AK74" s="2606"/>
      <c r="AL74" s="1728">
        <f>ROUND(IF(AG74=0,1,AJ74/ABS(AG74)),3)</f>
        <v>0.26900000000000002</v>
      </c>
      <c r="AM74" s="2597"/>
    </row>
    <row r="75" spans="1:41">
      <c r="A75" s="2464"/>
      <c r="B75" s="2464" t="s">
        <v>32</v>
      </c>
      <c r="C75" s="2464"/>
      <c r="D75" s="2464"/>
      <c r="E75" s="1999">
        <v>0</v>
      </c>
      <c r="F75" s="1999"/>
      <c r="G75" s="1999">
        <v>33.799999999999997</v>
      </c>
      <c r="H75" s="1999"/>
      <c r="I75" s="1999">
        <v>73.7</v>
      </c>
      <c r="J75" s="1999"/>
      <c r="K75" s="1999">
        <v>71.699999999999974</v>
      </c>
      <c r="L75" s="2605"/>
      <c r="M75" s="1999">
        <v>53.100000000000023</v>
      </c>
      <c r="N75" s="2605"/>
      <c r="O75" s="1999">
        <v>110.39999999999998</v>
      </c>
      <c r="P75" s="2605"/>
      <c r="Q75" s="1788">
        <f t="shared" si="3"/>
        <v>24.600000000000023</v>
      </c>
      <c r="R75" s="2605"/>
      <c r="S75" s="1788"/>
      <c r="T75" s="2605"/>
      <c r="U75" s="1788"/>
      <c r="V75" s="2605"/>
      <c r="W75" s="1788"/>
      <c r="X75" s="2605"/>
      <c r="Y75" s="1788"/>
      <c r="Z75" s="2605"/>
      <c r="AA75" s="1788"/>
      <c r="AB75" s="1994"/>
      <c r="AC75" s="2038"/>
      <c r="AD75" s="1999">
        <v>367.3</v>
      </c>
      <c r="AE75" s="3190"/>
      <c r="AF75" s="1976"/>
      <c r="AG75" s="1999">
        <v>158.1</v>
      </c>
      <c r="AH75" s="1994"/>
      <c r="AI75" s="2599"/>
      <c r="AJ75" s="1994">
        <f t="shared" si="2"/>
        <v>209.2</v>
      </c>
      <c r="AK75" s="2606"/>
      <c r="AL75" s="1793">
        <f>ROUND(IF(AG75=0,0,AJ75/ABS(AG75)),3)</f>
        <v>1.323</v>
      </c>
      <c r="AM75" s="2597"/>
    </row>
    <row r="76" spans="1:41">
      <c r="A76" s="2464"/>
      <c r="B76" s="2464" t="s">
        <v>33</v>
      </c>
      <c r="C76" s="2552"/>
      <c r="D76" s="2464"/>
      <c r="E76" s="1999">
        <v>43.2</v>
      </c>
      <c r="F76" s="1999"/>
      <c r="G76" s="1999">
        <v>7.6999999999999957</v>
      </c>
      <c r="H76" s="1999"/>
      <c r="I76" s="1999">
        <v>24.800000000000004</v>
      </c>
      <c r="J76" s="1999"/>
      <c r="K76" s="1999">
        <v>20.899999999999991</v>
      </c>
      <c r="L76" s="2605"/>
      <c r="M76" s="1999">
        <v>71.59999999999998</v>
      </c>
      <c r="N76" s="2605"/>
      <c r="O76" s="1999">
        <v>11.400000000000006</v>
      </c>
      <c r="P76" s="2605"/>
      <c r="Q76" s="1788">
        <f t="shared" si="3"/>
        <v>53.500000000000014</v>
      </c>
      <c r="R76" s="2605"/>
      <c r="S76" s="1788"/>
      <c r="T76" s="2605"/>
      <c r="U76" s="1788"/>
      <c r="V76" s="2605"/>
      <c r="W76" s="1788"/>
      <c r="X76" s="2605"/>
      <c r="Y76" s="1788"/>
      <c r="Z76" s="2605"/>
      <c r="AA76" s="1788"/>
      <c r="AB76" s="1994"/>
      <c r="AC76" s="2038"/>
      <c r="AD76" s="1999">
        <v>233.1</v>
      </c>
      <c r="AE76" s="3190"/>
      <c r="AF76" s="1976"/>
      <c r="AG76" s="1999">
        <v>553.29999999999995</v>
      </c>
      <c r="AH76" s="1994"/>
      <c r="AI76" s="2599"/>
      <c r="AJ76" s="1994">
        <f t="shared" si="2"/>
        <v>-320.2</v>
      </c>
      <c r="AK76" s="2597"/>
      <c r="AL76" s="1793">
        <f>ROUND(IF(AG76=0,0,AJ76/ABS(AG76)),3)</f>
        <v>-0.57899999999999996</v>
      </c>
      <c r="AM76" s="2597"/>
    </row>
    <row r="77" spans="1:41">
      <c r="A77" s="2464"/>
      <c r="B77" s="2464" t="s">
        <v>34</v>
      </c>
      <c r="C77" s="2464"/>
      <c r="D77" s="2464"/>
      <c r="E77" s="1999">
        <v>2.4</v>
      </c>
      <c r="F77" s="1999"/>
      <c r="G77" s="1999">
        <v>4.7000000000000011</v>
      </c>
      <c r="H77" s="1999"/>
      <c r="I77" s="1999">
        <v>14.4</v>
      </c>
      <c r="J77" s="1999"/>
      <c r="K77" s="1999">
        <v>50.4</v>
      </c>
      <c r="L77" s="2605"/>
      <c r="M77" s="1999">
        <v>104</v>
      </c>
      <c r="N77" s="2605"/>
      <c r="O77" s="1999">
        <v>316.60000000000008</v>
      </c>
      <c r="P77" s="2605"/>
      <c r="Q77" s="1788">
        <f t="shared" si="3"/>
        <v>432.89999999999992</v>
      </c>
      <c r="R77" s="2605"/>
      <c r="S77" s="1788"/>
      <c r="T77" s="2605"/>
      <c r="U77" s="1788"/>
      <c r="V77" s="2605"/>
      <c r="W77" s="1788"/>
      <c r="X77" s="2605"/>
      <c r="Y77" s="1788"/>
      <c r="Z77" s="2605"/>
      <c r="AA77" s="1788"/>
      <c r="AB77" s="1994"/>
      <c r="AC77" s="2038"/>
      <c r="AD77" s="1999">
        <v>925.4</v>
      </c>
      <c r="AE77" s="3190"/>
      <c r="AF77" s="1976"/>
      <c r="AG77" s="1999">
        <v>754</v>
      </c>
      <c r="AH77" s="1976"/>
      <c r="AI77" s="2599"/>
      <c r="AJ77" s="1994">
        <f t="shared" si="2"/>
        <v>171.4</v>
      </c>
      <c r="AK77" s="2606"/>
      <c r="AL77" s="2195">
        <f>ROUND(IF(AG77=0,0,AJ77/ABS(AG77)),3)</f>
        <v>0.22700000000000001</v>
      </c>
      <c r="AM77" s="2597"/>
    </row>
    <row r="78" spans="1:41">
      <c r="A78" s="2464"/>
      <c r="B78" s="2552" t="s">
        <v>197</v>
      </c>
      <c r="C78" s="2464"/>
      <c r="D78" s="2464"/>
      <c r="E78" s="2170">
        <f>ROUND(SUM(E68:E77),1)</f>
        <v>121.4</v>
      </c>
      <c r="F78" s="2049"/>
      <c r="G78" s="2170">
        <f>ROUND(SUM(G68:G77),1)</f>
        <v>118.5</v>
      </c>
      <c r="H78" s="2049"/>
      <c r="I78" s="2170">
        <f>ROUND(SUM(I68:I77),1)</f>
        <v>204.9</v>
      </c>
      <c r="J78" s="1460"/>
      <c r="K78" s="2170">
        <f>ROUND(SUM(K68:K77),1)</f>
        <v>231</v>
      </c>
      <c r="L78" s="2049"/>
      <c r="M78" s="2170">
        <f>ROUND(SUM(M68:M77),1)</f>
        <v>396.5</v>
      </c>
      <c r="N78" s="1460"/>
      <c r="O78" s="2170">
        <f>ROUND(SUM(O68:O77),1)</f>
        <v>499.2</v>
      </c>
      <c r="P78" s="2049"/>
      <c r="Q78" s="2170">
        <f>ROUND(SUM(Q68:Q77),1)</f>
        <v>679.8</v>
      </c>
      <c r="R78" s="2049"/>
      <c r="S78" s="2170">
        <f>ROUND(SUM(S68:S77),1)</f>
        <v>0</v>
      </c>
      <c r="T78" s="2049"/>
      <c r="U78" s="2170">
        <f>ROUND(SUM(U68:U77),1)</f>
        <v>0</v>
      </c>
      <c r="V78" s="2049"/>
      <c r="W78" s="2170">
        <f>ROUND(SUM(W68:W77),1)</f>
        <v>0</v>
      </c>
      <c r="X78" s="2049"/>
      <c r="Y78" s="2170">
        <f>ROUND(SUM(Y68:Y77),1)</f>
        <v>0</v>
      </c>
      <c r="Z78" s="2049"/>
      <c r="AA78" s="2170">
        <f>ROUND(SUM(AA68:AA77),1)</f>
        <v>0</v>
      </c>
      <c r="AB78" s="2049"/>
      <c r="AC78" s="2553"/>
      <c r="AD78" s="2170">
        <f>ROUND(SUM(AD68:AD77),1)</f>
        <v>2251.3000000000002</v>
      </c>
      <c r="AE78" s="3202"/>
      <c r="AF78" s="1460"/>
      <c r="AG78" s="2170">
        <f>ROUND(SUM(AG68:AG77),1)</f>
        <v>2479.5</v>
      </c>
      <c r="AH78" s="1460"/>
      <c r="AI78" s="2599"/>
      <c r="AJ78" s="2170">
        <f>ROUND(SUM(AJ68:AJ77),1)</f>
        <v>-228.2</v>
      </c>
      <c r="AK78" s="2628"/>
      <c r="AL78" s="2196">
        <f>ROUND(IF(AG78=0,0,AJ78/ABS(AG78)),3)</f>
        <v>-9.1999999999999998E-2</v>
      </c>
      <c r="AO78" s="2644"/>
    </row>
    <row r="79" spans="1:41">
      <c r="A79" s="2464"/>
      <c r="B79" s="2464" t="s">
        <v>198</v>
      </c>
      <c r="C79" s="2464"/>
      <c r="D79" s="2464"/>
      <c r="E79" s="1999"/>
      <c r="F79" s="1999"/>
      <c r="G79" s="1999"/>
      <c r="H79" s="1999"/>
      <c r="I79" s="1999"/>
      <c r="J79" s="1999"/>
      <c r="K79" s="1999"/>
      <c r="L79" s="1994"/>
      <c r="M79" s="1994"/>
      <c r="N79" s="1994"/>
      <c r="O79" s="1994"/>
      <c r="P79" s="1994"/>
      <c r="Q79" s="1994"/>
      <c r="R79" s="1994"/>
      <c r="S79" s="1994"/>
      <c r="T79" s="1994"/>
      <c r="U79" s="1994"/>
      <c r="V79" s="1994"/>
      <c r="W79" s="1994"/>
      <c r="X79" s="1994"/>
      <c r="Y79" s="1994"/>
      <c r="Z79" s="1994"/>
      <c r="AA79" s="1994"/>
      <c r="AB79" s="1994"/>
      <c r="AC79" s="2038"/>
      <c r="AD79" s="1994"/>
      <c r="AE79" s="3190"/>
      <c r="AF79" s="1976"/>
      <c r="AG79" s="1994"/>
      <c r="AH79" s="1994"/>
      <c r="AI79" s="2599"/>
      <c r="AJ79" s="2600"/>
      <c r="AK79" s="2597"/>
      <c r="AL79" s="1797"/>
    </row>
    <row r="80" spans="1:41">
      <c r="A80" s="2464"/>
      <c r="B80" s="2464" t="s">
        <v>199</v>
      </c>
      <c r="C80" s="2464"/>
      <c r="D80" s="2464"/>
      <c r="E80" s="1999">
        <v>0</v>
      </c>
      <c r="F80" s="1999"/>
      <c r="G80" s="1999">
        <v>0</v>
      </c>
      <c r="H80" s="1999"/>
      <c r="I80" s="1999">
        <v>0</v>
      </c>
      <c r="J80" s="1999"/>
      <c r="K80" s="1999">
        <v>0</v>
      </c>
      <c r="L80" s="2605"/>
      <c r="M80" s="1999">
        <v>0</v>
      </c>
      <c r="N80" s="2605"/>
      <c r="O80" s="1999">
        <v>0</v>
      </c>
      <c r="P80" s="2605"/>
      <c r="Q80" s="1788">
        <f t="shared" ref="Q80:Q83" si="4">$AD80-$E80-$G80-$I80-$K80-$M80-$O80</f>
        <v>0</v>
      </c>
      <c r="R80" s="2605"/>
      <c r="S80" s="1788"/>
      <c r="T80" s="2605"/>
      <c r="U80" s="1788"/>
      <c r="V80" s="2605"/>
      <c r="W80" s="1788"/>
      <c r="X80" s="2605"/>
      <c r="Y80" s="1788"/>
      <c r="Z80" s="2605"/>
      <c r="AA80" s="1788"/>
      <c r="AB80" s="1994"/>
      <c r="AC80" s="2038"/>
      <c r="AD80" s="1999">
        <v>0</v>
      </c>
      <c r="AE80" s="3190"/>
      <c r="AF80" s="1976"/>
      <c r="AG80" s="1999">
        <v>0</v>
      </c>
      <c r="AH80" s="2629"/>
      <c r="AI80" s="2630"/>
      <c r="AJ80" s="1994">
        <f>ROUND(AD80-AG80,1)</f>
        <v>0</v>
      </c>
      <c r="AK80" s="2597"/>
      <c r="AL80" s="1649">
        <f>ROUND(IF(AG80=0,0,AJ80/ABS(AG80)),3)</f>
        <v>0</v>
      </c>
    </row>
    <row r="81" spans="1:41">
      <c r="A81" s="2464"/>
      <c r="B81" s="2464" t="s">
        <v>200</v>
      </c>
      <c r="C81" s="2464"/>
      <c r="D81" s="2464"/>
      <c r="E81" s="1999">
        <v>0</v>
      </c>
      <c r="F81" s="1999"/>
      <c r="G81" s="1999">
        <v>0</v>
      </c>
      <c r="H81" s="1999"/>
      <c r="I81" s="1999">
        <v>0</v>
      </c>
      <c r="J81" s="1999"/>
      <c r="K81" s="1999">
        <v>0</v>
      </c>
      <c r="L81" s="2605"/>
      <c r="M81" s="1999">
        <v>0</v>
      </c>
      <c r="N81" s="2605"/>
      <c r="O81" s="1999">
        <v>0</v>
      </c>
      <c r="P81" s="2605"/>
      <c r="Q81" s="1788">
        <f t="shared" si="4"/>
        <v>0</v>
      </c>
      <c r="R81" s="2605"/>
      <c r="S81" s="1788"/>
      <c r="T81" s="2605"/>
      <c r="U81" s="1788"/>
      <c r="V81" s="2605"/>
      <c r="W81" s="1788"/>
      <c r="X81" s="2605"/>
      <c r="Y81" s="1788"/>
      <c r="Z81" s="2605"/>
      <c r="AA81" s="1788"/>
      <c r="AB81" s="1994"/>
      <c r="AC81" s="2038"/>
      <c r="AD81" s="3888">
        <v>0</v>
      </c>
      <c r="AE81" s="3190"/>
      <c r="AF81" s="1976"/>
      <c r="AG81" s="1999">
        <v>0</v>
      </c>
      <c r="AH81" s="2629"/>
      <c r="AI81" s="2630"/>
      <c r="AJ81" s="1994">
        <f>ROUND(AD81-AG81,1)</f>
        <v>0</v>
      </c>
      <c r="AK81" s="2597"/>
      <c r="AL81" s="1649">
        <f>ROUND(IF(AG81=0,0,AJ81/ABS(AG81)),3)</f>
        <v>0</v>
      </c>
    </row>
    <row r="82" spans="1:41">
      <c r="A82" s="2464"/>
      <c r="B82" s="2464" t="s">
        <v>201</v>
      </c>
      <c r="C82" s="2464"/>
      <c r="D82" s="2464"/>
      <c r="E82" s="1999">
        <v>0</v>
      </c>
      <c r="F82" s="1999"/>
      <c r="G82" s="1999">
        <v>0</v>
      </c>
      <c r="H82" s="1999"/>
      <c r="I82" s="1999">
        <v>0</v>
      </c>
      <c r="J82" s="1999"/>
      <c r="K82" s="1999">
        <v>0</v>
      </c>
      <c r="L82" s="2605"/>
      <c r="M82" s="1999">
        <v>0</v>
      </c>
      <c r="N82" s="2605"/>
      <c r="O82" s="1999">
        <v>0</v>
      </c>
      <c r="P82" s="2605"/>
      <c r="Q82" s="1788">
        <f t="shared" si="4"/>
        <v>0</v>
      </c>
      <c r="R82" s="2605"/>
      <c r="S82" s="1788"/>
      <c r="T82" s="2605"/>
      <c r="U82" s="1788"/>
      <c r="V82" s="2605"/>
      <c r="W82" s="1788"/>
      <c r="X82" s="2605"/>
      <c r="Y82" s="1788"/>
      <c r="Z82" s="2605"/>
      <c r="AA82" s="1788"/>
      <c r="AB82" s="2631"/>
      <c r="AC82" s="2632"/>
      <c r="AD82" s="1999">
        <v>0</v>
      </c>
      <c r="AE82" s="3190"/>
      <c r="AF82" s="1976"/>
      <c r="AG82" s="1999">
        <v>0</v>
      </c>
      <c r="AH82" s="2629"/>
      <c r="AI82" s="2630"/>
      <c r="AJ82" s="1994">
        <f>ROUND(AD82-AG82,1)</f>
        <v>0</v>
      </c>
      <c r="AK82" s="2597"/>
      <c r="AL82" s="1649">
        <f>ROUND(IF(AG82=0,0,AJ82/ABS(AG82)),3)</f>
        <v>0</v>
      </c>
    </row>
    <row r="83" spans="1:41">
      <c r="A83" s="2464"/>
      <c r="B83" s="3674" t="s">
        <v>172</v>
      </c>
      <c r="C83" s="2464"/>
      <c r="D83" s="2464"/>
      <c r="E83" s="1999">
        <v>452.1</v>
      </c>
      <c r="F83" s="1999"/>
      <c r="G83" s="1999">
        <v>333.5</v>
      </c>
      <c r="H83" s="1999"/>
      <c r="I83" s="1999">
        <v>541.80000000000007</v>
      </c>
      <c r="J83" s="1999"/>
      <c r="K83" s="1999">
        <v>512.4000000000002</v>
      </c>
      <c r="L83" s="2605"/>
      <c r="M83" s="1999">
        <v>546.89999999999952</v>
      </c>
      <c r="N83" s="2605"/>
      <c r="O83" s="1999">
        <v>547.4000000000002</v>
      </c>
      <c r="P83" s="2605"/>
      <c r="Q83" s="1788">
        <f t="shared" si="4"/>
        <v>430.20000000000027</v>
      </c>
      <c r="R83" s="2605"/>
      <c r="S83" s="1788"/>
      <c r="T83" s="2605"/>
      <c r="U83" s="1788"/>
      <c r="V83" s="2605"/>
      <c r="W83" s="1788"/>
      <c r="X83" s="2605"/>
      <c r="Y83" s="1788"/>
      <c r="Z83" s="2605"/>
      <c r="AA83" s="1788"/>
      <c r="AB83" s="1994"/>
      <c r="AC83" s="2038"/>
      <c r="AD83" s="3204">
        <v>3364.3</v>
      </c>
      <c r="AE83" s="3190"/>
      <c r="AF83" s="1976"/>
      <c r="AG83" s="3204">
        <v>3433.7</v>
      </c>
      <c r="AH83" s="2633"/>
      <c r="AI83" s="2609"/>
      <c r="AJ83" s="2634">
        <f>ROUND(AD83-AG83,1)</f>
        <v>-69.400000000000006</v>
      </c>
      <c r="AK83" s="2597"/>
      <c r="AL83" s="2607">
        <f>ROUND(IF(AG83=0,0,AJ83/ABS(AG83)),3)</f>
        <v>-0.02</v>
      </c>
    </row>
    <row r="84" spans="1:41">
      <c r="A84" s="2464"/>
      <c r="B84" s="2464"/>
      <c r="C84" s="2464"/>
      <c r="D84" s="2464"/>
      <c r="E84" s="2493"/>
      <c r="F84" s="1999"/>
      <c r="G84" s="2493"/>
      <c r="H84" s="1999"/>
      <c r="I84" s="2493"/>
      <c r="J84" s="1999"/>
      <c r="K84" s="2493"/>
      <c r="L84" s="1994"/>
      <c r="M84" s="2050"/>
      <c r="N84" s="1994"/>
      <c r="O84" s="2050"/>
      <c r="P84" s="1994"/>
      <c r="Q84" s="2050"/>
      <c r="R84" s="1994"/>
      <c r="S84" s="2050"/>
      <c r="T84" s="1994"/>
      <c r="U84" s="2050"/>
      <c r="V84" s="1994"/>
      <c r="W84" s="2050"/>
      <c r="X84" s="1994"/>
      <c r="Y84" s="2050"/>
      <c r="Z84" s="1994"/>
      <c r="AA84" s="2050"/>
      <c r="AB84" s="1994"/>
      <c r="AC84" s="2038"/>
      <c r="AD84" s="2600"/>
      <c r="AE84" s="3190"/>
      <c r="AF84" s="1976"/>
      <c r="AG84" s="2600"/>
      <c r="AH84" s="2600"/>
      <c r="AI84" s="2635"/>
      <c r="AJ84" s="2600"/>
      <c r="AK84" s="2597"/>
      <c r="AL84" s="1797"/>
    </row>
    <row r="85" spans="1:41">
      <c r="A85" s="2464"/>
      <c r="B85" s="2552" t="s">
        <v>202</v>
      </c>
      <c r="C85" s="2464"/>
      <c r="D85" s="2464"/>
      <c r="E85" s="2049">
        <f>ROUND(SUM(E78:E83),1)</f>
        <v>573.5</v>
      </c>
      <c r="F85" s="2049"/>
      <c r="G85" s="2049">
        <f>ROUND(SUM(G78:G83),1)</f>
        <v>452</v>
      </c>
      <c r="H85" s="2049"/>
      <c r="I85" s="2049">
        <f>ROUND(SUM(I78:I83),1)</f>
        <v>746.7</v>
      </c>
      <c r="J85" s="2049"/>
      <c r="K85" s="2049">
        <f>ROUND(SUM(K78:K83),1)</f>
        <v>743.4</v>
      </c>
      <c r="L85" s="2049"/>
      <c r="M85" s="2049">
        <f>ROUND(SUM(M78:M83),1)</f>
        <v>943.4</v>
      </c>
      <c r="N85" s="2049"/>
      <c r="O85" s="2049">
        <f>ROUND(SUM(O78:O83),1)</f>
        <v>1046.5999999999999</v>
      </c>
      <c r="P85" s="2049"/>
      <c r="Q85" s="2049">
        <f>ROUND(SUM(Q78:Q83),1)</f>
        <v>1110</v>
      </c>
      <c r="R85" s="2049"/>
      <c r="S85" s="2049">
        <f>ROUND(SUM(S78:S83),1)</f>
        <v>0</v>
      </c>
      <c r="T85" s="2049"/>
      <c r="U85" s="2049">
        <f>ROUND(SUM(U78:U83),1)</f>
        <v>0</v>
      </c>
      <c r="V85" s="2049"/>
      <c r="W85" s="2049">
        <f>ROUND(SUM(W78:W83),1)</f>
        <v>0</v>
      </c>
      <c r="X85" s="2049"/>
      <c r="Y85" s="2049">
        <f>ROUND(SUM(Y78:Y83),1)</f>
        <v>0</v>
      </c>
      <c r="Z85" s="2049"/>
      <c r="AA85" s="2049">
        <f>ROUND(SUM(AA78:AA83),1)</f>
        <v>0</v>
      </c>
      <c r="AB85" s="2049"/>
      <c r="AC85" s="2553"/>
      <c r="AD85" s="2049">
        <f>ROUND(SUM(AD78:AD83),1)</f>
        <v>5615.6</v>
      </c>
      <c r="AE85" s="3202"/>
      <c r="AF85" s="1460"/>
      <c r="AG85" s="2049">
        <f>ROUND(SUM(AG78:AG83),1)</f>
        <v>5913.2</v>
      </c>
      <c r="AH85" s="1460"/>
      <c r="AI85" s="2599"/>
      <c r="AJ85" s="2053">
        <f>ROUND(AD85-AG85,1)</f>
        <v>-297.60000000000002</v>
      </c>
      <c r="AK85" s="2628"/>
      <c r="AL85" s="2627">
        <f>ROUND(IF(AG85=0,0,AJ85/ABS(AG85)),3)</f>
        <v>-0.05</v>
      </c>
      <c r="AM85" s="2620"/>
      <c r="AN85" s="2620"/>
      <c r="AO85" s="2620"/>
    </row>
    <row r="86" spans="1:41">
      <c r="A86" s="2464"/>
      <c r="B86" s="2464"/>
      <c r="C86" s="2464"/>
      <c r="D86" s="2464"/>
      <c r="E86" s="2493"/>
      <c r="F86" s="1999"/>
      <c r="G86" s="2493"/>
      <c r="H86" s="1999"/>
      <c r="I86" s="2493"/>
      <c r="J86" s="1999"/>
      <c r="K86" s="2493"/>
      <c r="L86" s="1994"/>
      <c r="M86" s="2050"/>
      <c r="N86" s="1994"/>
      <c r="O86" s="2050"/>
      <c r="P86" s="1994"/>
      <c r="Q86" s="2050"/>
      <c r="R86" s="1994"/>
      <c r="S86" s="2050"/>
      <c r="T86" s="1994"/>
      <c r="U86" s="2050"/>
      <c r="V86" s="1994"/>
      <c r="W86" s="2050"/>
      <c r="X86" s="1994"/>
      <c r="Y86" s="2050"/>
      <c r="Z86" s="1994"/>
      <c r="AA86" s="2050"/>
      <c r="AB86" s="1994"/>
      <c r="AC86" s="2038"/>
      <c r="AD86" s="2050"/>
      <c r="AE86" s="3190"/>
      <c r="AF86" s="1976"/>
      <c r="AG86" s="2050"/>
      <c r="AH86" s="1976"/>
      <c r="AI86" s="2599"/>
      <c r="AJ86" s="2600"/>
      <c r="AK86" s="2597"/>
      <c r="AL86" s="1797"/>
    </row>
    <row r="87" spans="1:41">
      <c r="A87" s="2464"/>
      <c r="B87" s="2552" t="s">
        <v>203</v>
      </c>
      <c r="C87" s="2464"/>
      <c r="D87" s="2464"/>
      <c r="E87" s="1999"/>
      <c r="F87" s="1999"/>
      <c r="G87" s="1999"/>
      <c r="H87" s="1999"/>
      <c r="I87" s="1999"/>
      <c r="J87" s="1999"/>
      <c r="K87" s="1999"/>
      <c r="L87" s="1994"/>
      <c r="M87" s="1994"/>
      <c r="N87" s="1994"/>
      <c r="O87" s="1994"/>
      <c r="P87" s="1994"/>
      <c r="Q87" s="1994"/>
      <c r="R87" s="1994"/>
      <c r="S87" s="1994"/>
      <c r="T87" s="1994"/>
      <c r="U87" s="1994"/>
      <c r="V87" s="1994"/>
      <c r="W87" s="1994"/>
      <c r="X87" s="1994"/>
      <c r="Y87" s="1994"/>
      <c r="Z87" s="1994"/>
      <c r="AA87" s="1994"/>
      <c r="AB87" s="1994"/>
      <c r="AC87" s="2038"/>
      <c r="AD87" s="2600"/>
      <c r="AE87" s="3190"/>
      <c r="AF87" s="1976"/>
      <c r="AG87" s="2600"/>
      <c r="AH87" s="2600"/>
      <c r="AI87" s="2635"/>
      <c r="AJ87" s="2600"/>
      <c r="AK87" s="2597"/>
      <c r="AL87" s="1797"/>
    </row>
    <row r="88" spans="1:41">
      <c r="A88" s="2464"/>
      <c r="B88" s="2552" t="s">
        <v>204</v>
      </c>
      <c r="C88" s="2464"/>
      <c r="D88" s="2464"/>
      <c r="E88" s="2049">
        <f>ROUND(SUM(E64-E85),1)</f>
        <v>691.2</v>
      </c>
      <c r="F88" s="2049"/>
      <c r="G88" s="2049">
        <f>ROUND(SUM(G64-G85),1)</f>
        <v>-341.5</v>
      </c>
      <c r="H88" s="2049"/>
      <c r="I88" s="2049">
        <f>ROUND(SUM(I64-I85),1)</f>
        <v>-223.3</v>
      </c>
      <c r="J88" s="2049"/>
      <c r="K88" s="2049">
        <f>ROUND(SUM(K64-K85),1)</f>
        <v>-269.60000000000002</v>
      </c>
      <c r="L88" s="2049"/>
      <c r="M88" s="2049">
        <f>ROUND(SUM(M64-M85),1)</f>
        <v>-705</v>
      </c>
      <c r="N88" s="2049"/>
      <c r="O88" s="2049">
        <f>ROUND(SUM(O64-O85),1)</f>
        <v>-434</v>
      </c>
      <c r="P88" s="2049"/>
      <c r="Q88" s="2049">
        <f>ROUND(SUM(Q64-Q85),1)</f>
        <v>-27.1</v>
      </c>
      <c r="R88" s="2049"/>
      <c r="S88" s="2049">
        <f>ROUND(SUM(S64-S85),1)</f>
        <v>0</v>
      </c>
      <c r="T88" s="2049"/>
      <c r="U88" s="2049">
        <f>ROUND(SUM(U64-U85),1)</f>
        <v>0</v>
      </c>
      <c r="V88" s="2049"/>
      <c r="W88" s="2049">
        <f>ROUND(SUM(W64-W85),1)</f>
        <v>0</v>
      </c>
      <c r="X88" s="2049"/>
      <c r="Y88" s="2049">
        <f>ROUND(SUM(Y64-Y85),1)</f>
        <v>0</v>
      </c>
      <c r="Z88" s="2049"/>
      <c r="AA88" s="2049">
        <f>ROUND(SUM(AA64-AA85),1)</f>
        <v>0</v>
      </c>
      <c r="AB88" s="2049"/>
      <c r="AC88" s="2553"/>
      <c r="AD88" s="2049">
        <f>ROUND(SUM(AD64-AD85),1)</f>
        <v>-1309.3</v>
      </c>
      <c r="AE88" s="3202"/>
      <c r="AF88" s="1460"/>
      <c r="AG88" s="2049">
        <f>ROUND(SUM(AG64-AG85),1)</f>
        <v>-1701.5</v>
      </c>
      <c r="AH88" s="1460"/>
      <c r="AI88" s="2599"/>
      <c r="AJ88" s="2053">
        <f>ROUND(AD88-AG88,1)</f>
        <v>392.2</v>
      </c>
      <c r="AK88" s="2628"/>
      <c r="AL88" s="3675">
        <f>ROUND(IF(AG88=0,0,AJ88/ABS(AG88)),3)</f>
        <v>0.23100000000000001</v>
      </c>
      <c r="AM88" s="2620"/>
      <c r="AN88" s="3676"/>
    </row>
    <row r="89" spans="1:41">
      <c r="A89" s="2464"/>
      <c r="B89" s="2464"/>
      <c r="C89" s="2464"/>
      <c r="D89" s="2464"/>
      <c r="E89" s="2493"/>
      <c r="F89" s="1999"/>
      <c r="G89" s="2493"/>
      <c r="H89" s="1999"/>
      <c r="I89" s="2493"/>
      <c r="J89" s="1999"/>
      <c r="K89" s="2493"/>
      <c r="L89" s="1994"/>
      <c r="M89" s="2050"/>
      <c r="N89" s="1994"/>
      <c r="O89" s="2050"/>
      <c r="P89" s="1994"/>
      <c r="Q89" s="2050"/>
      <c r="R89" s="1994"/>
      <c r="S89" s="2050"/>
      <c r="T89" s="1994"/>
      <c r="U89" s="2050"/>
      <c r="V89" s="1994"/>
      <c r="W89" s="2050"/>
      <c r="X89" s="1994"/>
      <c r="Y89" s="2050"/>
      <c r="Z89" s="1994"/>
      <c r="AA89" s="2050"/>
      <c r="AB89" s="1994"/>
      <c r="AC89" s="2038"/>
      <c r="AD89" s="2050"/>
      <c r="AE89" s="3190"/>
      <c r="AF89" s="1976"/>
      <c r="AG89" s="2050"/>
      <c r="AH89" s="1976"/>
      <c r="AI89" s="2599"/>
      <c r="AJ89" s="2600"/>
      <c r="AK89" s="2597"/>
      <c r="AL89" s="1797"/>
    </row>
    <row r="90" spans="1:41">
      <c r="A90" s="2464"/>
      <c r="B90" s="2552" t="s">
        <v>205</v>
      </c>
      <c r="C90" s="2464"/>
      <c r="D90" s="2464"/>
      <c r="E90" s="1999"/>
      <c r="F90" s="1999"/>
      <c r="G90" s="1999"/>
      <c r="H90" s="1999"/>
      <c r="I90" s="1999"/>
      <c r="J90" s="1999"/>
      <c r="K90" s="1999"/>
      <c r="L90" s="1994"/>
      <c r="M90" s="1994"/>
      <c r="N90" s="1994"/>
      <c r="O90" s="1994"/>
      <c r="P90" s="1994"/>
      <c r="Q90" s="1994"/>
      <c r="R90" s="1994"/>
      <c r="S90" s="1994"/>
      <c r="T90" s="1994"/>
      <c r="U90" s="1994"/>
      <c r="V90" s="1994"/>
      <c r="W90" s="1994"/>
      <c r="X90" s="1994"/>
      <c r="Y90" s="1994"/>
      <c r="Z90" s="1994"/>
      <c r="AA90" s="1994"/>
      <c r="AB90" s="1994"/>
      <c r="AC90" s="2038"/>
      <c r="AD90" s="2629"/>
      <c r="AE90" s="3190"/>
      <c r="AF90" s="1976"/>
      <c r="AG90" s="2629"/>
      <c r="AH90" s="2629"/>
      <c r="AI90" s="2630"/>
      <c r="AJ90" s="2600"/>
      <c r="AK90" s="2597"/>
      <c r="AL90" s="1797"/>
    </row>
    <row r="91" spans="1:41">
      <c r="A91" s="2464"/>
      <c r="B91" s="2504" t="s">
        <v>1485</v>
      </c>
      <c r="C91" s="2464"/>
      <c r="D91" s="2464"/>
      <c r="E91" s="1999">
        <v>0</v>
      </c>
      <c r="F91" s="1999"/>
      <c r="G91" s="1999">
        <v>0</v>
      </c>
      <c r="H91" s="1999"/>
      <c r="I91" s="1999">
        <v>0</v>
      </c>
      <c r="J91" s="1999"/>
      <c r="K91" s="1999">
        <v>0</v>
      </c>
      <c r="L91" s="2605"/>
      <c r="M91" s="1999">
        <v>0</v>
      </c>
      <c r="N91" s="2605"/>
      <c r="O91" s="1999">
        <v>0</v>
      </c>
      <c r="P91" s="2605"/>
      <c r="Q91" s="1788">
        <f t="shared" ref="Q91:Q93" si="5">$AD91-$E91-$G91-$I91-$K91-$M91-$O91</f>
        <v>0</v>
      </c>
      <c r="R91" s="2605"/>
      <c r="S91" s="1788"/>
      <c r="T91" s="2605"/>
      <c r="U91" s="1788"/>
      <c r="V91" s="2605"/>
      <c r="W91" s="1788"/>
      <c r="X91" s="2605"/>
      <c r="Y91" s="1788"/>
      <c r="Z91" s="2605"/>
      <c r="AA91" s="1788"/>
      <c r="AB91" s="1994"/>
      <c r="AC91" s="2038"/>
      <c r="AD91" s="1999">
        <v>0</v>
      </c>
      <c r="AE91" s="3190"/>
      <c r="AF91" s="1976"/>
      <c r="AG91" s="1999">
        <v>0</v>
      </c>
      <c r="AH91" s="2629"/>
      <c r="AI91" s="2630"/>
      <c r="AJ91" s="1994">
        <f>ROUND(AD91-AG91,1)</f>
        <v>0</v>
      </c>
      <c r="AK91" s="2606"/>
      <c r="AL91" s="1723">
        <f>ROUND(IF(AG91=0,0,AJ91/ABS(AG91)),3)</f>
        <v>0</v>
      </c>
    </row>
    <row r="92" spans="1:41">
      <c r="A92" s="2464"/>
      <c r="B92" s="3674" t="s">
        <v>173</v>
      </c>
      <c r="C92" s="2464"/>
      <c r="D92" s="2464"/>
      <c r="E92" s="1999">
        <v>-805.1</v>
      </c>
      <c r="F92" s="1999"/>
      <c r="G92" s="1999">
        <v>198</v>
      </c>
      <c r="H92" s="1999"/>
      <c r="I92" s="1999">
        <v>360.6</v>
      </c>
      <c r="J92" s="1999"/>
      <c r="K92" s="1999">
        <v>523.4</v>
      </c>
      <c r="L92" s="2605"/>
      <c r="M92" s="1999">
        <v>566.29999999999984</v>
      </c>
      <c r="N92" s="2605"/>
      <c r="O92" s="1999">
        <v>250.00000000000045</v>
      </c>
      <c r="P92" s="2605"/>
      <c r="Q92" s="1788">
        <f t="shared" si="5"/>
        <v>91.299999999999727</v>
      </c>
      <c r="R92" s="2605"/>
      <c r="S92" s="1788"/>
      <c r="T92" s="2605"/>
      <c r="U92" s="1788"/>
      <c r="V92" s="2605"/>
      <c r="W92" s="1788"/>
      <c r="X92" s="2605"/>
      <c r="Y92" s="1788"/>
      <c r="Z92" s="2605"/>
      <c r="AA92" s="1788"/>
      <c r="AB92" s="1994"/>
      <c r="AC92" s="2038"/>
      <c r="AD92" s="1999">
        <v>1184.5</v>
      </c>
      <c r="AE92" s="3190"/>
      <c r="AF92" s="1976"/>
      <c r="AG92" s="1999">
        <v>2521.8000000000002</v>
      </c>
      <c r="AH92" s="1993"/>
      <c r="AI92" s="2609"/>
      <c r="AJ92" s="1994">
        <f>ROUND(AD92-AG92,1)</f>
        <v>-1337.3</v>
      </c>
      <c r="AK92" s="2597"/>
      <c r="AL92" s="1649">
        <f>ROUND(IF(AG92=0,0,AJ92/ABS(AG92)),3)</f>
        <v>-0.53</v>
      </c>
      <c r="AM92" s="2597"/>
    </row>
    <row r="93" spans="1:41">
      <c r="A93" s="2464"/>
      <c r="B93" s="3674" t="s">
        <v>206</v>
      </c>
      <c r="C93" s="2464"/>
      <c r="D93" s="2464"/>
      <c r="E93" s="1999">
        <v>-12.3</v>
      </c>
      <c r="F93" s="1999"/>
      <c r="G93" s="1999">
        <v>-12.399999999999999</v>
      </c>
      <c r="H93" s="1999"/>
      <c r="I93" s="1999">
        <v>-12.3</v>
      </c>
      <c r="J93" s="1999"/>
      <c r="K93" s="1999">
        <v>-14.000000000000004</v>
      </c>
      <c r="L93" s="2605"/>
      <c r="M93" s="1999">
        <v>-36.400000000000006</v>
      </c>
      <c r="N93" s="2605"/>
      <c r="O93" s="1999">
        <v>-186.99999999999994</v>
      </c>
      <c r="P93" s="2605"/>
      <c r="Q93" s="1788">
        <f t="shared" si="5"/>
        <v>-12.100000000000051</v>
      </c>
      <c r="R93" s="2605"/>
      <c r="S93" s="1788"/>
      <c r="T93" s="2605"/>
      <c r="U93" s="1788"/>
      <c r="V93" s="2605"/>
      <c r="W93" s="1788"/>
      <c r="X93" s="2605"/>
      <c r="Y93" s="1788"/>
      <c r="Z93" s="2605"/>
      <c r="AA93" s="1788"/>
      <c r="AB93" s="1994"/>
      <c r="AC93" s="2038"/>
      <c r="AD93" s="3204">
        <v>-286.5</v>
      </c>
      <c r="AE93" s="3190"/>
      <c r="AF93" s="1976"/>
      <c r="AG93" s="3204">
        <v>-560.4</v>
      </c>
      <c r="AH93" s="1976"/>
      <c r="AI93" s="2599"/>
      <c r="AJ93" s="2634">
        <f>ROUND(-AD93+AG93,1)</f>
        <v>-273.89999999999998</v>
      </c>
      <c r="AK93" s="2597"/>
      <c r="AL93" s="2607">
        <f>ROUND(IF(AG93=0,0,AJ93/ABS(AG93)),3)</f>
        <v>-0.48899999999999999</v>
      </c>
      <c r="AM93" s="2597"/>
    </row>
    <row r="94" spans="1:41">
      <c r="A94" s="2464"/>
      <c r="B94" s="2464"/>
      <c r="C94" s="2464"/>
      <c r="D94" s="2464"/>
      <c r="E94" s="2050"/>
      <c r="F94" s="1994"/>
      <c r="G94" s="2050"/>
      <c r="H94" s="1994"/>
      <c r="I94" s="2050"/>
      <c r="J94" s="1994"/>
      <c r="K94" s="2050"/>
      <c r="L94" s="1994"/>
      <c r="M94" s="2050"/>
      <c r="N94" s="1994"/>
      <c r="O94" s="2050"/>
      <c r="P94" s="1994"/>
      <c r="Q94" s="2050"/>
      <c r="R94" s="1994"/>
      <c r="S94" s="2050"/>
      <c r="T94" s="1994"/>
      <c r="U94" s="2050"/>
      <c r="V94" s="1994"/>
      <c r="W94" s="2050"/>
      <c r="X94" s="1994"/>
      <c r="Y94" s="2050"/>
      <c r="Z94" s="1994"/>
      <c r="AA94" s="2050"/>
      <c r="AB94" s="1994"/>
      <c r="AC94" s="2038"/>
      <c r="AD94" s="2600"/>
      <c r="AE94" s="3190"/>
      <c r="AF94" s="1976"/>
      <c r="AG94" s="2600"/>
      <c r="AH94" s="2600"/>
      <c r="AI94" s="2635"/>
      <c r="AJ94" s="2600"/>
      <c r="AK94" s="2597"/>
      <c r="AL94" s="1797"/>
    </row>
    <row r="95" spans="1:41">
      <c r="A95" s="2464"/>
      <c r="B95" s="2552" t="s">
        <v>1187</v>
      </c>
      <c r="C95" s="2464"/>
      <c r="D95" s="2464"/>
      <c r="E95" s="2049">
        <f>ROUND(SUM(E91:E93),1)</f>
        <v>-817.4</v>
      </c>
      <c r="F95" s="2049"/>
      <c r="G95" s="2049">
        <f>ROUND(SUM(G91:G93),1)</f>
        <v>185.6</v>
      </c>
      <c r="H95" s="2049"/>
      <c r="I95" s="2049">
        <f>ROUND(SUM(I91:I93),1)</f>
        <v>348.3</v>
      </c>
      <c r="J95" s="2049"/>
      <c r="K95" s="2049">
        <f>ROUND(SUM(K91:K93),1)</f>
        <v>509.4</v>
      </c>
      <c r="L95" s="2049"/>
      <c r="M95" s="2049">
        <f>ROUND(SUM(M91:M93),1)</f>
        <v>529.9</v>
      </c>
      <c r="N95" s="2049"/>
      <c r="O95" s="2049">
        <f>ROUND(SUM(O91:O93),1)</f>
        <v>63</v>
      </c>
      <c r="P95" s="2049"/>
      <c r="Q95" s="2049">
        <f>ROUND(SUM(Q91:Q93),1)</f>
        <v>79.2</v>
      </c>
      <c r="R95" s="2049"/>
      <c r="S95" s="2049">
        <f>ROUND(SUM(S91:S93),1)</f>
        <v>0</v>
      </c>
      <c r="T95" s="2049"/>
      <c r="U95" s="2049">
        <f>ROUND(SUM(U91:U93),1)</f>
        <v>0</v>
      </c>
      <c r="V95" s="2049"/>
      <c r="W95" s="2049">
        <f>ROUND(SUM(W91:W93),1)</f>
        <v>0</v>
      </c>
      <c r="X95" s="2049"/>
      <c r="Y95" s="2049">
        <f>ROUND(SUM(Y91:Y93),1)</f>
        <v>0</v>
      </c>
      <c r="Z95" s="2049"/>
      <c r="AA95" s="2049">
        <f>ROUND(SUM(AA91:AA93),1)</f>
        <v>0</v>
      </c>
      <c r="AB95" s="2049"/>
      <c r="AC95" s="2553"/>
      <c r="AD95" s="1460">
        <f>ROUND(SUM(AD91:AD93),1)</f>
        <v>898</v>
      </c>
      <c r="AE95" s="3202"/>
      <c r="AF95" s="1460"/>
      <c r="AG95" s="1460">
        <f>ROUND(SUM(AG91:AG93),1)</f>
        <v>1961.4</v>
      </c>
      <c r="AH95" s="1460"/>
      <c r="AI95" s="2599"/>
      <c r="AJ95" s="2053">
        <f>ROUND(AD95-AG95,1)</f>
        <v>-1063.4000000000001</v>
      </c>
      <c r="AK95" s="2628"/>
      <c r="AL95" s="3675">
        <f>ROUND(IF(AG95=0,0,AJ95/ABS(AG95)),3)</f>
        <v>-0.54200000000000004</v>
      </c>
      <c r="AM95" s="2620"/>
      <c r="AN95" s="2620"/>
      <c r="AO95" s="3676"/>
    </row>
    <row r="96" spans="1:41">
      <c r="A96" s="2464"/>
      <c r="B96" s="2464"/>
      <c r="C96" s="2464"/>
      <c r="D96" s="2464"/>
      <c r="E96" s="2050"/>
      <c r="F96" s="1994"/>
      <c r="G96" s="2050"/>
      <c r="H96" s="1994"/>
      <c r="I96" s="2050"/>
      <c r="J96" s="1994"/>
      <c r="K96" s="2050"/>
      <c r="L96" s="1994"/>
      <c r="M96" s="2050"/>
      <c r="N96" s="1994"/>
      <c r="O96" s="2050"/>
      <c r="P96" s="1994"/>
      <c r="Q96" s="2050"/>
      <c r="R96" s="1994"/>
      <c r="S96" s="2050"/>
      <c r="T96" s="1994"/>
      <c r="U96" s="2050"/>
      <c r="V96" s="1994"/>
      <c r="W96" s="2050"/>
      <c r="X96" s="1994"/>
      <c r="Y96" s="2050"/>
      <c r="Z96" s="1994"/>
      <c r="AA96" s="2050"/>
      <c r="AB96" s="1994"/>
      <c r="AC96" s="2038"/>
      <c r="AD96" s="2050"/>
      <c r="AE96" s="3190"/>
      <c r="AF96" s="1976"/>
      <c r="AG96" s="2050"/>
      <c r="AH96" s="1976"/>
      <c r="AI96" s="2599"/>
      <c r="AJ96" s="2600"/>
      <c r="AK96" s="2597"/>
      <c r="AL96" s="1797"/>
      <c r="AO96" s="2644"/>
    </row>
    <row r="97" spans="1:41">
      <c r="A97" s="2464"/>
      <c r="B97" s="2464"/>
      <c r="C97" s="2464"/>
      <c r="D97" s="2464"/>
      <c r="E97" s="1994" t="s">
        <v>15</v>
      </c>
      <c r="F97" s="1994" t="s">
        <v>15</v>
      </c>
      <c r="G97" s="1994" t="s">
        <v>15</v>
      </c>
      <c r="H97" s="1994"/>
      <c r="I97" s="1994" t="s">
        <v>15</v>
      </c>
      <c r="J97" s="1994"/>
      <c r="K97" s="1994" t="s">
        <v>15</v>
      </c>
      <c r="L97" s="1994"/>
      <c r="M97" s="1994" t="s">
        <v>15</v>
      </c>
      <c r="N97" s="1994"/>
      <c r="O97" s="1994" t="s">
        <v>15</v>
      </c>
      <c r="P97" s="1994"/>
      <c r="Q97" s="1994" t="s">
        <v>15</v>
      </c>
      <c r="R97" s="1994"/>
      <c r="S97" s="1994" t="s">
        <v>15</v>
      </c>
      <c r="T97" s="1994"/>
      <c r="U97" s="1994" t="s">
        <v>15</v>
      </c>
      <c r="V97" s="1994"/>
      <c r="W97" s="1994" t="s">
        <v>15</v>
      </c>
      <c r="X97" s="1994"/>
      <c r="Y97" s="1994" t="s">
        <v>15</v>
      </c>
      <c r="Z97" s="1994"/>
      <c r="AA97" s="1994" t="s">
        <v>15</v>
      </c>
      <c r="AB97" s="1994"/>
      <c r="AC97" s="2038"/>
      <c r="AD97" s="1994"/>
      <c r="AE97" s="3190"/>
      <c r="AF97" s="1976"/>
      <c r="AG97" s="1994"/>
      <c r="AH97" s="1994"/>
      <c r="AI97" s="2599"/>
      <c r="AJ97" s="2600" t="s">
        <v>15</v>
      </c>
      <c r="AK97" s="2597"/>
      <c r="AL97" s="1797"/>
    </row>
    <row r="98" spans="1:41">
      <c r="A98" s="2464"/>
      <c r="B98" s="2552" t="s">
        <v>208</v>
      </c>
      <c r="C98" s="2464"/>
      <c r="D98" s="2464"/>
      <c r="E98" s="1994"/>
      <c r="F98" s="1994"/>
      <c r="G98" s="1994" t="s">
        <v>15</v>
      </c>
      <c r="H98" s="1994"/>
      <c r="I98" s="1994" t="s">
        <v>15</v>
      </c>
      <c r="J98" s="1994"/>
      <c r="K98" s="1994" t="s">
        <v>15</v>
      </c>
      <c r="L98" s="1994"/>
      <c r="M98" s="1994" t="s">
        <v>15</v>
      </c>
      <c r="N98" s="1994"/>
      <c r="O98" s="1994" t="s">
        <v>15</v>
      </c>
      <c r="P98" s="1994"/>
      <c r="Q98" s="1994" t="s">
        <v>15</v>
      </c>
      <c r="R98" s="1994"/>
      <c r="S98" s="1994" t="s">
        <v>15</v>
      </c>
      <c r="T98" s="1994"/>
      <c r="U98" s="1994" t="s">
        <v>15</v>
      </c>
      <c r="V98" s="1994"/>
      <c r="W98" s="1994" t="s">
        <v>15</v>
      </c>
      <c r="X98" s="1994"/>
      <c r="Y98" s="1994" t="s">
        <v>15</v>
      </c>
      <c r="Z98" s="1994"/>
      <c r="AA98" s="1994" t="s">
        <v>15</v>
      </c>
      <c r="AB98" s="1994"/>
      <c r="AC98" s="2038"/>
      <c r="AD98" s="1994"/>
      <c r="AE98" s="3190"/>
      <c r="AF98" s="1976"/>
      <c r="AG98" s="1994"/>
      <c r="AH98" s="1994"/>
      <c r="AI98" s="2599"/>
      <c r="AJ98" s="2600"/>
      <c r="AK98" s="2597"/>
      <c r="AL98" s="1797"/>
    </row>
    <row r="99" spans="1:41">
      <c r="A99" s="2464"/>
      <c r="B99" s="2552" t="s">
        <v>209</v>
      </c>
      <c r="C99" s="2464"/>
      <c r="D99" s="2464"/>
      <c r="E99" s="1994" t="s">
        <v>15</v>
      </c>
      <c r="F99" s="1994"/>
      <c r="G99" s="1994"/>
      <c r="H99" s="1994"/>
      <c r="I99" s="1994"/>
      <c r="J99" s="1994"/>
      <c r="K99" s="1994"/>
      <c r="L99" s="1994"/>
      <c r="M99" s="1994"/>
      <c r="N99" s="1994"/>
      <c r="O99" s="1994"/>
      <c r="P99" s="1994"/>
      <c r="Q99" s="1994"/>
      <c r="R99" s="1994"/>
      <c r="S99" s="1994"/>
      <c r="T99" s="1994"/>
      <c r="U99" s="1994"/>
      <c r="V99" s="1994"/>
      <c r="W99" s="1994"/>
      <c r="X99" s="1994"/>
      <c r="Y99" s="1994"/>
      <c r="Z99" s="1994"/>
      <c r="AA99" s="1994"/>
      <c r="AB99" s="1994"/>
      <c r="AC99" s="2038"/>
      <c r="AD99" s="2600"/>
      <c r="AE99" s="3190"/>
      <c r="AF99" s="1976"/>
      <c r="AG99" s="2600"/>
      <c r="AH99" s="2600"/>
      <c r="AI99" s="2635"/>
      <c r="AJ99" s="2600"/>
      <c r="AK99" s="2597"/>
      <c r="AL99" s="1797"/>
      <c r="AO99" s="3677"/>
    </row>
    <row r="100" spans="1:41" s="3189" customFormat="1">
      <c r="A100" s="1994"/>
      <c r="B100" s="2049" t="s">
        <v>1188</v>
      </c>
      <c r="C100" s="1994"/>
      <c r="D100" s="1994"/>
      <c r="E100" s="2636">
        <f>ROUND(SUM(E88+E95),1)</f>
        <v>-126.2</v>
      </c>
      <c r="F100" s="2637"/>
      <c r="G100" s="2636">
        <f>ROUND(SUM(G88+G95),1)</f>
        <v>-155.9</v>
      </c>
      <c r="H100" s="2637"/>
      <c r="I100" s="2636">
        <f>ROUND(SUM(I88+I95),1)</f>
        <v>125</v>
      </c>
      <c r="J100" s="2637"/>
      <c r="K100" s="2636">
        <f>ROUND(SUM(K88+K95),1)</f>
        <v>239.8</v>
      </c>
      <c r="L100" s="2637"/>
      <c r="M100" s="2636">
        <f>ROUND(SUM(M88+M95),1)</f>
        <v>-175.1</v>
      </c>
      <c r="N100" s="2637"/>
      <c r="O100" s="2636">
        <f>ROUND(SUM(O88+O95),1)</f>
        <v>-371</v>
      </c>
      <c r="P100" s="2637"/>
      <c r="Q100" s="2636">
        <f>ROUND(SUM(Q88+Q95),1)</f>
        <v>52.1</v>
      </c>
      <c r="R100" s="2637"/>
      <c r="S100" s="2636">
        <f>ROUND(SUM(S88+S95),1)</f>
        <v>0</v>
      </c>
      <c r="T100" s="2637"/>
      <c r="U100" s="2636">
        <f>ROUND(SUM(U88+U95),1)</f>
        <v>0</v>
      </c>
      <c r="V100" s="2637"/>
      <c r="W100" s="2636">
        <f>ROUND(SUM(W88+W95),1)</f>
        <v>0</v>
      </c>
      <c r="X100" s="3678"/>
      <c r="Y100" s="2636">
        <f>ROUND(SUM(Y88+Y95),1)</f>
        <v>0</v>
      </c>
      <c r="Z100" s="2637"/>
      <c r="AA100" s="2636">
        <f>ROUND(SUM(AA88+AA95),1)</f>
        <v>0</v>
      </c>
      <c r="AB100" s="2637"/>
      <c r="AC100" s="2638"/>
      <c r="AD100" s="2636">
        <f>ROUND(SUM(AD88+AD95),1)</f>
        <v>-411.3</v>
      </c>
      <c r="AE100" s="3205"/>
      <c r="AF100" s="1460"/>
      <c r="AG100" s="2636">
        <f>ROUND(SUM(AG88+AG95),1)</f>
        <v>259.89999999999998</v>
      </c>
      <c r="AH100" s="2639"/>
      <c r="AI100" s="2635"/>
      <c r="AJ100" s="2636">
        <f>ROUND(SUM(AJ88+AJ95),1)</f>
        <v>-671.2</v>
      </c>
      <c r="AK100" s="2639"/>
      <c r="AL100" s="3675">
        <f>ROUND(IF(AG100=0,0,AJ100/ABS(AG100)),3)</f>
        <v>-2.5830000000000002</v>
      </c>
      <c r="AM100" s="3679"/>
    </row>
    <row r="101" spans="1:41">
      <c r="B101" s="3680"/>
      <c r="X101" s="3681"/>
      <c r="AC101" s="2640"/>
      <c r="AF101" s="2640"/>
      <c r="AI101" s="2641"/>
    </row>
    <row r="102" spans="1:41" ht="16" thickBot="1">
      <c r="B102" s="2552" t="s">
        <v>1186</v>
      </c>
      <c r="C102" s="3682"/>
      <c r="D102" s="3682"/>
      <c r="E102" s="2642">
        <f>ROUND(SUM(E14+E100),1)</f>
        <v>-598.4</v>
      </c>
      <c r="F102" s="2643"/>
      <c r="G102" s="2642">
        <f>ROUND(SUM(G14+G100),1)</f>
        <v>-754.3</v>
      </c>
      <c r="I102" s="2642">
        <f>ROUND(SUM(I14+I100),1)</f>
        <v>-629.29999999999995</v>
      </c>
      <c r="K102" s="2642">
        <f>ROUND(SUM(K14+K100),1)</f>
        <v>-389.5</v>
      </c>
      <c r="M102" s="2642">
        <f>ROUND(SUM(M14+M100),1)</f>
        <v>-564.6</v>
      </c>
      <c r="O102" s="2642">
        <f>ROUND(SUM(O14+O100),1)</f>
        <v>-935.6</v>
      </c>
      <c r="Q102" s="2642">
        <f>ROUND(SUM(Q14+Q100),1)</f>
        <v>-883.5</v>
      </c>
      <c r="S102" s="2642">
        <f>ROUND(SUM(S14+S100),1)</f>
        <v>0</v>
      </c>
      <c r="U102" s="2642">
        <f>ROUND(SUM(U14+U100),1)</f>
        <v>0</v>
      </c>
      <c r="W102" s="2642">
        <f>ROUND(SUM(W14+W100),1)</f>
        <v>0</v>
      </c>
      <c r="Y102" s="2642">
        <f>ROUND(SUM(Y14+Y100),1)</f>
        <v>0</v>
      </c>
      <c r="AA102" s="2642">
        <f>ROUND(SUM(AA14+AA100),1)</f>
        <v>0</v>
      </c>
      <c r="AC102" s="2640"/>
      <c r="AD102" s="2642">
        <f>ROUND(SUM(AD14+AD100),1)</f>
        <v>-883.5</v>
      </c>
      <c r="AF102" s="2640"/>
      <c r="AG102" s="2642">
        <f>ROUND(SUM(AG14+AG100),1)</f>
        <v>-373.3</v>
      </c>
      <c r="AI102" s="2641"/>
      <c r="AJ102" s="2642">
        <f>ROUND(SUM(AJ14+AJ100),1)</f>
        <v>-510.2</v>
      </c>
      <c r="AL102" s="3683">
        <f>ROUND(IF(AG102=0,0,AJ102/ABS(AG102)),3)</f>
        <v>-1.367</v>
      </c>
    </row>
    <row r="103" spans="1:41" ht="16" thickTop="1">
      <c r="B103" s="3684"/>
      <c r="C103" s="3682"/>
      <c r="D103" s="3682"/>
      <c r="E103" s="2643"/>
      <c r="F103" s="2643"/>
      <c r="G103" s="2643"/>
      <c r="AG103" s="3461"/>
      <c r="AJ103" s="2644"/>
    </row>
    <row r="104" spans="1:41">
      <c r="B104" s="3685"/>
    </row>
    <row r="105" spans="1:41">
      <c r="B105" s="3685"/>
      <c r="AD105" s="3189"/>
    </row>
    <row r="106" spans="1:41">
      <c r="B106" s="3686"/>
    </row>
    <row r="107" spans="1:41">
      <c r="B107" s="3685"/>
    </row>
    <row r="108" spans="1:41">
      <c r="B108" s="3685"/>
    </row>
    <row r="109" spans="1:41">
      <c r="B109" s="3686"/>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69140625" defaultRowHeight="15.5"/>
  <cols>
    <col min="1" max="1" width="2.53515625" style="1088" customWidth="1"/>
    <col min="2" max="2" width="14.07421875" style="1088" customWidth="1"/>
    <col min="3" max="3" width="26.53515625" style="1088" customWidth="1"/>
    <col min="4" max="4" width="2.07421875" style="1088" customWidth="1"/>
    <col min="5" max="5" width="11.07421875" style="1088" customWidth="1"/>
    <col min="6" max="6" width="1.69140625" style="1088" customWidth="1"/>
    <col min="7" max="7" width="11" style="1088" bestFit="1" customWidth="1"/>
    <col min="8" max="8" width="1.69140625" style="1088" customWidth="1"/>
    <col min="9" max="9" width="11" style="1088" bestFit="1" customWidth="1"/>
    <col min="10" max="10" width="1.69140625" style="1088" customWidth="1"/>
    <col min="11" max="11" width="12.07421875" style="1088" customWidth="1"/>
    <col min="12" max="12" width="1.69140625" style="1088" customWidth="1"/>
    <col min="13" max="13" width="11" style="1088" customWidth="1"/>
    <col min="14" max="14" width="1.69140625" style="1088" customWidth="1"/>
    <col min="15" max="15" width="13.69140625" style="1088" customWidth="1"/>
    <col min="16" max="16" width="1.69140625" style="1088" customWidth="1"/>
    <col min="17" max="17" width="12.4609375" style="1088" customWidth="1"/>
    <col min="18" max="18" width="1.69140625" style="1088" customWidth="1"/>
    <col min="19" max="19" width="12.53515625" style="1088" customWidth="1"/>
    <col min="20" max="20" width="1.69140625" style="1088" customWidth="1"/>
    <col min="21" max="21" width="10.69140625" style="1088" customWidth="1"/>
    <col min="22" max="22" width="1.69140625" style="1088" customWidth="1"/>
    <col min="23" max="23" width="10.53515625" style="1088" customWidth="1"/>
    <col min="24" max="24" width="1.69140625" style="1088" customWidth="1"/>
    <col min="25" max="25" width="10.69140625" style="1088" customWidth="1"/>
    <col min="26" max="26" width="1.69140625" style="1088" customWidth="1"/>
    <col min="27" max="27" width="11.69140625" style="1088" customWidth="1"/>
    <col min="28" max="29" width="1.69140625" style="1088" customWidth="1"/>
    <col min="30" max="30" width="10.53515625" style="1088" customWidth="1"/>
    <col min="31" max="32" width="1" style="1088" customWidth="1"/>
    <col min="33" max="33" width="12.69140625" style="1088" customWidth="1"/>
    <col min="34" max="35" width="1" style="1088" customWidth="1"/>
    <col min="36" max="36" width="13.07421875" style="1088" bestFit="1" customWidth="1"/>
    <col min="37" max="37" width="1.07421875" style="1088" customWidth="1"/>
    <col min="38" max="38" width="11.53515625" style="1088" customWidth="1"/>
    <col min="39" max="16384" width="8.69140625" style="1088"/>
  </cols>
  <sheetData>
    <row r="1" spans="1:39">
      <c r="B1" s="1499" t="s">
        <v>963</v>
      </c>
    </row>
    <row r="2" spans="1:39">
      <c r="B2" s="3702"/>
    </row>
    <row r="3" spans="1:39" ht="19.5" customHeight="1">
      <c r="A3" s="3703"/>
      <c r="B3" s="188" t="s">
        <v>0</v>
      </c>
      <c r="C3" s="1089"/>
      <c r="D3" s="1089"/>
      <c r="E3" s="1089"/>
      <c r="F3" s="1090"/>
      <c r="G3" s="1090"/>
      <c r="H3" s="1090"/>
      <c r="I3" s="1090"/>
      <c r="J3" s="1090"/>
      <c r="K3" s="1090"/>
      <c r="L3" s="1090"/>
      <c r="M3" s="1090"/>
      <c r="N3" s="1090"/>
      <c r="O3" s="1090"/>
      <c r="P3" s="1090"/>
      <c r="Q3" s="1090"/>
      <c r="R3" s="1090"/>
      <c r="S3" s="3704"/>
      <c r="T3" s="1090"/>
      <c r="U3" s="1090"/>
      <c r="V3" s="1090"/>
      <c r="W3" s="1090"/>
      <c r="X3" s="1090"/>
      <c r="Y3" s="1090"/>
      <c r="Z3" s="1090"/>
      <c r="AA3" s="1090"/>
      <c r="AB3" s="1090"/>
      <c r="AC3" s="1090"/>
      <c r="AD3" s="1090"/>
      <c r="AE3" s="1090"/>
      <c r="AF3" s="1090"/>
      <c r="AG3" s="1090"/>
      <c r="AH3" s="1090"/>
      <c r="AI3" s="1090"/>
      <c r="AL3" s="3250" t="s">
        <v>194</v>
      </c>
    </row>
    <row r="4" spans="1:39" ht="19.5" customHeight="1">
      <c r="A4" s="3703"/>
      <c r="B4" s="188" t="s">
        <v>211</v>
      </c>
      <c r="C4" s="1089"/>
      <c r="D4" s="1089"/>
      <c r="E4" s="1089"/>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E4" s="3206"/>
      <c r="AF4" s="3206"/>
    </row>
    <row r="5" spans="1:39" ht="19.5" customHeight="1">
      <c r="A5" s="3703"/>
      <c r="B5" s="3705" t="s">
        <v>148</v>
      </c>
      <c r="C5" s="1089"/>
      <c r="D5" s="1089"/>
      <c r="E5" s="1089"/>
      <c r="F5" s="1090"/>
      <c r="G5" s="1090"/>
      <c r="H5" s="1090"/>
      <c r="I5" s="1090"/>
      <c r="J5" s="1090"/>
      <c r="K5" s="1090"/>
      <c r="L5" s="1090"/>
      <c r="M5" s="1090"/>
      <c r="N5" s="1090"/>
      <c r="O5" s="1090"/>
      <c r="P5" s="1090"/>
      <c r="Q5" s="1090"/>
      <c r="R5" s="1090"/>
      <c r="S5" s="1090"/>
      <c r="T5" s="1090"/>
      <c r="U5" s="1090"/>
      <c r="V5" s="1090"/>
      <c r="W5" s="1090"/>
      <c r="X5" s="1090"/>
      <c r="Y5" s="1090"/>
      <c r="Z5" s="1090"/>
      <c r="AA5" s="1090"/>
      <c r="AB5" s="1090"/>
      <c r="AC5" s="1090"/>
      <c r="AD5" s="1090"/>
      <c r="AE5" s="1090"/>
      <c r="AF5" s="1090"/>
      <c r="AG5" s="1090"/>
      <c r="AH5" s="1090"/>
      <c r="AI5" s="1090"/>
      <c r="AL5" s="3250"/>
    </row>
    <row r="6" spans="1:39" ht="19.5" customHeight="1">
      <c r="A6" s="3703"/>
      <c r="B6" s="3705" t="str">
        <f>'Cashflow Governmental'!A6</f>
        <v xml:space="preserve">FISCAL YEAR 2020-2021   </v>
      </c>
      <c r="C6" s="3706"/>
      <c r="D6" s="1089"/>
      <c r="E6" s="1089"/>
      <c r="F6" s="1090"/>
      <c r="G6" s="1090"/>
      <c r="H6" s="1091"/>
      <c r="I6" s="1090"/>
      <c r="J6" s="1090"/>
      <c r="K6" s="1090"/>
      <c r="L6" s="1090"/>
      <c r="M6" s="1090"/>
      <c r="N6" s="1090"/>
      <c r="O6" s="1090"/>
      <c r="P6" s="1090"/>
      <c r="Q6" s="1090"/>
      <c r="R6" s="1090"/>
      <c r="S6" s="1090"/>
      <c r="T6" s="1090"/>
      <c r="U6" s="1090"/>
      <c r="V6" s="1090"/>
      <c r="W6" s="1090"/>
      <c r="X6" s="1090"/>
      <c r="Y6" s="1090"/>
      <c r="Z6" s="1090"/>
      <c r="AA6" s="1090"/>
      <c r="AB6" s="1090"/>
      <c r="AC6" s="1090"/>
      <c r="AD6" s="1090"/>
      <c r="AE6" s="1095"/>
      <c r="AF6" s="1095"/>
      <c r="AG6" s="1095"/>
      <c r="AH6" s="1095"/>
      <c r="AI6" s="1095"/>
    </row>
    <row r="7" spans="1:39" ht="19.5" customHeight="1">
      <c r="A7" s="3703"/>
      <c r="B7" s="188" t="s">
        <v>1366</v>
      </c>
      <c r="C7" s="1089"/>
      <c r="D7" s="1089"/>
      <c r="E7" s="1089"/>
      <c r="F7" s="1090"/>
      <c r="G7" s="1090"/>
      <c r="H7" s="1091"/>
      <c r="I7" s="1090"/>
      <c r="J7" s="1090"/>
      <c r="K7" s="1090"/>
      <c r="L7" s="1090"/>
      <c r="M7" s="1090"/>
      <c r="N7" s="1090"/>
      <c r="O7" s="1090"/>
      <c r="P7" s="1090"/>
      <c r="Q7" s="1090"/>
      <c r="R7" s="1090"/>
      <c r="S7" s="1090"/>
      <c r="T7" s="1090"/>
      <c r="U7" s="1090"/>
      <c r="V7" s="1090"/>
      <c r="W7" s="1090"/>
      <c r="X7" s="1090"/>
      <c r="Y7" s="1090"/>
      <c r="Z7" s="1090"/>
      <c r="AA7" s="1090"/>
      <c r="AB7" s="1090"/>
      <c r="AC7" s="1090"/>
      <c r="AD7" s="1090"/>
      <c r="AE7" s="1095"/>
      <c r="AF7" s="1095"/>
      <c r="AG7" s="1095"/>
      <c r="AH7" s="1095"/>
      <c r="AI7" s="1095"/>
    </row>
    <row r="8" spans="1:39" ht="19.5" customHeight="1">
      <c r="A8" s="3703"/>
      <c r="B8" s="3707"/>
      <c r="C8" s="1089"/>
      <c r="D8" s="1089"/>
      <c r="E8" s="1089"/>
      <c r="F8" s="1090"/>
      <c r="G8" s="1090"/>
      <c r="H8" s="1091"/>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5"/>
      <c r="AF8" s="1095"/>
      <c r="AG8" s="1095"/>
      <c r="AH8" s="1095"/>
      <c r="AI8" s="1095"/>
    </row>
    <row r="9" spans="1:39" ht="15.75" customHeight="1">
      <c r="A9" s="3703"/>
      <c r="B9" s="188"/>
      <c r="C9" s="1089"/>
      <c r="D9" s="1089"/>
      <c r="E9" s="1089"/>
      <c r="F9" s="1090"/>
      <c r="G9" s="1090"/>
      <c r="H9" s="1090"/>
      <c r="I9" s="1090"/>
      <c r="J9" s="1090"/>
      <c r="K9" s="1090"/>
      <c r="L9" s="1090"/>
      <c r="M9" s="1090"/>
      <c r="N9" s="1090"/>
      <c r="O9" s="1090"/>
      <c r="P9" s="1090"/>
      <c r="Q9" s="1090"/>
      <c r="R9" s="1090"/>
      <c r="S9" s="1090"/>
      <c r="T9" s="1090"/>
      <c r="U9" s="1090"/>
      <c r="V9" s="1090"/>
      <c r="W9" s="1090"/>
      <c r="X9" s="1090"/>
      <c r="Y9" s="1090"/>
      <c r="Z9" s="1090"/>
      <c r="AA9" s="1090"/>
      <c r="AB9" s="1090"/>
      <c r="AC9" s="1096"/>
    </row>
    <row r="10" spans="1:39" ht="22.5">
      <c r="A10" s="3703"/>
      <c r="B10" s="188"/>
      <c r="C10" s="1089"/>
      <c r="D10" s="1089"/>
      <c r="E10" s="1089"/>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6"/>
      <c r="AD10" s="3940" t="s">
        <v>1546</v>
      </c>
      <c r="AE10" s="3941"/>
      <c r="AF10" s="3941"/>
      <c r="AG10" s="3941"/>
      <c r="AH10" s="3941"/>
      <c r="AI10" s="3941"/>
      <c r="AJ10" s="3941"/>
      <c r="AK10" s="3941"/>
      <c r="AL10" s="3941"/>
    </row>
    <row r="11" spans="1:39">
      <c r="A11" s="1108"/>
      <c r="B11" s="1108"/>
      <c r="C11" s="1108"/>
      <c r="D11" s="1108"/>
      <c r="E11" s="739" t="str">
        <f>'Cashflow Governmental'!C13</f>
        <v>2020</v>
      </c>
      <c r="F11" s="1092"/>
      <c r="G11" s="1092"/>
      <c r="H11" s="1092"/>
      <c r="I11" s="1092"/>
      <c r="J11" s="1092"/>
      <c r="K11" s="1092"/>
      <c r="L11" s="1092"/>
      <c r="M11" s="1092"/>
      <c r="N11" s="1092"/>
      <c r="O11" s="1092"/>
      <c r="P11" s="1092"/>
      <c r="Q11" s="1092"/>
      <c r="R11" s="1092"/>
      <c r="S11" s="1092"/>
      <c r="T11" s="1092"/>
      <c r="U11" s="1092"/>
      <c r="V11" s="1092"/>
      <c r="W11" s="739" t="str">
        <f>'Cashflow Governmental'!U13</f>
        <v>2021</v>
      </c>
      <c r="X11" s="1092"/>
      <c r="Y11" s="1092"/>
      <c r="Z11" s="1092"/>
      <c r="AA11" s="1092"/>
      <c r="AB11" s="1092"/>
      <c r="AC11" s="1092"/>
      <c r="AD11" s="1097"/>
      <c r="AE11" s="1097"/>
      <c r="AF11" s="1097"/>
      <c r="AG11" s="1097"/>
      <c r="AH11" s="1097"/>
      <c r="AI11" s="1097"/>
      <c r="AJ11" s="1098" t="s">
        <v>8</v>
      </c>
      <c r="AK11" s="1098"/>
      <c r="AL11" s="3708" t="s">
        <v>9</v>
      </c>
      <c r="AM11" s="3709"/>
    </row>
    <row r="12" spans="1:39">
      <c r="A12" s="104"/>
      <c r="B12" s="104"/>
      <c r="C12" s="104"/>
      <c r="D12" s="104"/>
      <c r="E12" s="759" t="s">
        <v>124</v>
      </c>
      <c r="F12" s="102"/>
      <c r="G12" s="759" t="s">
        <v>125</v>
      </c>
      <c r="H12" s="102"/>
      <c r="I12" s="759" t="s">
        <v>126</v>
      </c>
      <c r="J12" s="102"/>
      <c r="K12" s="759" t="s">
        <v>127</v>
      </c>
      <c r="L12" s="102"/>
      <c r="M12" s="759" t="s">
        <v>128</v>
      </c>
      <c r="N12" s="102"/>
      <c r="O12" s="759" t="s">
        <v>143</v>
      </c>
      <c r="P12" s="102"/>
      <c r="Q12" s="759" t="s">
        <v>144</v>
      </c>
      <c r="R12" s="102"/>
      <c r="S12" s="759" t="s">
        <v>131</v>
      </c>
      <c r="T12" s="102"/>
      <c r="U12" s="759" t="s">
        <v>132</v>
      </c>
      <c r="V12" s="102"/>
      <c r="W12" s="759" t="s">
        <v>133</v>
      </c>
      <c r="X12" s="102"/>
      <c r="Y12" s="759" t="s">
        <v>134</v>
      </c>
      <c r="Z12" s="102"/>
      <c r="AA12" s="759" t="s">
        <v>185</v>
      </c>
      <c r="AB12" s="102"/>
      <c r="AC12" s="102"/>
      <c r="AD12" s="759">
        <f>'Cashflow Governmental'!AB14</f>
        <v>2020</v>
      </c>
      <c r="AE12" s="102" t="s">
        <v>15</v>
      </c>
      <c r="AF12" s="102"/>
      <c r="AG12" s="759">
        <f>'Cashflow Governmental'!AE14</f>
        <v>2019</v>
      </c>
      <c r="AH12" s="760"/>
      <c r="AI12" s="760"/>
      <c r="AJ12" s="1099" t="s">
        <v>12</v>
      </c>
      <c r="AK12" s="3710"/>
      <c r="AL12" s="1099" t="s">
        <v>13</v>
      </c>
      <c r="AM12" s="3709"/>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69"/>
      <c r="AD13" s="137"/>
      <c r="AE13" s="137"/>
      <c r="AF13" s="3183"/>
      <c r="AG13" s="137"/>
      <c r="AH13" s="137"/>
      <c r="AI13" s="988"/>
      <c r="AJ13" s="1100"/>
      <c r="AK13" s="1100"/>
      <c r="AL13" s="1100"/>
    </row>
    <row r="14" spans="1:39">
      <c r="A14" s="104"/>
      <c r="B14" s="258" t="s">
        <v>1223</v>
      </c>
      <c r="C14" s="102"/>
      <c r="D14" s="1846"/>
      <c r="E14" s="303">
        <v>-562.70000000000005</v>
      </c>
      <c r="F14" s="137"/>
      <c r="G14" s="303">
        <f>E82</f>
        <v>-556.6</v>
      </c>
      <c r="H14" s="137"/>
      <c r="I14" s="132">
        <f>G82</f>
        <v>-567.9</v>
      </c>
      <c r="J14" s="137"/>
      <c r="K14" s="132">
        <f>I82</f>
        <v>-578.6</v>
      </c>
      <c r="L14" s="137"/>
      <c r="M14" s="132">
        <f>K82</f>
        <v>-541.20000000000005</v>
      </c>
      <c r="N14" s="137"/>
      <c r="O14" s="132">
        <f>M82</f>
        <v>-515.6</v>
      </c>
      <c r="P14" s="137"/>
      <c r="Q14" s="132">
        <f>O82</f>
        <v>-553.29999999999995</v>
      </c>
      <c r="R14" s="892"/>
      <c r="S14" s="132"/>
      <c r="T14" s="1878"/>
      <c r="U14" s="132"/>
      <c r="V14" s="892"/>
      <c r="W14" s="132"/>
      <c r="X14" s="892"/>
      <c r="Y14" s="132"/>
      <c r="Z14" s="1878"/>
      <c r="AA14" s="132"/>
      <c r="AB14" s="137"/>
      <c r="AC14" s="1069"/>
      <c r="AD14" s="1851">
        <f>E14</f>
        <v>-562.70000000000005</v>
      </c>
      <c r="AE14" s="137"/>
      <c r="AF14" s="3183"/>
      <c r="AG14" s="1851">
        <v>-504.7</v>
      </c>
      <c r="AH14" s="137"/>
      <c r="AI14" s="988"/>
      <c r="AJ14" s="1852">
        <f>+AD14-AG14</f>
        <v>-58.000000000000057</v>
      </c>
      <c r="AK14" s="1100"/>
      <c r="AL14" s="3711">
        <f>-ROUND((+AJ14/AG14),3)</f>
        <v>-0.115</v>
      </c>
    </row>
    <row r="15" spans="1:39">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69"/>
      <c r="AD15" s="137"/>
      <c r="AE15" s="137"/>
      <c r="AF15" s="3183"/>
      <c r="AG15" s="137"/>
      <c r="AH15" s="137"/>
      <c r="AI15" s="988"/>
      <c r="AJ15" s="1100"/>
      <c r="AK15" s="1100"/>
      <c r="AL15" s="1100"/>
    </row>
    <row r="16" spans="1:39">
      <c r="A16" s="104"/>
      <c r="B16" s="102" t="s">
        <v>195</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69"/>
      <c r="AD16" s="137"/>
      <c r="AE16" s="114"/>
      <c r="AF16" s="3183"/>
      <c r="AG16" s="137"/>
      <c r="AH16" s="137"/>
      <c r="AI16" s="988"/>
      <c r="AJ16" s="1100"/>
      <c r="AK16" s="1100"/>
      <c r="AL16" s="1100"/>
    </row>
    <row r="17" spans="1:38">
      <c r="A17" s="104"/>
      <c r="B17" s="890" t="s">
        <v>1014</v>
      </c>
      <c r="C17" s="104"/>
      <c r="D17" s="104"/>
      <c r="E17" s="1078"/>
      <c r="F17" s="115"/>
      <c r="G17" s="1078"/>
      <c r="H17" s="115"/>
      <c r="I17" s="1078"/>
      <c r="J17" s="115"/>
      <c r="K17" s="1078"/>
      <c r="L17" s="115"/>
      <c r="M17" s="115"/>
      <c r="N17" s="115"/>
      <c r="O17" s="1078"/>
      <c r="P17" s="115"/>
      <c r="Q17" s="1078"/>
      <c r="R17" s="115"/>
      <c r="S17" s="1078"/>
      <c r="T17" s="115"/>
      <c r="U17" s="1078"/>
      <c r="V17" s="115"/>
      <c r="W17" s="1078"/>
      <c r="X17" s="115"/>
      <c r="Y17" s="1078"/>
      <c r="Z17" s="115"/>
      <c r="AA17" s="1078"/>
      <c r="AB17" s="115"/>
      <c r="AC17" s="676"/>
      <c r="AD17" s="3207"/>
      <c r="AE17" s="1079"/>
      <c r="AF17" s="65"/>
      <c r="AG17" s="115"/>
      <c r="AH17" s="116"/>
      <c r="AI17" s="1080"/>
      <c r="AJ17" s="116"/>
      <c r="AK17" s="1081"/>
      <c r="AL17" s="1082"/>
    </row>
    <row r="18" spans="1:38">
      <c r="A18" s="104"/>
      <c r="B18" s="890" t="s">
        <v>1133</v>
      </c>
      <c r="C18" s="104"/>
      <c r="D18" s="104"/>
      <c r="E18" s="1078"/>
      <c r="F18" s="115"/>
      <c r="G18" s="1078"/>
      <c r="H18" s="115"/>
      <c r="I18" s="1078"/>
      <c r="J18" s="115"/>
      <c r="K18" s="1078"/>
      <c r="L18" s="115"/>
      <c r="M18" s="115"/>
      <c r="N18" s="115"/>
      <c r="O18" s="1078"/>
      <c r="P18" s="115"/>
      <c r="Q18" s="1078"/>
      <c r="R18" s="115"/>
      <c r="S18" s="1078"/>
      <c r="T18" s="115"/>
      <c r="U18" s="1078"/>
      <c r="V18" s="115"/>
      <c r="W18" s="1078"/>
      <c r="X18" s="115"/>
      <c r="Y18" s="1078"/>
      <c r="Z18" s="115"/>
      <c r="AA18" s="1078"/>
      <c r="AB18" s="115"/>
      <c r="AC18" s="676"/>
      <c r="AD18" s="3207"/>
      <c r="AE18" s="1083"/>
      <c r="AF18" s="65"/>
      <c r="AG18" s="115"/>
      <c r="AH18" s="116"/>
      <c r="AI18" s="1080"/>
      <c r="AJ18" s="116"/>
      <c r="AK18" s="1081"/>
      <c r="AL18" s="1726"/>
    </row>
    <row r="19" spans="1:38" s="991" customFormat="1">
      <c r="A19" s="992"/>
      <c r="B19" s="890" t="s">
        <v>1048</v>
      </c>
      <c r="C19" s="992"/>
      <c r="D19" s="992"/>
      <c r="E19" s="1538">
        <v>0</v>
      </c>
      <c r="F19" s="893"/>
      <c r="G19" s="1538">
        <v>0</v>
      </c>
      <c r="H19" s="893"/>
      <c r="I19" s="1538">
        <v>0</v>
      </c>
      <c r="J19" s="893"/>
      <c r="K19" s="1538">
        <v>0</v>
      </c>
      <c r="L19" s="893"/>
      <c r="M19" s="1538">
        <v>0</v>
      </c>
      <c r="N19" s="893"/>
      <c r="O19" s="1538">
        <v>0</v>
      </c>
      <c r="P19" s="893"/>
      <c r="Q19" s="1538">
        <f>$AD19-$E19-$G19-$I19-$K19-$M19-$O19</f>
        <v>0</v>
      </c>
      <c r="R19" s="893"/>
      <c r="S19" s="1538"/>
      <c r="T19" s="1412"/>
      <c r="U19" s="1538"/>
      <c r="V19" s="893"/>
      <c r="W19" s="1538"/>
      <c r="X19" s="893"/>
      <c r="Y19" s="1538"/>
      <c r="Z19" s="893"/>
      <c r="AA19" s="1538"/>
      <c r="AB19" s="893"/>
      <c r="AC19" s="1413"/>
      <c r="AD19" s="1538">
        <v>0</v>
      </c>
      <c r="AE19" s="3208"/>
      <c r="AF19" s="1022"/>
      <c r="AG19" s="1538">
        <v>0</v>
      </c>
      <c r="AH19" s="682"/>
      <c r="AI19" s="1931"/>
      <c r="AJ19" s="682">
        <f>ROUND(AD19-AG19,1)</f>
        <v>0</v>
      </c>
      <c r="AK19" s="1722"/>
      <c r="AL19" s="1723">
        <f>ROUND(IF(AG19=0,0,AJ19/ABS(AG19)),3)</f>
        <v>0</v>
      </c>
    </row>
    <row r="20" spans="1:38" s="991" customFormat="1">
      <c r="A20" s="992"/>
      <c r="B20" s="890" t="s">
        <v>1134</v>
      </c>
      <c r="C20" s="992"/>
      <c r="D20" s="992"/>
      <c r="E20" s="1538" t="s">
        <v>15</v>
      </c>
      <c r="F20" s="893"/>
      <c r="G20" s="1538"/>
      <c r="H20" s="893"/>
      <c r="I20" s="1538"/>
      <c r="J20" s="893"/>
      <c r="K20" s="1538"/>
      <c r="L20" s="893"/>
      <c r="M20" s="1538"/>
      <c r="N20" s="893"/>
      <c r="O20" s="1538"/>
      <c r="P20" s="893"/>
      <c r="Q20" s="1538"/>
      <c r="R20" s="893"/>
      <c r="S20" s="1538"/>
      <c r="T20" s="893"/>
      <c r="U20" s="1538"/>
      <c r="V20" s="893"/>
      <c r="W20" s="1538"/>
      <c r="X20" s="893"/>
      <c r="Y20" s="1538"/>
      <c r="Z20" s="893"/>
      <c r="AA20" s="1538"/>
      <c r="AB20" s="893"/>
      <c r="AC20" s="1413"/>
      <c r="AD20" s="893"/>
      <c r="AE20" s="3208"/>
      <c r="AF20" s="1022"/>
      <c r="AG20" s="893"/>
      <c r="AH20" s="682"/>
      <c r="AI20" s="1080"/>
      <c r="AJ20" s="682" t="s">
        <v>15</v>
      </c>
      <c r="AK20" s="1722"/>
      <c r="AL20" s="1724" t="s">
        <v>15</v>
      </c>
    </row>
    <row r="21" spans="1:38" s="991" customFormat="1">
      <c r="A21" s="992"/>
      <c r="B21" s="890" t="s">
        <v>1049</v>
      </c>
      <c r="C21" s="992"/>
      <c r="D21" s="992"/>
      <c r="E21" s="1538">
        <v>0</v>
      </c>
      <c r="F21" s="893"/>
      <c r="G21" s="1538">
        <v>0</v>
      </c>
      <c r="H21" s="893"/>
      <c r="I21" s="1538">
        <v>0</v>
      </c>
      <c r="J21" s="893"/>
      <c r="K21" s="1538">
        <v>0</v>
      </c>
      <c r="L21" s="893"/>
      <c r="M21" s="1538">
        <v>0</v>
      </c>
      <c r="N21" s="893"/>
      <c r="O21" s="1538">
        <v>0</v>
      </c>
      <c r="P21" s="893"/>
      <c r="Q21" s="1538">
        <f t="shared" ref="Q21:Q41" si="0">$AD21-$E21-$G21-$I21-$K21-$M21-$O21</f>
        <v>0</v>
      </c>
      <c r="R21" s="893"/>
      <c r="S21" s="1538"/>
      <c r="T21" s="1538"/>
      <c r="U21" s="1538"/>
      <c r="V21" s="893"/>
      <c r="W21" s="1538"/>
      <c r="X21" s="893"/>
      <c r="Y21" s="1538"/>
      <c r="Z21" s="893"/>
      <c r="AA21" s="1538"/>
      <c r="AB21" s="893"/>
      <c r="AC21" s="1413"/>
      <c r="AD21" s="1538">
        <v>0</v>
      </c>
      <c r="AE21" s="3208"/>
      <c r="AF21" s="1022"/>
      <c r="AG21" s="1538">
        <v>0</v>
      </c>
      <c r="AH21" s="682"/>
      <c r="AI21" s="1080"/>
      <c r="AJ21" s="682">
        <f t="shared" ref="AJ21:AJ41" si="1">ROUND(AD21-AG21,1)</f>
        <v>0</v>
      </c>
      <c r="AK21" s="1722"/>
      <c r="AL21" s="1724">
        <f>ROUND(IF(AG21=0,0,AJ21/ABS(AG21)),3)</f>
        <v>0</v>
      </c>
    </row>
    <row r="22" spans="1:38" s="991" customFormat="1">
      <c r="A22" s="992"/>
      <c r="B22" s="890" t="s">
        <v>1139</v>
      </c>
      <c r="C22" s="992"/>
      <c r="D22" s="992"/>
      <c r="E22" s="1538" t="s">
        <v>15</v>
      </c>
      <c r="F22" s="893"/>
      <c r="G22" s="1538"/>
      <c r="H22" s="893"/>
      <c r="I22" s="1538"/>
      <c r="J22" s="893"/>
      <c r="K22" s="1538"/>
      <c r="L22" s="893"/>
      <c r="M22" s="1538"/>
      <c r="N22" s="893"/>
      <c r="O22" s="1538"/>
      <c r="P22" s="893"/>
      <c r="Q22" s="1538"/>
      <c r="R22" s="893"/>
      <c r="S22" s="1538"/>
      <c r="T22" s="893"/>
      <c r="U22" s="1538"/>
      <c r="V22" s="893"/>
      <c r="W22" s="1538"/>
      <c r="X22" s="893"/>
      <c r="Y22" s="1538"/>
      <c r="Z22" s="893"/>
      <c r="AA22" s="1538"/>
      <c r="AB22" s="893"/>
      <c r="AC22" s="1413"/>
      <c r="AD22" s="893"/>
      <c r="AE22" s="3208"/>
      <c r="AF22" s="1022"/>
      <c r="AG22" s="893"/>
      <c r="AH22" s="682"/>
      <c r="AI22" s="1080"/>
      <c r="AJ22" s="682" t="s">
        <v>15</v>
      </c>
      <c r="AK22" s="1722"/>
      <c r="AL22" s="1724" t="s">
        <v>15</v>
      </c>
    </row>
    <row r="23" spans="1:38" s="991" customFormat="1">
      <c r="A23" s="992"/>
      <c r="B23" s="890" t="s">
        <v>1053</v>
      </c>
      <c r="C23" s="992"/>
      <c r="D23" s="992"/>
      <c r="E23" s="1538">
        <v>0</v>
      </c>
      <c r="F23" s="893"/>
      <c r="G23" s="1538">
        <v>0</v>
      </c>
      <c r="H23" s="893"/>
      <c r="I23" s="1538">
        <v>0</v>
      </c>
      <c r="J23" s="893"/>
      <c r="K23" s="1538">
        <v>0</v>
      </c>
      <c r="L23" s="893"/>
      <c r="M23" s="1538">
        <v>0</v>
      </c>
      <c r="N23" s="893"/>
      <c r="O23" s="1538">
        <v>0</v>
      </c>
      <c r="P23" s="893"/>
      <c r="Q23" s="1538">
        <f t="shared" si="0"/>
        <v>0</v>
      </c>
      <c r="R23" s="893"/>
      <c r="S23" s="1538"/>
      <c r="T23" s="1538"/>
      <c r="U23" s="1538"/>
      <c r="V23" s="893"/>
      <c r="W23" s="1538"/>
      <c r="X23" s="893"/>
      <c r="Y23" s="1538"/>
      <c r="Z23" s="893"/>
      <c r="AA23" s="1538"/>
      <c r="AB23" s="893"/>
      <c r="AC23" s="1413"/>
      <c r="AD23" s="1538">
        <v>0</v>
      </c>
      <c r="AE23" s="3208"/>
      <c r="AF23" s="1022"/>
      <c r="AG23" s="1538">
        <v>0</v>
      </c>
      <c r="AH23" s="682"/>
      <c r="AI23" s="1080"/>
      <c r="AJ23" s="682">
        <f t="shared" si="1"/>
        <v>0</v>
      </c>
      <c r="AK23" s="1722"/>
      <c r="AL23" s="1724">
        <f t="shared" ref="AL23:AL28" si="2">ROUND(IF(AG23=0,0,AJ23/ABS(AG23)),3)</f>
        <v>0</v>
      </c>
    </row>
    <row r="24" spans="1:38" s="991" customFormat="1">
      <c r="A24" s="992"/>
      <c r="B24" s="890" t="s">
        <v>1197</v>
      </c>
      <c r="C24" s="992"/>
      <c r="D24" s="992"/>
      <c r="E24" s="1538">
        <v>0</v>
      </c>
      <c r="F24" s="893"/>
      <c r="G24" s="1538">
        <v>0</v>
      </c>
      <c r="H24" s="893"/>
      <c r="I24" s="1538">
        <v>0</v>
      </c>
      <c r="J24" s="893"/>
      <c r="K24" s="1538">
        <v>0</v>
      </c>
      <c r="L24" s="893"/>
      <c r="M24" s="1538">
        <v>0</v>
      </c>
      <c r="N24" s="893"/>
      <c r="O24" s="1538">
        <v>0</v>
      </c>
      <c r="P24" s="893"/>
      <c r="Q24" s="1538">
        <f t="shared" si="0"/>
        <v>0</v>
      </c>
      <c r="R24" s="893"/>
      <c r="S24" s="1538"/>
      <c r="T24" s="1538"/>
      <c r="U24" s="1538"/>
      <c r="V24" s="893"/>
      <c r="W24" s="1538"/>
      <c r="X24" s="893"/>
      <c r="Y24" s="1538"/>
      <c r="Z24" s="893"/>
      <c r="AA24" s="1538"/>
      <c r="AB24" s="893"/>
      <c r="AC24" s="1413"/>
      <c r="AD24" s="1538">
        <v>0</v>
      </c>
      <c r="AE24" s="3208"/>
      <c r="AF24" s="1022"/>
      <c r="AG24" s="1538">
        <v>0</v>
      </c>
      <c r="AH24" s="682"/>
      <c r="AI24" s="1080"/>
      <c r="AJ24" s="682">
        <f>ROUND(AD24-AG24,1)</f>
        <v>0</v>
      </c>
      <c r="AK24" s="1722"/>
      <c r="AL24" s="1724">
        <f t="shared" si="2"/>
        <v>0</v>
      </c>
    </row>
    <row r="25" spans="1:38" s="991" customFormat="1">
      <c r="A25" s="992"/>
      <c r="B25" s="890" t="s">
        <v>1056</v>
      </c>
      <c r="C25" s="992"/>
      <c r="D25" s="992"/>
      <c r="E25" s="1538">
        <v>0</v>
      </c>
      <c r="F25" s="893"/>
      <c r="G25" s="1538">
        <v>0</v>
      </c>
      <c r="H25" s="893"/>
      <c r="I25" s="1538">
        <v>0</v>
      </c>
      <c r="J25" s="893"/>
      <c r="K25" s="1538">
        <v>0</v>
      </c>
      <c r="L25" s="893"/>
      <c r="M25" s="1538">
        <v>0</v>
      </c>
      <c r="N25" s="893"/>
      <c r="O25" s="1538">
        <v>0</v>
      </c>
      <c r="P25" s="893"/>
      <c r="Q25" s="1538">
        <f t="shared" si="0"/>
        <v>0</v>
      </c>
      <c r="R25" s="893"/>
      <c r="S25" s="1538"/>
      <c r="T25" s="1538"/>
      <c r="U25" s="1538"/>
      <c r="V25" s="893"/>
      <c r="W25" s="1538"/>
      <c r="X25" s="893"/>
      <c r="Y25" s="1538"/>
      <c r="Z25" s="893"/>
      <c r="AA25" s="1538"/>
      <c r="AB25" s="893"/>
      <c r="AC25" s="1413"/>
      <c r="AD25" s="1538">
        <v>0</v>
      </c>
      <c r="AE25" s="3208"/>
      <c r="AF25" s="1022"/>
      <c r="AG25" s="1538">
        <v>0</v>
      </c>
      <c r="AH25" s="682"/>
      <c r="AI25" s="1080"/>
      <c r="AJ25" s="682">
        <f t="shared" si="1"/>
        <v>0</v>
      </c>
      <c r="AK25" s="1722"/>
      <c r="AL25" s="1724">
        <f t="shared" si="2"/>
        <v>0</v>
      </c>
    </row>
    <row r="26" spans="1:38" s="991" customFormat="1">
      <c r="A26" s="992"/>
      <c r="B26" s="890" t="s">
        <v>1057</v>
      </c>
      <c r="C26" s="992"/>
      <c r="D26" s="992"/>
      <c r="E26" s="1538">
        <v>0</v>
      </c>
      <c r="F26" s="893"/>
      <c r="G26" s="1538">
        <v>0</v>
      </c>
      <c r="H26" s="893"/>
      <c r="I26" s="1538">
        <v>0</v>
      </c>
      <c r="J26" s="893"/>
      <c r="K26" s="1538">
        <v>0</v>
      </c>
      <c r="L26" s="893"/>
      <c r="M26" s="1538">
        <v>0</v>
      </c>
      <c r="N26" s="893"/>
      <c r="O26" s="1538">
        <v>0</v>
      </c>
      <c r="P26" s="893"/>
      <c r="Q26" s="1538">
        <f t="shared" si="0"/>
        <v>0</v>
      </c>
      <c r="R26" s="893"/>
      <c r="S26" s="1538"/>
      <c r="T26" s="1538"/>
      <c r="U26" s="1538"/>
      <c r="V26" s="893"/>
      <c r="W26" s="1538"/>
      <c r="X26" s="893"/>
      <c r="Y26" s="1538"/>
      <c r="Z26" s="893"/>
      <c r="AA26" s="1538"/>
      <c r="AB26" s="893"/>
      <c r="AC26" s="1413"/>
      <c r="AD26" s="1538">
        <v>0</v>
      </c>
      <c r="AE26" s="3208"/>
      <c r="AF26" s="1022"/>
      <c r="AG26" s="1538">
        <v>0</v>
      </c>
      <c r="AH26" s="682"/>
      <c r="AI26" s="1080"/>
      <c r="AJ26" s="682">
        <f t="shared" si="1"/>
        <v>0</v>
      </c>
      <c r="AK26" s="1722"/>
      <c r="AL26" s="1724">
        <f t="shared" si="2"/>
        <v>0</v>
      </c>
    </row>
    <row r="27" spans="1:38" s="991" customFormat="1">
      <c r="A27" s="992"/>
      <c r="B27" s="890" t="s">
        <v>1015</v>
      </c>
      <c r="C27" s="992"/>
      <c r="D27" s="992"/>
      <c r="E27" s="1538">
        <v>0</v>
      </c>
      <c r="F27" s="893"/>
      <c r="G27" s="1538">
        <v>0</v>
      </c>
      <c r="H27" s="893"/>
      <c r="I27" s="1538">
        <v>0</v>
      </c>
      <c r="J27" s="893"/>
      <c r="K27" s="1538">
        <v>0</v>
      </c>
      <c r="L27" s="893"/>
      <c r="M27" s="1538">
        <v>0</v>
      </c>
      <c r="N27" s="893"/>
      <c r="O27" s="1538">
        <v>0</v>
      </c>
      <c r="P27" s="893"/>
      <c r="Q27" s="1538">
        <f t="shared" si="0"/>
        <v>0</v>
      </c>
      <c r="R27" s="893"/>
      <c r="S27" s="1538"/>
      <c r="T27" s="1538"/>
      <c r="U27" s="1538"/>
      <c r="V27" s="893"/>
      <c r="W27" s="1538"/>
      <c r="X27" s="893"/>
      <c r="Y27" s="1538"/>
      <c r="Z27" s="893"/>
      <c r="AA27" s="1538"/>
      <c r="AB27" s="893"/>
      <c r="AC27" s="1413"/>
      <c r="AD27" s="1538">
        <v>0</v>
      </c>
      <c r="AE27" s="3208"/>
      <c r="AF27" s="1022"/>
      <c r="AG27" s="1538">
        <v>0</v>
      </c>
      <c r="AH27" s="682"/>
      <c r="AI27" s="1080"/>
      <c r="AJ27" s="682">
        <f t="shared" si="1"/>
        <v>0</v>
      </c>
      <c r="AK27" s="1722"/>
      <c r="AL27" s="1724">
        <f t="shared" si="2"/>
        <v>0</v>
      </c>
    </row>
    <row r="28" spans="1:38" s="991" customFormat="1">
      <c r="A28" s="992"/>
      <c r="B28" s="890" t="s">
        <v>1016</v>
      </c>
      <c r="C28" s="992"/>
      <c r="D28" s="992"/>
      <c r="E28" s="1538">
        <v>0</v>
      </c>
      <c r="F28" s="893"/>
      <c r="G28" s="1538">
        <v>0</v>
      </c>
      <c r="H28" s="893"/>
      <c r="I28" s="1538">
        <v>0</v>
      </c>
      <c r="J28" s="893"/>
      <c r="K28" s="1538">
        <v>0</v>
      </c>
      <c r="L28" s="893"/>
      <c r="M28" s="1538">
        <v>0</v>
      </c>
      <c r="N28" s="893"/>
      <c r="O28" s="1538">
        <v>0</v>
      </c>
      <c r="P28" s="893"/>
      <c r="Q28" s="1538">
        <f t="shared" si="0"/>
        <v>0</v>
      </c>
      <c r="R28" s="893"/>
      <c r="S28" s="1538"/>
      <c r="T28" s="1538"/>
      <c r="U28" s="1538"/>
      <c r="V28" s="893"/>
      <c r="W28" s="1538"/>
      <c r="X28" s="893"/>
      <c r="Y28" s="1538"/>
      <c r="Z28" s="893"/>
      <c r="AA28" s="1538"/>
      <c r="AB28" s="893"/>
      <c r="AC28" s="1413"/>
      <c r="AD28" s="1538">
        <v>0</v>
      </c>
      <c r="AE28" s="3208"/>
      <c r="AF28" s="1022"/>
      <c r="AG28" s="1538">
        <v>0</v>
      </c>
      <c r="AH28" s="682"/>
      <c r="AI28" s="1080"/>
      <c r="AJ28" s="682">
        <f t="shared" si="1"/>
        <v>0</v>
      </c>
      <c r="AK28" s="1722"/>
      <c r="AL28" s="1724">
        <f t="shared" si="2"/>
        <v>0</v>
      </c>
    </row>
    <row r="29" spans="1:38" s="991" customFormat="1">
      <c r="A29" s="992"/>
      <c r="B29" s="890" t="s">
        <v>1137</v>
      </c>
      <c r="C29" s="992"/>
      <c r="D29" s="992"/>
      <c r="E29" s="1538" t="s">
        <v>15</v>
      </c>
      <c r="F29" s="893"/>
      <c r="G29" s="1538"/>
      <c r="H29" s="893"/>
      <c r="I29" s="1538"/>
      <c r="J29" s="893"/>
      <c r="K29" s="1538"/>
      <c r="L29" s="893"/>
      <c r="M29" s="1538"/>
      <c r="N29" s="893"/>
      <c r="O29" s="1538"/>
      <c r="P29" s="893"/>
      <c r="Q29" s="1538"/>
      <c r="R29" s="893"/>
      <c r="S29" s="1538"/>
      <c r="T29" s="893"/>
      <c r="U29" s="1538"/>
      <c r="V29" s="893"/>
      <c r="W29" s="1538"/>
      <c r="X29" s="893"/>
      <c r="Y29" s="1538"/>
      <c r="Z29" s="893"/>
      <c r="AA29" s="1538"/>
      <c r="AB29" s="893"/>
      <c r="AC29" s="1413"/>
      <c r="AD29" s="893"/>
      <c r="AE29" s="3208"/>
      <c r="AF29" s="1022"/>
      <c r="AG29" s="893"/>
      <c r="AH29" s="682"/>
      <c r="AI29" s="1080"/>
      <c r="AJ29" s="682" t="s">
        <v>15</v>
      </c>
      <c r="AK29" s="1722"/>
      <c r="AL29" s="1724" t="s">
        <v>15</v>
      </c>
    </row>
    <row r="30" spans="1:38" s="991" customFormat="1">
      <c r="A30" s="992"/>
      <c r="B30" s="890" t="s">
        <v>1061</v>
      </c>
      <c r="C30" s="992"/>
      <c r="D30" s="992"/>
      <c r="E30" s="1538">
        <v>0</v>
      </c>
      <c r="F30" s="893"/>
      <c r="G30" s="1538">
        <v>0</v>
      </c>
      <c r="H30" s="893"/>
      <c r="I30" s="1538">
        <v>0</v>
      </c>
      <c r="J30" s="893"/>
      <c r="K30" s="1538">
        <v>0</v>
      </c>
      <c r="L30" s="893"/>
      <c r="M30" s="1538">
        <v>0</v>
      </c>
      <c r="N30" s="893"/>
      <c r="O30" s="1538">
        <v>0</v>
      </c>
      <c r="P30" s="893"/>
      <c r="Q30" s="1538">
        <f t="shared" si="0"/>
        <v>0</v>
      </c>
      <c r="R30" s="893"/>
      <c r="S30" s="1538"/>
      <c r="T30" s="1538"/>
      <c r="U30" s="1538"/>
      <c r="V30" s="893"/>
      <c r="W30" s="1538"/>
      <c r="X30" s="893"/>
      <c r="Y30" s="1538"/>
      <c r="Z30" s="893"/>
      <c r="AA30" s="1538"/>
      <c r="AB30" s="893"/>
      <c r="AC30" s="1413"/>
      <c r="AD30" s="1538">
        <v>0</v>
      </c>
      <c r="AE30" s="3208"/>
      <c r="AF30" s="1022"/>
      <c r="AG30" s="1538">
        <v>0</v>
      </c>
      <c r="AH30" s="682"/>
      <c r="AI30" s="1080"/>
      <c r="AJ30" s="682">
        <f t="shared" si="1"/>
        <v>0</v>
      </c>
      <c r="AK30" s="1722"/>
      <c r="AL30" s="1724">
        <f>ROUND(IF(AG30=0,0,AJ30/ABS(AG30)),3)</f>
        <v>0</v>
      </c>
    </row>
    <row r="31" spans="1:38" s="991" customFormat="1">
      <c r="A31" s="992"/>
      <c r="B31" s="890" t="s">
        <v>1063</v>
      </c>
      <c r="C31" s="992"/>
      <c r="D31" s="992"/>
      <c r="E31" s="1538">
        <v>0</v>
      </c>
      <c r="F31" s="1538"/>
      <c r="G31" s="1538">
        <v>0</v>
      </c>
      <c r="H31" s="1538"/>
      <c r="I31" s="1538">
        <v>0</v>
      </c>
      <c r="J31" s="1538"/>
      <c r="K31" s="1538">
        <v>0</v>
      </c>
      <c r="L31" s="1538"/>
      <c r="M31" s="1538">
        <v>0</v>
      </c>
      <c r="N31" s="893"/>
      <c r="O31" s="1538">
        <v>0</v>
      </c>
      <c r="P31" s="893"/>
      <c r="Q31" s="1538">
        <f t="shared" si="0"/>
        <v>0</v>
      </c>
      <c r="R31" s="893"/>
      <c r="S31" s="1538"/>
      <c r="T31" s="1538"/>
      <c r="U31" s="1538"/>
      <c r="V31" s="893"/>
      <c r="W31" s="1538"/>
      <c r="X31" s="893"/>
      <c r="Y31" s="1538"/>
      <c r="Z31" s="893"/>
      <c r="AA31" s="1538"/>
      <c r="AB31" s="893"/>
      <c r="AC31" s="1413"/>
      <c r="AD31" s="1538">
        <v>0</v>
      </c>
      <c r="AE31" s="3208"/>
      <c r="AF31" s="1022"/>
      <c r="AG31" s="1538">
        <v>0</v>
      </c>
      <c r="AH31" s="682"/>
      <c r="AI31" s="1080"/>
      <c r="AJ31" s="682">
        <f t="shared" si="1"/>
        <v>0</v>
      </c>
      <c r="AK31" s="1722"/>
      <c r="AL31" s="1724">
        <f>ROUND(IF(AG31=0,0,AJ31/ABS(AG31)),3)</f>
        <v>0</v>
      </c>
    </row>
    <row r="32" spans="1:38" s="991" customFormat="1">
      <c r="A32" s="992"/>
      <c r="B32" s="890" t="s">
        <v>1064</v>
      </c>
      <c r="C32" s="992"/>
      <c r="D32" s="992"/>
      <c r="E32" s="1538">
        <v>0</v>
      </c>
      <c r="F32" s="893"/>
      <c r="G32" s="1538">
        <v>0</v>
      </c>
      <c r="H32" s="893"/>
      <c r="I32" s="1538">
        <v>0</v>
      </c>
      <c r="J32" s="893"/>
      <c r="K32" s="1538">
        <v>0</v>
      </c>
      <c r="L32" s="893"/>
      <c r="M32" s="1538">
        <v>0</v>
      </c>
      <c r="N32" s="893"/>
      <c r="O32" s="1538">
        <v>0</v>
      </c>
      <c r="P32" s="893"/>
      <c r="Q32" s="1538">
        <f t="shared" si="0"/>
        <v>0</v>
      </c>
      <c r="R32" s="893"/>
      <c r="S32" s="1538"/>
      <c r="T32" s="1538"/>
      <c r="U32" s="1538"/>
      <c r="V32" s="893"/>
      <c r="W32" s="1538"/>
      <c r="X32" s="893"/>
      <c r="Y32" s="1538"/>
      <c r="Z32" s="893"/>
      <c r="AA32" s="1538"/>
      <c r="AB32" s="893"/>
      <c r="AC32" s="1413"/>
      <c r="AD32" s="1538">
        <v>0</v>
      </c>
      <c r="AE32" s="3208"/>
      <c r="AF32" s="1022"/>
      <c r="AG32" s="1538">
        <v>0</v>
      </c>
      <c r="AH32" s="682"/>
      <c r="AI32" s="1080"/>
      <c r="AJ32" s="682">
        <f>ROUND(AD32-AG32,1)</f>
        <v>0</v>
      </c>
      <c r="AK32" s="1722"/>
      <c r="AL32" s="1724">
        <f>ROUND(IF(AG32=0,0,AJ32/ABS(AG32)),3)</f>
        <v>0</v>
      </c>
    </row>
    <row r="33" spans="1:39">
      <c r="A33" s="104"/>
      <c r="B33" s="890" t="s">
        <v>1034</v>
      </c>
      <c r="C33" s="104"/>
      <c r="D33" s="104"/>
      <c r="E33" s="1538">
        <v>0</v>
      </c>
      <c r="F33" s="893"/>
      <c r="G33" s="1538">
        <v>0</v>
      </c>
      <c r="H33" s="893"/>
      <c r="I33" s="1538">
        <v>0</v>
      </c>
      <c r="J33" s="893"/>
      <c r="K33" s="1538">
        <v>0</v>
      </c>
      <c r="L33" s="893"/>
      <c r="M33" s="1538">
        <v>0</v>
      </c>
      <c r="N33" s="893"/>
      <c r="O33" s="1538">
        <v>0</v>
      </c>
      <c r="P33" s="893"/>
      <c r="Q33" s="1538">
        <f t="shared" si="0"/>
        <v>0</v>
      </c>
      <c r="R33" s="893"/>
      <c r="S33" s="1538"/>
      <c r="T33" s="1538"/>
      <c r="U33" s="1538"/>
      <c r="V33" s="893"/>
      <c r="W33" s="1538"/>
      <c r="X33" s="893"/>
      <c r="Y33" s="1538"/>
      <c r="Z33" s="893"/>
      <c r="AA33" s="1538"/>
      <c r="AB33" s="893"/>
      <c r="AC33" s="1413"/>
      <c r="AD33" s="1538">
        <v>0</v>
      </c>
      <c r="AE33" s="3208"/>
      <c r="AF33" s="1022"/>
      <c r="AG33" s="1538">
        <v>0</v>
      </c>
      <c r="AH33" s="116"/>
      <c r="AI33" s="1080"/>
      <c r="AJ33" s="116">
        <f t="shared" si="1"/>
        <v>0</v>
      </c>
      <c r="AK33" s="1081"/>
      <c r="AL33" s="1726">
        <f>ROUND(IF(AG33=0,0,AJ33/ABS(AG33)),3)</f>
        <v>0</v>
      </c>
    </row>
    <row r="34" spans="1:39">
      <c r="A34" s="104"/>
      <c r="B34" s="890" t="s">
        <v>1035</v>
      </c>
      <c r="C34" s="104"/>
      <c r="D34" s="104"/>
      <c r="E34" s="1538">
        <v>0.1</v>
      </c>
      <c r="F34" s="893"/>
      <c r="G34" s="1538">
        <v>0</v>
      </c>
      <c r="H34" s="893"/>
      <c r="I34" s="1538">
        <v>0.1</v>
      </c>
      <c r="J34" s="893"/>
      <c r="K34" s="1538">
        <v>0</v>
      </c>
      <c r="L34" s="893"/>
      <c r="M34" s="1538">
        <v>9.9999999999999978E-2</v>
      </c>
      <c r="N34" s="893"/>
      <c r="O34" s="1538">
        <v>0.10000000000000006</v>
      </c>
      <c r="P34" s="893"/>
      <c r="Q34" s="1538">
        <f t="shared" si="0"/>
        <v>0.1</v>
      </c>
      <c r="R34" s="893"/>
      <c r="S34" s="1538"/>
      <c r="T34" s="1538"/>
      <c r="U34" s="1538"/>
      <c r="V34" s="893"/>
      <c r="W34" s="1538"/>
      <c r="X34" s="893"/>
      <c r="Y34" s="1538"/>
      <c r="Z34" s="893"/>
      <c r="AA34" s="1538"/>
      <c r="AB34" s="893"/>
      <c r="AC34" s="1413"/>
      <c r="AD34" s="1538">
        <v>0.5</v>
      </c>
      <c r="AE34" s="3208"/>
      <c r="AF34" s="1022"/>
      <c r="AG34" s="1538">
        <v>0.5</v>
      </c>
      <c r="AH34" s="116"/>
      <c r="AI34" s="1080"/>
      <c r="AJ34" s="116">
        <f t="shared" si="1"/>
        <v>0</v>
      </c>
      <c r="AK34" s="1081"/>
      <c r="AL34" s="1649">
        <f>ROUND(IF(AG34=0,1,AJ34/ABS(AG34)),3)</f>
        <v>0</v>
      </c>
    </row>
    <row r="35" spans="1:39">
      <c r="A35" s="104"/>
      <c r="B35" s="890" t="s">
        <v>1138</v>
      </c>
      <c r="C35" s="104"/>
      <c r="D35" s="104"/>
      <c r="E35" s="1538" t="s">
        <v>15</v>
      </c>
      <c r="F35" s="893"/>
      <c r="G35" s="1538"/>
      <c r="H35" s="893"/>
      <c r="I35" s="1538"/>
      <c r="J35" s="893"/>
      <c r="K35" s="1538"/>
      <c r="L35" s="893"/>
      <c r="M35" s="1538"/>
      <c r="N35" s="115"/>
      <c r="O35" s="1538"/>
      <c r="P35" s="115"/>
      <c r="Q35" s="1538"/>
      <c r="R35" s="115"/>
      <c r="S35" s="1538"/>
      <c r="T35" s="115"/>
      <c r="U35" s="1538"/>
      <c r="V35" s="115"/>
      <c r="W35" s="1538"/>
      <c r="X35" s="115"/>
      <c r="Y35" s="1538"/>
      <c r="Z35" s="115"/>
      <c r="AA35" s="1538"/>
      <c r="AB35" s="115"/>
      <c r="AC35" s="676"/>
      <c r="AD35" s="115"/>
      <c r="AE35" s="1083"/>
      <c r="AF35" s="65"/>
      <c r="AG35" s="115"/>
      <c r="AH35" s="116"/>
      <c r="AI35" s="1080"/>
      <c r="AJ35" s="682" t="s">
        <v>15</v>
      </c>
      <c r="AK35" s="1081"/>
      <c r="AL35" s="1724" t="s">
        <v>15</v>
      </c>
    </row>
    <row r="36" spans="1:39">
      <c r="A36" s="104"/>
      <c r="B36" s="890" t="s">
        <v>1065</v>
      </c>
      <c r="C36" s="104"/>
      <c r="D36" s="104"/>
      <c r="E36" s="1538">
        <v>0</v>
      </c>
      <c r="F36" s="893"/>
      <c r="G36" s="1538">
        <v>0</v>
      </c>
      <c r="H36" s="893"/>
      <c r="I36" s="1538">
        <v>0</v>
      </c>
      <c r="J36" s="893"/>
      <c r="K36" s="1538">
        <v>0</v>
      </c>
      <c r="L36" s="893"/>
      <c r="M36" s="1538">
        <v>0</v>
      </c>
      <c r="N36" s="893"/>
      <c r="O36" s="1538">
        <v>0</v>
      </c>
      <c r="P36" s="893"/>
      <c r="Q36" s="1538">
        <f t="shared" si="0"/>
        <v>0</v>
      </c>
      <c r="R36" s="893"/>
      <c r="S36" s="1538"/>
      <c r="T36" s="1538"/>
      <c r="U36" s="1538"/>
      <c r="V36" s="893"/>
      <c r="W36" s="1538"/>
      <c r="X36" s="893"/>
      <c r="Y36" s="1538"/>
      <c r="Z36" s="893"/>
      <c r="AA36" s="1538"/>
      <c r="AB36" s="893"/>
      <c r="AC36" s="1413"/>
      <c r="AD36" s="1538">
        <v>0</v>
      </c>
      <c r="AE36" s="3208"/>
      <c r="AF36" s="1022"/>
      <c r="AG36" s="1538">
        <v>0</v>
      </c>
      <c r="AH36" s="116"/>
      <c r="AI36" s="1080"/>
      <c r="AJ36" s="116">
        <f t="shared" si="1"/>
        <v>0</v>
      </c>
      <c r="AK36" s="1081"/>
      <c r="AL36" s="1726">
        <f t="shared" ref="AL36:AL42" si="3">ROUND(IF(AG36=0,0,AJ36/ABS(AG36)),3)</f>
        <v>0</v>
      </c>
    </row>
    <row r="37" spans="1:39">
      <c r="A37" s="104"/>
      <c r="B37" s="890" t="s">
        <v>1067</v>
      </c>
      <c r="C37" s="104"/>
      <c r="D37" s="104"/>
      <c r="E37" s="1538">
        <v>0</v>
      </c>
      <c r="F37" s="893"/>
      <c r="G37" s="1538">
        <v>0</v>
      </c>
      <c r="H37" s="893"/>
      <c r="I37" s="1538">
        <v>0</v>
      </c>
      <c r="J37" s="893"/>
      <c r="K37" s="1538">
        <v>0</v>
      </c>
      <c r="L37" s="893"/>
      <c r="M37" s="1538">
        <v>0</v>
      </c>
      <c r="N37" s="893"/>
      <c r="O37" s="1538">
        <v>0</v>
      </c>
      <c r="P37" s="893"/>
      <c r="Q37" s="1538">
        <f t="shared" si="0"/>
        <v>0</v>
      </c>
      <c r="R37" s="893"/>
      <c r="S37" s="1538"/>
      <c r="T37" s="1538"/>
      <c r="U37" s="1538"/>
      <c r="V37" s="893"/>
      <c r="W37" s="1538"/>
      <c r="X37" s="893"/>
      <c r="Y37" s="1538"/>
      <c r="Z37" s="893"/>
      <c r="AA37" s="1538"/>
      <c r="AB37" s="893"/>
      <c r="AC37" s="1413"/>
      <c r="AD37" s="1538">
        <v>0</v>
      </c>
      <c r="AE37" s="3208"/>
      <c r="AF37" s="1022"/>
      <c r="AG37" s="1538">
        <v>0</v>
      </c>
      <c r="AH37" s="116"/>
      <c r="AI37" s="1080"/>
      <c r="AJ37" s="116">
        <f t="shared" si="1"/>
        <v>0</v>
      </c>
      <c r="AK37" s="1081"/>
      <c r="AL37" s="1726">
        <f t="shared" si="3"/>
        <v>0</v>
      </c>
    </row>
    <row r="38" spans="1:39">
      <c r="A38" s="104"/>
      <c r="B38" s="890" t="s">
        <v>1068</v>
      </c>
      <c r="C38" s="104"/>
      <c r="D38" s="104"/>
      <c r="E38" s="1538">
        <v>0</v>
      </c>
      <c r="F38" s="893"/>
      <c r="G38" s="1538">
        <v>0</v>
      </c>
      <c r="H38" s="893"/>
      <c r="I38" s="1538">
        <v>0</v>
      </c>
      <c r="J38" s="893"/>
      <c r="K38" s="1538">
        <v>0</v>
      </c>
      <c r="L38" s="893"/>
      <c r="M38" s="1538">
        <v>0</v>
      </c>
      <c r="N38" s="893"/>
      <c r="O38" s="1538">
        <v>0</v>
      </c>
      <c r="P38" s="893"/>
      <c r="Q38" s="1538">
        <f t="shared" si="0"/>
        <v>0</v>
      </c>
      <c r="R38" s="893"/>
      <c r="S38" s="1538"/>
      <c r="T38" s="1538"/>
      <c r="U38" s="1538"/>
      <c r="V38" s="893"/>
      <c r="W38" s="1538"/>
      <c r="X38" s="893"/>
      <c r="Y38" s="1538"/>
      <c r="Z38" s="893"/>
      <c r="AA38" s="1538"/>
      <c r="AB38" s="893"/>
      <c r="AC38" s="1413"/>
      <c r="AD38" s="1538">
        <v>0</v>
      </c>
      <c r="AE38" s="3208"/>
      <c r="AF38" s="1022"/>
      <c r="AG38" s="1538">
        <v>0</v>
      </c>
      <c r="AH38" s="116"/>
      <c r="AI38" s="1080"/>
      <c r="AJ38" s="116">
        <f t="shared" si="1"/>
        <v>0</v>
      </c>
      <c r="AK38" s="1081"/>
      <c r="AL38" s="1726">
        <f t="shared" si="3"/>
        <v>0</v>
      </c>
    </row>
    <row r="39" spans="1:39">
      <c r="A39" s="104"/>
      <c r="B39" s="890" t="s">
        <v>1071</v>
      </c>
      <c r="C39" s="104"/>
      <c r="D39" s="104"/>
      <c r="E39" s="1538">
        <v>0</v>
      </c>
      <c r="F39" s="893"/>
      <c r="G39" s="1538">
        <v>0</v>
      </c>
      <c r="H39" s="893"/>
      <c r="I39" s="1538">
        <v>0</v>
      </c>
      <c r="J39" s="893"/>
      <c r="K39" s="1538">
        <v>0</v>
      </c>
      <c r="L39" s="893"/>
      <c r="M39" s="1538">
        <v>0</v>
      </c>
      <c r="N39" s="893"/>
      <c r="O39" s="1538">
        <v>0</v>
      </c>
      <c r="P39" s="893"/>
      <c r="Q39" s="1538">
        <f t="shared" si="0"/>
        <v>0</v>
      </c>
      <c r="R39" s="893"/>
      <c r="S39" s="1538"/>
      <c r="T39" s="1538"/>
      <c r="U39" s="1538"/>
      <c r="V39" s="893"/>
      <c r="W39" s="1538"/>
      <c r="X39" s="893"/>
      <c r="Y39" s="1538"/>
      <c r="Z39" s="893"/>
      <c r="AA39" s="1538"/>
      <c r="AB39" s="893"/>
      <c r="AC39" s="1413"/>
      <c r="AD39" s="1538">
        <v>0</v>
      </c>
      <c r="AE39" s="3208"/>
      <c r="AF39" s="1022"/>
      <c r="AG39" s="1538">
        <v>0</v>
      </c>
      <c r="AH39" s="116"/>
      <c r="AI39" s="1080"/>
      <c r="AJ39" s="116">
        <f t="shared" si="1"/>
        <v>0</v>
      </c>
      <c r="AK39" s="1081"/>
      <c r="AL39" s="1726">
        <f t="shared" si="3"/>
        <v>0</v>
      </c>
    </row>
    <row r="40" spans="1:39">
      <c r="A40" s="104"/>
      <c r="B40" s="890" t="s">
        <v>1073</v>
      </c>
      <c r="C40" s="104"/>
      <c r="D40" s="104"/>
      <c r="E40" s="1538">
        <v>0</v>
      </c>
      <c r="F40" s="893"/>
      <c r="G40" s="1538">
        <v>0</v>
      </c>
      <c r="H40" s="893"/>
      <c r="I40" s="1538">
        <v>0</v>
      </c>
      <c r="J40" s="893"/>
      <c r="K40" s="1538">
        <v>0</v>
      </c>
      <c r="L40" s="893"/>
      <c r="M40" s="1538">
        <v>0</v>
      </c>
      <c r="N40" s="893"/>
      <c r="O40" s="1538">
        <v>0</v>
      </c>
      <c r="P40" s="893"/>
      <c r="Q40" s="1538">
        <f t="shared" si="0"/>
        <v>0</v>
      </c>
      <c r="R40" s="893"/>
      <c r="S40" s="1538"/>
      <c r="T40" s="1538"/>
      <c r="U40" s="1538"/>
      <c r="V40" s="893"/>
      <c r="W40" s="1538"/>
      <c r="X40" s="893"/>
      <c r="Y40" s="1538"/>
      <c r="Z40" s="893"/>
      <c r="AA40" s="1538"/>
      <c r="AB40" s="893"/>
      <c r="AC40" s="1413"/>
      <c r="AD40" s="1538">
        <v>0</v>
      </c>
      <c r="AE40" s="3208"/>
      <c r="AF40" s="1022"/>
      <c r="AG40" s="1538">
        <v>0</v>
      </c>
      <c r="AH40" s="116"/>
      <c r="AI40" s="1080"/>
      <c r="AJ40" s="116">
        <f t="shared" si="1"/>
        <v>0</v>
      </c>
      <c r="AK40" s="1081"/>
      <c r="AL40" s="1726">
        <f t="shared" si="3"/>
        <v>0</v>
      </c>
    </row>
    <row r="41" spans="1:39">
      <c r="A41" s="104"/>
      <c r="B41" s="890" t="s">
        <v>1045</v>
      </c>
      <c r="C41" s="104"/>
      <c r="D41" s="104"/>
      <c r="E41" s="1538">
        <v>0</v>
      </c>
      <c r="F41" s="893"/>
      <c r="G41" s="1538">
        <v>0</v>
      </c>
      <c r="H41" s="893"/>
      <c r="I41" s="1538">
        <v>0</v>
      </c>
      <c r="J41" s="893"/>
      <c r="K41" s="1538">
        <v>0</v>
      </c>
      <c r="L41" s="893"/>
      <c r="M41" s="1538">
        <v>0</v>
      </c>
      <c r="N41" s="1534"/>
      <c r="O41" s="1538">
        <v>0.1</v>
      </c>
      <c r="P41" s="1534"/>
      <c r="Q41" s="1538">
        <f t="shared" si="0"/>
        <v>0</v>
      </c>
      <c r="R41" s="1534"/>
      <c r="S41" s="1538"/>
      <c r="T41" s="1534"/>
      <c r="U41" s="1538"/>
      <c r="V41" s="1534"/>
      <c r="W41" s="1538"/>
      <c r="X41" s="1534"/>
      <c r="Y41" s="1538"/>
      <c r="Z41" s="1534"/>
      <c r="AA41" s="1538"/>
      <c r="AB41" s="115"/>
      <c r="AC41" s="676"/>
      <c r="AD41" s="1788">
        <v>0.1</v>
      </c>
      <c r="AE41" s="3193"/>
      <c r="AF41" s="1976"/>
      <c r="AG41" s="1805">
        <v>0</v>
      </c>
      <c r="AH41" s="116"/>
      <c r="AI41" s="1080"/>
      <c r="AJ41" s="116">
        <f t="shared" si="1"/>
        <v>0.1</v>
      </c>
      <c r="AK41" s="1081"/>
      <c r="AL41" s="1723">
        <f>ROUND(IF(AG41=0,1,AJ41/ABS(AG41)),3)</f>
        <v>1</v>
      </c>
    </row>
    <row r="42" spans="1:39" s="3713" customFormat="1" collapsed="1">
      <c r="A42" s="102"/>
      <c r="B42" s="307" t="s">
        <v>1080</v>
      </c>
      <c r="C42" s="102"/>
      <c r="D42" s="102"/>
      <c r="E42" s="1537">
        <f>ROUND(SUM(E19:E41),1)</f>
        <v>0.1</v>
      </c>
      <c r="F42" s="109"/>
      <c r="G42" s="1537">
        <f>ROUND(SUM(G19:G41),1)</f>
        <v>0</v>
      </c>
      <c r="H42" s="1093"/>
      <c r="I42" s="1537">
        <f>ROUND(SUM(I19:I41),1)</f>
        <v>0.1</v>
      </c>
      <c r="J42" s="109"/>
      <c r="K42" s="1537">
        <f>ROUND(SUM(K19:K41),1)</f>
        <v>0</v>
      </c>
      <c r="L42" s="109"/>
      <c r="M42" s="1537">
        <v>0.1</v>
      </c>
      <c r="N42" s="109"/>
      <c r="O42" s="1537">
        <f>ROUND(SUM(O19:O41),1)</f>
        <v>0.2</v>
      </c>
      <c r="P42" s="109"/>
      <c r="Q42" s="1537">
        <f>ROUND(SUM(Q19:Q41),1)</f>
        <v>0.1</v>
      </c>
      <c r="R42" s="109"/>
      <c r="S42" s="1537">
        <f>ROUND(SUM(S19:S41),1)</f>
        <v>0</v>
      </c>
      <c r="T42" s="109"/>
      <c r="U42" s="1537">
        <f>ROUND(SUM(U19:U41),1)</f>
        <v>0</v>
      </c>
      <c r="V42" s="109"/>
      <c r="W42" s="1537">
        <f>ROUND(SUM(W19:W41),1)</f>
        <v>0</v>
      </c>
      <c r="X42" s="109"/>
      <c r="Y42" s="1537">
        <f>ROUND(SUM(Y19:Y41),1)</f>
        <v>0</v>
      </c>
      <c r="Z42" s="109"/>
      <c r="AA42" s="1537">
        <f>ROUND(SUM(AA19:AA41),1)</f>
        <v>0</v>
      </c>
      <c r="AB42" s="109"/>
      <c r="AC42" s="677"/>
      <c r="AD42" s="1537">
        <f>ROUND(SUM(AD19:AD41),1)</f>
        <v>0.6</v>
      </c>
      <c r="AE42" s="1084"/>
      <c r="AF42" s="112"/>
      <c r="AG42" s="1537">
        <f>ROUND(SUM(AG19:AG41),1)</f>
        <v>0.5</v>
      </c>
      <c r="AH42" s="1103"/>
      <c r="AI42" s="1080"/>
      <c r="AJ42" s="1537">
        <f>ROUND(SUM(AJ19:AJ41),1)</f>
        <v>0.1</v>
      </c>
      <c r="AK42" s="3712"/>
      <c r="AL42" s="3330">
        <f t="shared" si="3"/>
        <v>0.2</v>
      </c>
    </row>
    <row r="43" spans="1:39" s="3212" customFormat="1">
      <c r="A43" s="115"/>
      <c r="B43" s="3714"/>
      <c r="C43" s="115"/>
      <c r="D43" s="115"/>
      <c r="E43" s="1538"/>
      <c r="F43" s="893"/>
      <c r="G43" s="1120"/>
      <c r="H43" s="893"/>
      <c r="I43" s="1538"/>
      <c r="J43" s="893"/>
      <c r="K43" s="1120"/>
      <c r="L43" s="115"/>
      <c r="M43" s="1078"/>
      <c r="N43" s="115"/>
      <c r="O43" s="674"/>
      <c r="P43" s="115"/>
      <c r="Q43" s="1078"/>
      <c r="R43" s="115"/>
      <c r="S43" s="674"/>
      <c r="T43" s="115"/>
      <c r="U43" s="674"/>
      <c r="V43" s="115"/>
      <c r="W43" s="1078"/>
      <c r="X43" s="115"/>
      <c r="Y43" s="1078"/>
      <c r="Z43" s="115"/>
      <c r="AA43" s="1078"/>
      <c r="AB43" s="115"/>
      <c r="AC43" s="676"/>
      <c r="AD43" s="1078"/>
      <c r="AE43" s="1079"/>
      <c r="AF43" s="676"/>
      <c r="AG43" s="1078"/>
      <c r="AH43" s="116"/>
      <c r="AI43" s="1080"/>
      <c r="AJ43" s="355"/>
      <c r="AK43" s="355"/>
      <c r="AL43" s="1082"/>
      <c r="AM43" s="355"/>
    </row>
    <row r="44" spans="1:39">
      <c r="A44" s="104"/>
      <c r="B44" s="104" t="s">
        <v>149</v>
      </c>
      <c r="C44" s="104"/>
      <c r="D44" s="104"/>
      <c r="E44" s="1538">
        <v>85.7</v>
      </c>
      <c r="F44" s="893"/>
      <c r="G44" s="1538">
        <v>102.7</v>
      </c>
      <c r="H44" s="893"/>
      <c r="I44" s="1538">
        <v>167.9</v>
      </c>
      <c r="J44" s="893"/>
      <c r="K44" s="1538">
        <v>209.1</v>
      </c>
      <c r="L44" s="893"/>
      <c r="M44" s="1538">
        <v>186.69999999999996</v>
      </c>
      <c r="N44" s="893"/>
      <c r="O44" s="1538">
        <v>175.1</v>
      </c>
      <c r="P44" s="893"/>
      <c r="Q44" s="1538">
        <f t="shared" ref="Q44" si="4">$AD44-$E44-$G44-$I44-$K44-$M44-$O44</f>
        <v>167.70000000000007</v>
      </c>
      <c r="R44" s="893"/>
      <c r="S44" s="1538"/>
      <c r="T44" s="1538"/>
      <c r="U44" s="1538"/>
      <c r="V44" s="893"/>
      <c r="W44" s="1538"/>
      <c r="X44" s="893"/>
      <c r="Y44" s="1538"/>
      <c r="Z44" s="893"/>
      <c r="AA44" s="1538"/>
      <c r="AB44" s="893"/>
      <c r="AC44" s="1413"/>
      <c r="AD44" s="1538">
        <v>1094.9000000000001</v>
      </c>
      <c r="AE44" s="3208"/>
      <c r="AF44" s="1022"/>
      <c r="AG44" s="1538">
        <v>1160.8000000000002</v>
      </c>
      <c r="AH44" s="116"/>
      <c r="AI44" s="1102"/>
      <c r="AJ44" s="1110">
        <f>ROUND(AD44-AG44,1)</f>
        <v>-65.900000000000006</v>
      </c>
      <c r="AK44" s="1081"/>
      <c r="AL44" s="1727">
        <f>ROUND(IF(AG44=0,0,AJ44/ABS(AG44)),3)</f>
        <v>-5.7000000000000002E-2</v>
      </c>
    </row>
    <row r="45" spans="1:39">
      <c r="A45" s="104"/>
      <c r="B45" s="104"/>
      <c r="C45" s="104"/>
      <c r="D45" s="104"/>
      <c r="E45" s="1040"/>
      <c r="F45" s="893"/>
      <c r="G45" s="1040"/>
      <c r="H45" s="893"/>
      <c r="I45" s="1040"/>
      <c r="J45" s="893"/>
      <c r="K45" s="1040"/>
      <c r="L45" s="115"/>
      <c r="M45" s="123"/>
      <c r="N45" s="115"/>
      <c r="O45" s="123"/>
      <c r="P45" s="115"/>
      <c r="Q45" s="123"/>
      <c r="R45" s="115"/>
      <c r="S45" s="123"/>
      <c r="T45" s="115"/>
      <c r="U45" s="123"/>
      <c r="V45" s="115"/>
      <c r="W45" s="123"/>
      <c r="X45" s="115"/>
      <c r="Y45" s="123"/>
      <c r="Z45" s="115"/>
      <c r="AA45" s="123"/>
      <c r="AB45" s="115"/>
      <c r="AC45" s="676"/>
      <c r="AD45" s="123"/>
      <c r="AE45" s="1079"/>
      <c r="AF45" s="676"/>
      <c r="AG45" s="123"/>
      <c r="AH45" s="65"/>
      <c r="AI45" s="1102"/>
      <c r="AJ45" s="355"/>
      <c r="AK45" s="1100"/>
      <c r="AL45" s="1082"/>
    </row>
    <row r="46" spans="1:39">
      <c r="A46" s="104"/>
      <c r="B46" s="102" t="s">
        <v>196</v>
      </c>
      <c r="C46" s="104"/>
      <c r="D46" s="104"/>
      <c r="E46" s="109">
        <f>ROUND(SUM(E42+E44),1)</f>
        <v>85.8</v>
      </c>
      <c r="F46" s="109"/>
      <c r="G46" s="109">
        <f>ROUND(SUM(G42+G44),1)</f>
        <v>102.7</v>
      </c>
      <c r="H46" s="109"/>
      <c r="I46" s="109">
        <f>ROUND(SUM(I42+I44),1)</f>
        <v>168</v>
      </c>
      <c r="J46" s="109"/>
      <c r="K46" s="109">
        <f>ROUND(SUM(K42+K44),1)</f>
        <v>209.1</v>
      </c>
      <c r="L46" s="109"/>
      <c r="M46" s="109">
        <v>186.8</v>
      </c>
      <c r="N46" s="109"/>
      <c r="O46" s="109">
        <f>ROUND(SUM(O42+O44),1)</f>
        <v>175.3</v>
      </c>
      <c r="P46" s="109"/>
      <c r="Q46" s="109">
        <f>ROUND(SUM(Q42+Q44),1)</f>
        <v>167.8</v>
      </c>
      <c r="R46" s="109"/>
      <c r="S46" s="109">
        <f>ROUND(SUM(S42+S44),1)</f>
        <v>0</v>
      </c>
      <c r="T46" s="109"/>
      <c r="U46" s="109">
        <f>ROUND(SUM(U42+U44),1)</f>
        <v>0</v>
      </c>
      <c r="V46" s="109"/>
      <c r="W46" s="109">
        <f>ROUND(SUM(W42+W44),1)</f>
        <v>0</v>
      </c>
      <c r="X46" s="109"/>
      <c r="Y46" s="109">
        <f>ROUND(SUM(Y42+Y44),1)</f>
        <v>0</v>
      </c>
      <c r="Z46" s="109"/>
      <c r="AA46" s="109">
        <f>ROUND(SUM(AA42+AA44),1)</f>
        <v>0</v>
      </c>
      <c r="AB46" s="109"/>
      <c r="AC46" s="677"/>
      <c r="AD46" s="109">
        <f>ROUND(SUM(AD42+AD44),1)</f>
        <v>1095.5</v>
      </c>
      <c r="AE46" s="1084"/>
      <c r="AF46" s="677"/>
      <c r="AG46" s="109">
        <f>ROUND(SUM(AG42+AG44),1)</f>
        <v>1161.3</v>
      </c>
      <c r="AH46" s="1103"/>
      <c r="AI46" s="1102"/>
      <c r="AJ46" s="1105">
        <f>ROUND(SUM(AJ42+AJ44),1)</f>
        <v>-65.8</v>
      </c>
      <c r="AK46" s="1115"/>
      <c r="AL46" s="3715">
        <f>ROUND(SUM(AD46-AG46)/ABS(AG46),3)</f>
        <v>-5.7000000000000002E-2</v>
      </c>
      <c r="AM46" s="3713"/>
    </row>
    <row r="47" spans="1:39">
      <c r="A47" s="104"/>
      <c r="B47" s="104"/>
      <c r="C47" s="104"/>
      <c r="D47" s="104"/>
      <c r="E47" s="1040"/>
      <c r="F47" s="893"/>
      <c r="G47" s="1040"/>
      <c r="H47" s="893"/>
      <c r="I47" s="1040"/>
      <c r="J47" s="893"/>
      <c r="K47" s="1040"/>
      <c r="L47" s="115"/>
      <c r="M47" s="123"/>
      <c r="N47" s="115"/>
      <c r="O47" s="123"/>
      <c r="P47" s="115"/>
      <c r="Q47" s="123"/>
      <c r="R47" s="115"/>
      <c r="S47" s="123"/>
      <c r="T47" s="115"/>
      <c r="U47" s="123"/>
      <c r="V47" s="115"/>
      <c r="W47" s="123"/>
      <c r="X47" s="115"/>
      <c r="Y47" s="123"/>
      <c r="Z47" s="115"/>
      <c r="AA47" s="123"/>
      <c r="AB47" s="115"/>
      <c r="AC47" s="676"/>
      <c r="AD47" s="123"/>
      <c r="AE47" s="1079"/>
      <c r="AF47" s="676"/>
      <c r="AG47" s="123"/>
      <c r="AH47" s="65"/>
      <c r="AI47" s="1102"/>
      <c r="AJ47" s="355"/>
      <c r="AK47" s="1100"/>
      <c r="AL47" s="1082"/>
    </row>
    <row r="48" spans="1:39">
      <c r="A48" s="104"/>
      <c r="B48" s="102" t="s">
        <v>23</v>
      </c>
      <c r="C48" s="104"/>
      <c r="D48" s="104"/>
      <c r="E48" s="893"/>
      <c r="F48" s="893"/>
      <c r="G48" s="893"/>
      <c r="H48" s="893"/>
      <c r="I48" s="893"/>
      <c r="J48" s="893"/>
      <c r="K48" s="893"/>
      <c r="L48" s="115"/>
      <c r="M48" s="115"/>
      <c r="N48" s="115"/>
      <c r="O48" s="115"/>
      <c r="P48" s="115"/>
      <c r="Q48" s="115"/>
      <c r="R48" s="115"/>
      <c r="S48" s="115"/>
      <c r="T48" s="115"/>
      <c r="U48" s="115"/>
      <c r="V48" s="115"/>
      <c r="W48" s="115"/>
      <c r="X48" s="115"/>
      <c r="Y48" s="115"/>
      <c r="Z48" s="115"/>
      <c r="AA48" s="115"/>
      <c r="AB48" s="115"/>
      <c r="AC48" s="676"/>
      <c r="AD48" s="115"/>
      <c r="AE48" s="1079"/>
      <c r="AF48" s="676"/>
      <c r="AG48" s="115"/>
      <c r="AH48" s="115"/>
      <c r="AI48" s="1102"/>
      <c r="AJ48" s="355"/>
      <c r="AK48" s="1100"/>
      <c r="AL48" s="1082"/>
    </row>
    <row r="49" spans="1:41">
      <c r="A49" s="104"/>
      <c r="B49" s="104" t="s">
        <v>151</v>
      </c>
      <c r="C49" s="104"/>
      <c r="D49" s="104"/>
      <c r="E49" s="1538"/>
      <c r="F49" s="893"/>
      <c r="G49" s="893"/>
      <c r="H49" s="893"/>
      <c r="I49" s="893"/>
      <c r="J49" s="893"/>
      <c r="K49" s="893"/>
      <c r="L49" s="115"/>
      <c r="M49" s="115"/>
      <c r="N49" s="115"/>
      <c r="O49" s="115"/>
      <c r="P49" s="115"/>
      <c r="Q49" s="1078"/>
      <c r="R49" s="115"/>
      <c r="S49" s="115"/>
      <c r="T49" s="115"/>
      <c r="U49" s="115"/>
      <c r="V49" s="115"/>
      <c r="W49" s="115"/>
      <c r="X49" s="115"/>
      <c r="Y49" s="115"/>
      <c r="Z49" s="115"/>
      <c r="AA49" s="115"/>
      <c r="AB49" s="115"/>
      <c r="AC49" s="676"/>
      <c r="AD49" s="115"/>
      <c r="AE49" s="1079"/>
      <c r="AF49" s="676"/>
      <c r="AG49" s="115"/>
      <c r="AH49" s="115"/>
      <c r="AI49" s="1102"/>
      <c r="AJ49" s="355"/>
      <c r="AK49" s="1081"/>
      <c r="AL49" s="1082"/>
    </row>
    <row r="50" spans="1:41">
      <c r="A50" s="104"/>
      <c r="B50" s="104" t="s">
        <v>25</v>
      </c>
      <c r="C50" s="104"/>
      <c r="D50" s="104"/>
      <c r="E50" s="1538">
        <v>0</v>
      </c>
      <c r="F50" s="893"/>
      <c r="G50" s="1538">
        <v>0</v>
      </c>
      <c r="H50" s="893"/>
      <c r="I50" s="1538">
        <v>0</v>
      </c>
      <c r="J50" s="893"/>
      <c r="K50" s="1538">
        <v>0</v>
      </c>
      <c r="L50" s="893"/>
      <c r="M50" s="1538">
        <v>0</v>
      </c>
      <c r="N50" s="893"/>
      <c r="O50" s="1538">
        <v>0</v>
      </c>
      <c r="P50" s="893"/>
      <c r="Q50" s="1538">
        <f t="shared" ref="Q50:Q59" si="5">$AD50-$E50-$G50-$I50-$K50-$M50-$O50</f>
        <v>0</v>
      </c>
      <c r="R50" s="893"/>
      <c r="S50" s="1538"/>
      <c r="T50" s="1538"/>
      <c r="U50" s="1538"/>
      <c r="V50" s="893"/>
      <c r="W50" s="1538"/>
      <c r="X50" s="1538"/>
      <c r="Y50" s="1538"/>
      <c r="Z50" s="893"/>
      <c r="AA50" s="1538"/>
      <c r="AB50" s="893"/>
      <c r="AC50" s="1413"/>
      <c r="AD50" s="1538">
        <v>0</v>
      </c>
      <c r="AE50" s="3208"/>
      <c r="AF50" s="1022"/>
      <c r="AG50" s="1538">
        <v>0</v>
      </c>
      <c r="AH50" s="116"/>
      <c r="AI50" s="1080"/>
      <c r="AJ50" s="1111">
        <f>ROUND(AD50-AG50,1)</f>
        <v>0</v>
      </c>
      <c r="AK50" s="1081"/>
      <c r="AL50" s="1726">
        <f>ROUND(IF(AG50=0,0,AJ50/ABS(AG50)),3)</f>
        <v>0</v>
      </c>
    </row>
    <row r="51" spans="1:41">
      <c r="A51" s="104"/>
      <c r="B51" s="104" t="s">
        <v>26</v>
      </c>
      <c r="C51" s="104"/>
      <c r="D51" s="104"/>
      <c r="E51" s="1538">
        <v>0</v>
      </c>
      <c r="F51" s="893"/>
      <c r="G51" s="1538">
        <v>0</v>
      </c>
      <c r="H51" s="893"/>
      <c r="I51" s="1538">
        <v>0</v>
      </c>
      <c r="J51" s="893"/>
      <c r="K51" s="1538">
        <v>0</v>
      </c>
      <c r="L51" s="893"/>
      <c r="M51" s="1538">
        <v>0</v>
      </c>
      <c r="N51" s="893"/>
      <c r="O51" s="1538">
        <v>0</v>
      </c>
      <c r="P51" s="893"/>
      <c r="Q51" s="1538">
        <f t="shared" si="5"/>
        <v>0</v>
      </c>
      <c r="R51" s="893"/>
      <c r="S51" s="1538"/>
      <c r="T51" s="1538"/>
      <c r="U51" s="1538"/>
      <c r="V51" s="893"/>
      <c r="W51" s="1538"/>
      <c r="X51" s="1538"/>
      <c r="Y51" s="1538"/>
      <c r="Z51" s="893"/>
      <c r="AA51" s="1538"/>
      <c r="AB51" s="893"/>
      <c r="AC51" s="1413"/>
      <c r="AD51" s="1538">
        <v>0</v>
      </c>
      <c r="AE51" s="3208"/>
      <c r="AF51" s="1022"/>
      <c r="AG51" s="1538">
        <v>0</v>
      </c>
      <c r="AH51" s="116"/>
      <c r="AI51" s="1080"/>
      <c r="AJ51" s="1111">
        <f>ROUND(AD51-AG51,1)</f>
        <v>0</v>
      </c>
      <c r="AK51" s="1081"/>
      <c r="AL51" s="1728">
        <f>ROUND(IF(AG51=0,0,AJ51/ABS(AG51)),3)</f>
        <v>0</v>
      </c>
    </row>
    <row r="52" spans="1:41">
      <c r="A52" s="104"/>
      <c r="B52" s="104" t="s">
        <v>27</v>
      </c>
      <c r="C52" s="104"/>
      <c r="D52" s="104"/>
      <c r="E52" s="1538">
        <v>0</v>
      </c>
      <c r="F52" s="893"/>
      <c r="G52" s="1538">
        <v>0</v>
      </c>
      <c r="H52" s="893"/>
      <c r="I52" s="1538">
        <v>0</v>
      </c>
      <c r="J52" s="893"/>
      <c r="K52" s="1538">
        <v>0</v>
      </c>
      <c r="L52" s="893"/>
      <c r="M52" s="1538">
        <v>0</v>
      </c>
      <c r="N52" s="893"/>
      <c r="O52" s="1538">
        <v>0</v>
      </c>
      <c r="P52" s="893"/>
      <c r="Q52" s="1538">
        <f t="shared" si="5"/>
        <v>0</v>
      </c>
      <c r="R52" s="893"/>
      <c r="S52" s="1538"/>
      <c r="T52" s="1538"/>
      <c r="U52" s="1538"/>
      <c r="V52" s="893"/>
      <c r="W52" s="1538"/>
      <c r="X52" s="1538"/>
      <c r="Y52" s="1538"/>
      <c r="Z52" s="893"/>
      <c r="AA52" s="1538"/>
      <c r="AB52" s="893"/>
      <c r="AC52" s="1413"/>
      <c r="AD52" s="1538">
        <v>0</v>
      </c>
      <c r="AE52" s="3208"/>
      <c r="AF52" s="1022"/>
      <c r="AG52" s="1538">
        <v>0</v>
      </c>
      <c r="AH52" s="116"/>
      <c r="AI52" s="1080"/>
      <c r="AJ52" s="1111">
        <f>ROUND(AD52-AG52,1)</f>
        <v>0</v>
      </c>
      <c r="AK52" s="1100"/>
      <c r="AL52" s="1726">
        <f>ROUND(IF(AG52=0,0,AJ52/ABS(AG52)),3)</f>
        <v>0</v>
      </c>
    </row>
    <row r="53" spans="1:41">
      <c r="A53" s="104"/>
      <c r="B53" s="104" t="s">
        <v>28</v>
      </c>
      <c r="C53" s="104"/>
      <c r="D53" s="104"/>
      <c r="E53" s="1538" t="s">
        <v>15</v>
      </c>
      <c r="F53" s="893"/>
      <c r="G53" s="1538"/>
      <c r="H53" s="893"/>
      <c r="I53" s="1538"/>
      <c r="J53" s="893"/>
      <c r="K53" s="1538"/>
      <c r="L53" s="893"/>
      <c r="M53" s="1538"/>
      <c r="N53" s="893"/>
      <c r="O53" s="1538"/>
      <c r="P53" s="893"/>
      <c r="Q53" s="1538"/>
      <c r="R53" s="893"/>
      <c r="S53" s="1538"/>
      <c r="T53" s="1538"/>
      <c r="U53" s="1538"/>
      <c r="V53" s="893"/>
      <c r="W53" s="1538"/>
      <c r="X53" s="1538"/>
      <c r="Y53" s="1538"/>
      <c r="Z53" s="893"/>
      <c r="AA53" s="1538"/>
      <c r="AB53" s="893"/>
      <c r="AC53" s="1413"/>
      <c r="AD53" s="1538"/>
      <c r="AE53" s="3208"/>
      <c r="AF53" s="1022"/>
      <c r="AG53" s="1538"/>
      <c r="AH53" s="115"/>
      <c r="AI53" s="1102"/>
      <c r="AJ53" s="1112"/>
      <c r="AK53" s="1081"/>
      <c r="AL53" s="1729" t="s">
        <v>15</v>
      </c>
    </row>
    <row r="54" spans="1:41">
      <c r="A54" s="104"/>
      <c r="B54" s="104" t="s">
        <v>29</v>
      </c>
      <c r="C54" s="102"/>
      <c r="D54" s="104"/>
      <c r="E54" s="1538">
        <v>0</v>
      </c>
      <c r="F54" s="893"/>
      <c r="G54" s="1538">
        <v>0</v>
      </c>
      <c r="H54" s="893"/>
      <c r="I54" s="1538">
        <v>0</v>
      </c>
      <c r="J54" s="893"/>
      <c r="K54" s="1538">
        <v>0</v>
      </c>
      <c r="L54" s="893"/>
      <c r="M54" s="1538">
        <v>0</v>
      </c>
      <c r="N54" s="893"/>
      <c r="O54" s="1538">
        <v>0</v>
      </c>
      <c r="P54" s="893"/>
      <c r="Q54" s="1538">
        <f t="shared" si="5"/>
        <v>0</v>
      </c>
      <c r="R54" s="893"/>
      <c r="S54" s="1538"/>
      <c r="T54" s="1538"/>
      <c r="U54" s="1538"/>
      <c r="V54" s="893"/>
      <c r="W54" s="1538"/>
      <c r="X54" s="1538"/>
      <c r="Y54" s="1538"/>
      <c r="Z54" s="893"/>
      <c r="AA54" s="1538"/>
      <c r="AB54" s="893"/>
      <c r="AC54" s="1413"/>
      <c r="AD54" s="1538">
        <v>0</v>
      </c>
      <c r="AE54" s="3208"/>
      <c r="AF54" s="1022"/>
      <c r="AG54" s="1538">
        <v>0</v>
      </c>
      <c r="AH54" s="115"/>
      <c r="AI54" s="1102"/>
      <c r="AJ54" s="1111">
        <f t="shared" ref="AJ54:AJ59" si="6">ROUND(AD54-AG54,1)</f>
        <v>0</v>
      </c>
      <c r="AK54" s="1100"/>
      <c r="AL54" s="1726">
        <f>ROUND(IF(AG54=0,0,AJ54/ABS(AG54)),3)</f>
        <v>0</v>
      </c>
      <c r="AM54" s="1100"/>
    </row>
    <row r="55" spans="1:41">
      <c r="A55" s="104"/>
      <c r="B55" s="104" t="s">
        <v>30</v>
      </c>
      <c r="C55" s="104"/>
      <c r="D55" s="104"/>
      <c r="E55" s="1538">
        <v>0</v>
      </c>
      <c r="F55" s="893"/>
      <c r="G55" s="1538">
        <v>0</v>
      </c>
      <c r="H55" s="893"/>
      <c r="I55" s="1538">
        <v>0</v>
      </c>
      <c r="J55" s="893"/>
      <c r="K55" s="1538">
        <v>1.2</v>
      </c>
      <c r="L55" s="893"/>
      <c r="M55" s="1538">
        <v>0</v>
      </c>
      <c r="N55" s="893"/>
      <c r="O55" s="1538">
        <v>0.60000000000000009</v>
      </c>
      <c r="P55" s="893"/>
      <c r="Q55" s="1538">
        <f t="shared" si="5"/>
        <v>0</v>
      </c>
      <c r="R55" s="893"/>
      <c r="S55" s="1538"/>
      <c r="T55" s="1538"/>
      <c r="U55" s="1538"/>
      <c r="V55" s="893"/>
      <c r="W55" s="1538"/>
      <c r="X55" s="1538"/>
      <c r="Y55" s="1538"/>
      <c r="Z55" s="893"/>
      <c r="AA55" s="1538"/>
      <c r="AB55" s="893"/>
      <c r="AC55" s="1413"/>
      <c r="AD55" s="1538">
        <v>1.8</v>
      </c>
      <c r="AE55" s="3208"/>
      <c r="AF55" s="1022"/>
      <c r="AG55" s="1538">
        <v>38.9</v>
      </c>
      <c r="AH55" s="116"/>
      <c r="AI55" s="1080"/>
      <c r="AJ55" s="1111">
        <f t="shared" si="6"/>
        <v>-37.1</v>
      </c>
      <c r="AK55" s="1081"/>
      <c r="AL55" s="2195">
        <f>ROUND(IF(AG55=0,0,AJ55/ABS(AG55)),3)</f>
        <v>-0.95399999999999996</v>
      </c>
    </row>
    <row r="56" spans="1:41">
      <c r="A56" s="104"/>
      <c r="B56" s="104" t="s">
        <v>31</v>
      </c>
      <c r="C56" s="104"/>
      <c r="D56" s="104"/>
      <c r="E56" s="1538">
        <v>0</v>
      </c>
      <c r="F56" s="893"/>
      <c r="G56" s="1538">
        <v>0</v>
      </c>
      <c r="H56" s="893"/>
      <c r="I56" s="1538">
        <v>3.1</v>
      </c>
      <c r="J56" s="893"/>
      <c r="K56" s="1538">
        <v>0</v>
      </c>
      <c r="L56" s="893"/>
      <c r="M56" s="1538">
        <v>0</v>
      </c>
      <c r="N56" s="893"/>
      <c r="O56" s="1538">
        <v>0.39999999999999991</v>
      </c>
      <c r="P56" s="893"/>
      <c r="Q56" s="1538">
        <f t="shared" si="5"/>
        <v>0</v>
      </c>
      <c r="R56" s="893"/>
      <c r="S56" s="1538"/>
      <c r="T56" s="1538"/>
      <c r="U56" s="1538"/>
      <c r="V56" s="893"/>
      <c r="W56" s="1538"/>
      <c r="X56" s="1538"/>
      <c r="Y56" s="1538"/>
      <c r="Z56" s="893"/>
      <c r="AA56" s="1538"/>
      <c r="AB56" s="893"/>
      <c r="AC56" s="1413"/>
      <c r="AD56" s="1538">
        <v>3.5</v>
      </c>
      <c r="AE56" s="3208"/>
      <c r="AF56" s="1022"/>
      <c r="AG56" s="1538">
        <v>20.2</v>
      </c>
      <c r="AH56" s="116"/>
      <c r="AI56" s="1080"/>
      <c r="AJ56" s="1111">
        <f t="shared" si="6"/>
        <v>-16.7</v>
      </c>
      <c r="AK56" s="1100"/>
      <c r="AL56" s="2195">
        <f>ROUND(IF(AG56=0,0,AJ56/ABS(AG56)),3)</f>
        <v>-0.82699999999999996</v>
      </c>
    </row>
    <row r="57" spans="1:41">
      <c r="A57" s="104"/>
      <c r="B57" s="104" t="s">
        <v>32</v>
      </c>
      <c r="C57" s="104"/>
      <c r="D57" s="104"/>
      <c r="E57" s="1538">
        <v>0</v>
      </c>
      <c r="F57" s="893"/>
      <c r="G57" s="1538">
        <v>0</v>
      </c>
      <c r="H57" s="893"/>
      <c r="I57" s="1538">
        <v>0</v>
      </c>
      <c r="J57" s="893"/>
      <c r="K57" s="1538">
        <v>0</v>
      </c>
      <c r="L57" s="893"/>
      <c r="M57" s="1538">
        <v>0</v>
      </c>
      <c r="N57" s="893"/>
      <c r="O57" s="1538">
        <v>0</v>
      </c>
      <c r="P57" s="893"/>
      <c r="Q57" s="1538">
        <f t="shared" si="5"/>
        <v>0</v>
      </c>
      <c r="R57" s="893"/>
      <c r="S57" s="1538"/>
      <c r="T57" s="1538"/>
      <c r="U57" s="1538"/>
      <c r="V57" s="893"/>
      <c r="W57" s="1538"/>
      <c r="X57" s="1538"/>
      <c r="Y57" s="1538"/>
      <c r="Z57" s="893"/>
      <c r="AA57" s="1538"/>
      <c r="AB57" s="893"/>
      <c r="AC57" s="1413"/>
      <c r="AD57" s="1538">
        <v>0</v>
      </c>
      <c r="AE57" s="3208"/>
      <c r="AF57" s="1022"/>
      <c r="AG57" s="1538">
        <v>0</v>
      </c>
      <c r="AH57" s="115"/>
      <c r="AI57" s="1102"/>
      <c r="AJ57" s="1111">
        <f t="shared" si="6"/>
        <v>0</v>
      </c>
      <c r="AK57" s="1081"/>
      <c r="AL57" s="1726">
        <f>ROUND(IF(AG57=0,0,AJ57/ABS(AG57)),3)</f>
        <v>0</v>
      </c>
    </row>
    <row r="58" spans="1:41">
      <c r="A58" s="104"/>
      <c r="B58" s="104" t="s">
        <v>33</v>
      </c>
      <c r="C58" s="102"/>
      <c r="D58" s="104"/>
      <c r="E58" s="1538">
        <v>0</v>
      </c>
      <c r="F58" s="893"/>
      <c r="G58" s="1538">
        <v>0</v>
      </c>
      <c r="H58" s="893"/>
      <c r="I58" s="1538">
        <v>0</v>
      </c>
      <c r="J58" s="893"/>
      <c r="K58" s="1538">
        <v>0</v>
      </c>
      <c r="L58" s="893"/>
      <c r="M58" s="1538">
        <v>0</v>
      </c>
      <c r="N58" s="893"/>
      <c r="O58" s="1538">
        <v>0</v>
      </c>
      <c r="P58" s="893"/>
      <c r="Q58" s="1538">
        <f t="shared" si="5"/>
        <v>0</v>
      </c>
      <c r="R58" s="893"/>
      <c r="S58" s="1538"/>
      <c r="T58" s="1538"/>
      <c r="U58" s="1538"/>
      <c r="V58" s="893"/>
      <c r="W58" s="1538"/>
      <c r="X58" s="1538"/>
      <c r="Y58" s="1538"/>
      <c r="Z58" s="893"/>
      <c r="AA58" s="1538"/>
      <c r="AB58" s="893"/>
      <c r="AC58" s="1413"/>
      <c r="AD58" s="1538">
        <v>0</v>
      </c>
      <c r="AE58" s="3208"/>
      <c r="AF58" s="1022"/>
      <c r="AG58" s="1538">
        <v>0</v>
      </c>
      <c r="AH58" s="115"/>
      <c r="AI58" s="1102"/>
      <c r="AJ58" s="1111">
        <f t="shared" si="6"/>
        <v>0</v>
      </c>
      <c r="AK58" s="1100"/>
      <c r="AL58" s="1726">
        <f>ROUND(IF(AG58=0,0,AJ58/ABS(AG58)),3)</f>
        <v>0</v>
      </c>
      <c r="AM58" s="1100"/>
    </row>
    <row r="59" spans="1:41">
      <c r="A59" s="104"/>
      <c r="B59" s="104" t="s">
        <v>34</v>
      </c>
      <c r="C59" s="104"/>
      <c r="D59" s="104"/>
      <c r="E59" s="1538">
        <v>22</v>
      </c>
      <c r="F59" s="893"/>
      <c r="G59" s="1538">
        <v>41.5</v>
      </c>
      <c r="H59" s="893"/>
      <c r="I59" s="1538">
        <v>35.599999999999994</v>
      </c>
      <c r="J59" s="893"/>
      <c r="K59" s="1538">
        <v>41.5</v>
      </c>
      <c r="L59" s="893"/>
      <c r="M59" s="1538">
        <v>42.700000000000017</v>
      </c>
      <c r="N59" s="893"/>
      <c r="O59" s="1538">
        <v>52.699999999999989</v>
      </c>
      <c r="P59" s="893"/>
      <c r="Q59" s="1538">
        <f t="shared" si="5"/>
        <v>50.699999999999989</v>
      </c>
      <c r="R59" s="893"/>
      <c r="S59" s="1538"/>
      <c r="T59" s="1538"/>
      <c r="U59" s="1538"/>
      <c r="V59" s="893"/>
      <c r="W59" s="1538"/>
      <c r="X59" s="1538"/>
      <c r="Y59" s="1538"/>
      <c r="Z59" s="893"/>
      <c r="AA59" s="1538"/>
      <c r="AB59" s="893"/>
      <c r="AC59" s="1413"/>
      <c r="AD59" s="1538">
        <v>286.7</v>
      </c>
      <c r="AE59" s="3208"/>
      <c r="AF59" s="1022"/>
      <c r="AG59" s="1538">
        <v>285.2</v>
      </c>
      <c r="AH59" s="65"/>
      <c r="AI59" s="1102"/>
      <c r="AJ59" s="1111">
        <f t="shared" si="6"/>
        <v>1.5</v>
      </c>
      <c r="AK59" s="1100"/>
      <c r="AL59" s="1730">
        <f>ROUND((AD59-AG59)/ABS(AG59),3)</f>
        <v>5.0000000000000001E-3</v>
      </c>
    </row>
    <row r="60" spans="1:41">
      <c r="A60" s="104"/>
      <c r="B60" s="102" t="s">
        <v>197</v>
      </c>
      <c r="C60" s="104"/>
      <c r="D60" s="104"/>
      <c r="E60" s="1094">
        <f>ROUND(SUM(E50:E59),1)</f>
        <v>22</v>
      </c>
      <c r="F60" s="109"/>
      <c r="G60" s="1094">
        <f>ROUND(SUM(G50:G59),1)</f>
        <v>41.5</v>
      </c>
      <c r="H60" s="109"/>
      <c r="I60" s="1094">
        <f>ROUND(SUM(I50:I59),1)</f>
        <v>38.700000000000003</v>
      </c>
      <c r="J60" s="109"/>
      <c r="K60" s="1094">
        <f>ROUND(SUM(K50:K59),1)</f>
        <v>42.7</v>
      </c>
      <c r="L60" s="109"/>
      <c r="M60" s="1094">
        <f>ROUND(SUM(M50:M59),1)</f>
        <v>42.7</v>
      </c>
      <c r="N60" s="109"/>
      <c r="O60" s="1094">
        <f>ROUND(SUM(O50:O59),1)</f>
        <v>53.7</v>
      </c>
      <c r="P60" s="109"/>
      <c r="Q60" s="1094">
        <f>ROUND(SUM(Q50:Q59),1)</f>
        <v>50.7</v>
      </c>
      <c r="R60" s="109"/>
      <c r="S60" s="1094">
        <f>ROUND(SUM(S50:S59),1)</f>
        <v>0</v>
      </c>
      <c r="T60" s="109"/>
      <c r="U60" s="1094">
        <f>ROUND(SUM(U50:U59),1)</f>
        <v>0</v>
      </c>
      <c r="V60" s="109"/>
      <c r="W60" s="1094">
        <f>ROUND(SUM(W50:W59),1)</f>
        <v>0</v>
      </c>
      <c r="X60" s="109"/>
      <c r="Y60" s="1094">
        <f>ROUND(SUM(Y50:Y59),1)</f>
        <v>0</v>
      </c>
      <c r="Z60" s="109"/>
      <c r="AA60" s="1094">
        <f>ROUND(SUM(AA50:AA59),1)</f>
        <v>0</v>
      </c>
      <c r="AB60" s="109"/>
      <c r="AC60" s="677"/>
      <c r="AD60" s="1094">
        <f>ROUND(SUM(AD50:AD59),1)</f>
        <v>292</v>
      </c>
      <c r="AE60" s="1084"/>
      <c r="AF60" s="677"/>
      <c r="AG60" s="1094">
        <f>ROUND(SUM(AG50:AG59),1)</f>
        <v>344.3</v>
      </c>
      <c r="AH60" s="112"/>
      <c r="AI60" s="1102"/>
      <c r="AJ60" s="1094">
        <f>ROUND(SUM(AJ50:AJ59),1)</f>
        <v>-52.3</v>
      </c>
      <c r="AK60" s="3716"/>
      <c r="AL60" s="3717">
        <f>ROUND(SUM(AD60-AG60)/ABS(AG60),3)</f>
        <v>-0.152</v>
      </c>
      <c r="AM60" s="3716"/>
      <c r="AN60" s="3713"/>
      <c r="AO60" s="3713"/>
    </row>
    <row r="61" spans="1:41">
      <c r="A61" s="104"/>
      <c r="B61" s="104" t="s">
        <v>198</v>
      </c>
      <c r="C61" s="104"/>
      <c r="D61" s="104"/>
      <c r="E61" s="893"/>
      <c r="F61" s="893"/>
      <c r="G61" s="893"/>
      <c r="H61" s="893"/>
      <c r="I61" s="893"/>
      <c r="J61" s="893"/>
      <c r="K61" s="893"/>
      <c r="L61" s="115"/>
      <c r="M61" s="115"/>
      <c r="N61" s="115"/>
      <c r="O61" s="115"/>
      <c r="P61" s="115"/>
      <c r="Q61" s="115"/>
      <c r="R61" s="115"/>
      <c r="S61" s="115"/>
      <c r="T61" s="115"/>
      <c r="U61" s="115"/>
      <c r="V61" s="115"/>
      <c r="W61" s="115"/>
      <c r="X61" s="115"/>
      <c r="Y61" s="115"/>
      <c r="Z61" s="115"/>
      <c r="AA61" s="115"/>
      <c r="AB61" s="115"/>
      <c r="AC61" s="676"/>
      <c r="AD61" s="115"/>
      <c r="AE61" s="1079"/>
      <c r="AF61" s="676"/>
      <c r="AG61" s="115"/>
      <c r="AH61" s="115"/>
      <c r="AI61" s="1102"/>
      <c r="AJ61" s="355"/>
      <c r="AK61" s="1100"/>
      <c r="AL61" s="1082"/>
    </row>
    <row r="62" spans="1:41">
      <c r="A62" s="104"/>
      <c r="B62" s="104" t="s">
        <v>199</v>
      </c>
      <c r="C62" s="104"/>
      <c r="D62" s="104"/>
      <c r="E62" s="1538">
        <v>0</v>
      </c>
      <c r="F62" s="893"/>
      <c r="G62" s="1538">
        <v>0</v>
      </c>
      <c r="H62" s="893"/>
      <c r="I62" s="1538">
        <v>0</v>
      </c>
      <c r="J62" s="893"/>
      <c r="K62" s="1538">
        <v>0</v>
      </c>
      <c r="L62" s="893"/>
      <c r="M62" s="1538">
        <v>0</v>
      </c>
      <c r="N62" s="893"/>
      <c r="O62" s="1538">
        <v>0</v>
      </c>
      <c r="P62" s="893"/>
      <c r="Q62" s="1538">
        <f t="shared" ref="Q62:Q65" si="7">$AD62-$E62-$G62-$I62-$K62-$M62-$O62</f>
        <v>0</v>
      </c>
      <c r="R62" s="893"/>
      <c r="S62" s="1538"/>
      <c r="T62" s="1538"/>
      <c r="U62" s="1538"/>
      <c r="V62" s="893"/>
      <c r="W62" s="1538"/>
      <c r="X62" s="893"/>
      <c r="Y62" s="1538"/>
      <c r="Z62" s="893"/>
      <c r="AA62" s="1538"/>
      <c r="AB62" s="893"/>
      <c r="AC62" s="1413"/>
      <c r="AD62" s="1538">
        <v>0</v>
      </c>
      <c r="AE62" s="3208"/>
      <c r="AF62" s="1022"/>
      <c r="AG62" s="1538">
        <v>0</v>
      </c>
      <c r="AH62" s="124"/>
      <c r="AI62" s="1106"/>
      <c r="AJ62" s="1111">
        <f>ROUND(AD62-AG62,1)</f>
        <v>0</v>
      </c>
      <c r="AK62" s="1100"/>
      <c r="AL62" s="1726">
        <f>ROUND(IF(AG62=0,0,AJ62/ABS(AG62)),3)</f>
        <v>0</v>
      </c>
      <c r="AM62" s="1101"/>
    </row>
    <row r="63" spans="1:41">
      <c r="A63" s="104"/>
      <c r="B63" s="104" t="s">
        <v>200</v>
      </c>
      <c r="C63" s="104"/>
      <c r="D63" s="104"/>
      <c r="E63" s="1538">
        <v>0</v>
      </c>
      <c r="F63" s="893"/>
      <c r="G63" s="1538">
        <v>0</v>
      </c>
      <c r="H63" s="893"/>
      <c r="I63" s="1538">
        <v>0</v>
      </c>
      <c r="J63" s="893"/>
      <c r="K63" s="1538">
        <v>0</v>
      </c>
      <c r="L63" s="893"/>
      <c r="M63" s="1538">
        <v>0</v>
      </c>
      <c r="N63" s="893"/>
      <c r="O63" s="1538">
        <v>0</v>
      </c>
      <c r="P63" s="893"/>
      <c r="Q63" s="1538">
        <f t="shared" si="7"/>
        <v>0</v>
      </c>
      <c r="R63" s="893"/>
      <c r="S63" s="1538"/>
      <c r="T63" s="1538"/>
      <c r="U63" s="1538"/>
      <c r="V63" s="893"/>
      <c r="W63" s="1538"/>
      <c r="X63" s="893"/>
      <c r="Y63" s="1538"/>
      <c r="Z63" s="893"/>
      <c r="AA63" s="1538"/>
      <c r="AB63" s="893"/>
      <c r="AC63" s="1413"/>
      <c r="AD63" s="1538">
        <v>0</v>
      </c>
      <c r="AE63" s="3208"/>
      <c r="AF63" s="1022"/>
      <c r="AG63" s="1538">
        <v>0</v>
      </c>
      <c r="AH63" s="124"/>
      <c r="AI63" s="1106"/>
      <c r="AJ63" s="1111">
        <f>ROUND(AD63-AG63,1)</f>
        <v>0</v>
      </c>
      <c r="AK63" s="1100"/>
      <c r="AL63" s="1726">
        <f>ROUND(IF(AG63=0,0,AJ63/ABS(AG63)),3)</f>
        <v>0</v>
      </c>
    </row>
    <row r="64" spans="1:41">
      <c r="A64" s="104"/>
      <c r="B64" s="104" t="s">
        <v>201</v>
      </c>
      <c r="C64" s="104"/>
      <c r="D64" s="104"/>
      <c r="E64" s="1538">
        <v>0</v>
      </c>
      <c r="F64" s="893"/>
      <c r="G64" s="1538">
        <v>0</v>
      </c>
      <c r="H64" s="893"/>
      <c r="I64" s="1538">
        <v>0</v>
      </c>
      <c r="J64" s="893"/>
      <c r="K64" s="1538">
        <v>0</v>
      </c>
      <c r="L64" s="893"/>
      <c r="M64" s="1538">
        <v>0</v>
      </c>
      <c r="N64" s="893"/>
      <c r="O64" s="1538">
        <v>0</v>
      </c>
      <c r="P64" s="893"/>
      <c r="Q64" s="1538">
        <f t="shared" si="7"/>
        <v>0</v>
      </c>
      <c r="R64" s="893"/>
      <c r="S64" s="1538"/>
      <c r="T64" s="1538"/>
      <c r="U64" s="1538"/>
      <c r="V64" s="893"/>
      <c r="W64" s="1538"/>
      <c r="X64" s="893"/>
      <c r="Y64" s="1538"/>
      <c r="Z64" s="893"/>
      <c r="AA64" s="1538"/>
      <c r="AB64" s="893"/>
      <c r="AC64" s="1413"/>
      <c r="AD64" s="1538">
        <v>0</v>
      </c>
      <c r="AE64" s="3208"/>
      <c r="AF64" s="1022"/>
      <c r="AG64" s="1538">
        <v>0</v>
      </c>
      <c r="AH64" s="124"/>
      <c r="AI64" s="1106"/>
      <c r="AJ64" s="1111">
        <f>ROUND(AD64-AG64,1)</f>
        <v>0</v>
      </c>
      <c r="AK64" s="1100"/>
      <c r="AL64" s="1726">
        <f>ROUND(IF(AG64=0,0,AJ64/ABS(AG64)),3)</f>
        <v>0</v>
      </c>
    </row>
    <row r="65" spans="1:39">
      <c r="A65" s="104"/>
      <c r="B65" s="1725" t="s">
        <v>212</v>
      </c>
      <c r="C65" s="104"/>
      <c r="D65" s="104"/>
      <c r="E65" s="1538">
        <v>57.7</v>
      </c>
      <c r="F65" s="893"/>
      <c r="G65" s="1538">
        <v>72.499999999999986</v>
      </c>
      <c r="H65" s="893"/>
      <c r="I65" s="1538">
        <v>140</v>
      </c>
      <c r="J65" s="893"/>
      <c r="K65" s="1538">
        <v>129</v>
      </c>
      <c r="L65" s="893"/>
      <c r="M65" s="1538">
        <v>118.50000000000006</v>
      </c>
      <c r="N65" s="893"/>
      <c r="O65" s="1538">
        <v>159.2999999999999</v>
      </c>
      <c r="P65" s="893"/>
      <c r="Q65" s="1538">
        <f t="shared" si="7"/>
        <v>103.39999999999998</v>
      </c>
      <c r="R65" s="893"/>
      <c r="S65" s="1538"/>
      <c r="T65" s="1538"/>
      <c r="U65" s="1538"/>
      <c r="V65" s="893"/>
      <c r="W65" s="1538"/>
      <c r="X65" s="893"/>
      <c r="Y65" s="1538"/>
      <c r="Z65" s="893"/>
      <c r="AA65" s="1538"/>
      <c r="AB65" s="893"/>
      <c r="AC65" s="1413"/>
      <c r="AD65" s="3209">
        <v>780.4</v>
      </c>
      <c r="AE65" s="3208"/>
      <c r="AF65" s="1022"/>
      <c r="AG65" s="3209">
        <v>709.3</v>
      </c>
      <c r="AH65" s="68"/>
      <c r="AI65" s="1080"/>
      <c r="AJ65" s="1113">
        <f>ROUND(AD65-AG65,1)</f>
        <v>71.099999999999994</v>
      </c>
      <c r="AK65" s="1100"/>
      <c r="AL65" s="1727">
        <f>ROUND(IF(AG65=0,0,AJ65/ABS(AG65)),3)</f>
        <v>0.1</v>
      </c>
    </row>
    <row r="66" spans="1:39">
      <c r="A66" s="104"/>
      <c r="B66" s="104"/>
      <c r="C66" s="104"/>
      <c r="D66" s="104"/>
      <c r="E66" s="1040"/>
      <c r="F66" s="893"/>
      <c r="G66" s="1040"/>
      <c r="H66" s="893"/>
      <c r="I66" s="1040"/>
      <c r="J66" s="893"/>
      <c r="K66" s="1040"/>
      <c r="L66" s="115"/>
      <c r="M66" s="123"/>
      <c r="N66" s="115"/>
      <c r="O66" s="123"/>
      <c r="P66" s="115"/>
      <c r="Q66" s="123"/>
      <c r="R66" s="115"/>
      <c r="S66" s="123"/>
      <c r="T66" s="115"/>
      <c r="U66" s="123"/>
      <c r="V66" s="115"/>
      <c r="W66" s="123"/>
      <c r="X66" s="115"/>
      <c r="Y66" s="123"/>
      <c r="Z66" s="115"/>
      <c r="AA66" s="123"/>
      <c r="AB66" s="115"/>
      <c r="AC66" s="676"/>
      <c r="AD66" s="355"/>
      <c r="AE66" s="1079"/>
      <c r="AF66" s="676"/>
      <c r="AG66" s="355"/>
      <c r="AH66" s="355"/>
      <c r="AI66" s="1107"/>
      <c r="AJ66" s="355"/>
      <c r="AK66" s="1100"/>
      <c r="AL66" s="1082"/>
    </row>
    <row r="67" spans="1:39">
      <c r="A67" s="104"/>
      <c r="B67" s="102" t="s">
        <v>202</v>
      </c>
      <c r="C67" s="104"/>
      <c r="D67" s="104"/>
      <c r="E67" s="109">
        <f>ROUND(SUM(E60:E65),1)</f>
        <v>79.7</v>
      </c>
      <c r="F67" s="109"/>
      <c r="G67" s="109">
        <f>ROUND(SUM(G60:G65),1)</f>
        <v>114</v>
      </c>
      <c r="H67" s="109"/>
      <c r="I67" s="109">
        <f>ROUND(SUM(I60:I65),1)</f>
        <v>178.7</v>
      </c>
      <c r="J67" s="109"/>
      <c r="K67" s="109">
        <f>ROUND(SUM(K60:K65),1)</f>
        <v>171.7</v>
      </c>
      <c r="L67" s="109"/>
      <c r="M67" s="109">
        <f>ROUND(SUM(M60:M65),1)</f>
        <v>161.19999999999999</v>
      </c>
      <c r="N67" s="109"/>
      <c r="O67" s="109">
        <f>ROUND(SUM(O60:O65),1)</f>
        <v>213</v>
      </c>
      <c r="P67" s="109"/>
      <c r="Q67" s="109">
        <f>ROUND(SUM(Q60:Q65),1)</f>
        <v>154.1</v>
      </c>
      <c r="R67" s="109"/>
      <c r="S67" s="109">
        <f>ROUND(SUM(S60:S65),1)</f>
        <v>0</v>
      </c>
      <c r="T67" s="109"/>
      <c r="U67" s="109">
        <f>ROUND(SUM(U60:U65),1)</f>
        <v>0</v>
      </c>
      <c r="V67" s="109"/>
      <c r="W67" s="109">
        <f>ROUND(SUM(W60:W65),1)</f>
        <v>0</v>
      </c>
      <c r="X67" s="109"/>
      <c r="Y67" s="109">
        <f>ROUND(SUM(Y60:Y65),1)</f>
        <v>0</v>
      </c>
      <c r="Z67" s="109"/>
      <c r="AA67" s="109">
        <f>ROUND(SUM(AA60:AA65),1)</f>
        <v>0</v>
      </c>
      <c r="AB67" s="109"/>
      <c r="AC67" s="677"/>
      <c r="AD67" s="109">
        <f>SUM(AD60:AD65)</f>
        <v>1072.4000000000001</v>
      </c>
      <c r="AE67" s="1084"/>
      <c r="AF67" s="677"/>
      <c r="AG67" s="109">
        <f>SUM(AG60:AG65)</f>
        <v>1053.5999999999999</v>
      </c>
      <c r="AH67" s="112"/>
      <c r="AI67" s="1102"/>
      <c r="AJ67" s="110">
        <f>ROUND(AD67-AG67,1)</f>
        <v>18.8</v>
      </c>
      <c r="AK67" s="3716"/>
      <c r="AL67" s="3715">
        <f>ROUND(SUM(AD67-AG67)/ABS(AG67),3)</f>
        <v>1.7999999999999999E-2</v>
      </c>
    </row>
    <row r="68" spans="1:39">
      <c r="A68" s="104"/>
      <c r="B68" s="104"/>
      <c r="C68" s="104"/>
      <c r="D68" s="104"/>
      <c r="E68" s="1040"/>
      <c r="F68" s="893"/>
      <c r="G68" s="1040"/>
      <c r="H68" s="893"/>
      <c r="I68" s="1040"/>
      <c r="J68" s="893"/>
      <c r="K68" s="1040"/>
      <c r="L68" s="115"/>
      <c r="M68" s="123"/>
      <c r="N68" s="115"/>
      <c r="O68" s="123"/>
      <c r="P68" s="115"/>
      <c r="Q68" s="123"/>
      <c r="R68" s="115"/>
      <c r="S68" s="123"/>
      <c r="T68" s="115"/>
      <c r="U68" s="123"/>
      <c r="V68" s="115"/>
      <c r="W68" s="123"/>
      <c r="X68" s="115"/>
      <c r="Y68" s="123"/>
      <c r="Z68" s="115"/>
      <c r="AA68" s="123"/>
      <c r="AB68" s="115"/>
      <c r="AC68" s="676"/>
      <c r="AD68" s="1040" t="s">
        <v>15</v>
      </c>
      <c r="AE68" s="1079"/>
      <c r="AF68" s="676"/>
      <c r="AG68" s="123"/>
      <c r="AH68" s="65"/>
      <c r="AI68" s="1102"/>
      <c r="AJ68" s="355"/>
      <c r="AK68" s="1100"/>
      <c r="AL68" s="1082"/>
    </row>
    <row r="69" spans="1:39">
      <c r="A69" s="104"/>
      <c r="B69" s="102" t="s">
        <v>203</v>
      </c>
      <c r="C69" s="104"/>
      <c r="D69" s="104"/>
      <c r="E69" s="893"/>
      <c r="F69" s="893"/>
      <c r="G69" s="893"/>
      <c r="H69" s="893"/>
      <c r="I69" s="893"/>
      <c r="J69" s="893"/>
      <c r="K69" s="893"/>
      <c r="L69" s="115"/>
      <c r="M69" s="115"/>
      <c r="N69" s="115"/>
      <c r="O69" s="115"/>
      <c r="P69" s="115"/>
      <c r="Q69" s="115"/>
      <c r="R69" s="115"/>
      <c r="S69" s="115"/>
      <c r="T69" s="115"/>
      <c r="U69" s="115"/>
      <c r="V69" s="115"/>
      <c r="W69" s="115"/>
      <c r="X69" s="115"/>
      <c r="Y69" s="115"/>
      <c r="Z69" s="115"/>
      <c r="AA69" s="115"/>
      <c r="AB69" s="115"/>
      <c r="AC69" s="676"/>
      <c r="AD69" s="355" t="s">
        <v>15</v>
      </c>
      <c r="AE69" s="1079"/>
      <c r="AF69" s="65"/>
      <c r="AG69" s="355"/>
      <c r="AH69" s="355"/>
      <c r="AI69" s="1107"/>
      <c r="AJ69" s="355"/>
      <c r="AK69" s="1100"/>
      <c r="AL69" s="1082"/>
    </row>
    <row r="70" spans="1:39">
      <c r="A70" s="104"/>
      <c r="B70" s="102" t="s">
        <v>204</v>
      </c>
      <c r="C70" s="104"/>
      <c r="D70" s="104"/>
      <c r="E70" s="109">
        <f>ROUND(E46-E67,1)</f>
        <v>6.1</v>
      </c>
      <c r="F70" s="109"/>
      <c r="G70" s="109">
        <f>ROUND(G46-G67,1)</f>
        <v>-11.3</v>
      </c>
      <c r="H70" s="109"/>
      <c r="I70" s="109">
        <f>ROUND(I46-I67,1)</f>
        <v>-10.7</v>
      </c>
      <c r="J70" s="109"/>
      <c r="K70" s="109">
        <f>ROUND(K46-K67,1)</f>
        <v>37.4</v>
      </c>
      <c r="L70" s="109"/>
      <c r="M70" s="109">
        <f>ROUND(M46-M67,1)</f>
        <v>25.6</v>
      </c>
      <c r="N70" s="109"/>
      <c r="O70" s="109">
        <f>ROUND(O46-O67,1)</f>
        <v>-37.700000000000003</v>
      </c>
      <c r="P70" s="109"/>
      <c r="Q70" s="109">
        <f>ROUND(Q46-Q67,1)</f>
        <v>13.7</v>
      </c>
      <c r="R70" s="109"/>
      <c r="S70" s="109">
        <f>ROUND(S46-S67,1)</f>
        <v>0</v>
      </c>
      <c r="T70" s="109"/>
      <c r="U70" s="109">
        <f>ROUND(U46-U67,1)</f>
        <v>0</v>
      </c>
      <c r="V70" s="109"/>
      <c r="W70" s="109">
        <f>ROUND(W46-W67,1)</f>
        <v>0</v>
      </c>
      <c r="X70" s="109"/>
      <c r="Y70" s="109">
        <f>ROUND(Y46-Y67,1)</f>
        <v>0</v>
      </c>
      <c r="Z70" s="109"/>
      <c r="AA70" s="109">
        <f>ROUND(AA46-AA67,1)</f>
        <v>0</v>
      </c>
      <c r="AB70" s="109"/>
      <c r="AC70" s="677"/>
      <c r="AD70" s="109">
        <f>ROUND(SUM(AD46-AD67),1)</f>
        <v>23.1</v>
      </c>
      <c r="AE70" s="1084"/>
      <c r="AF70" s="677"/>
      <c r="AG70" s="109">
        <f>ROUND(SUM(AG46-AG67),1)</f>
        <v>107.7</v>
      </c>
      <c r="AH70" s="112"/>
      <c r="AI70" s="1102"/>
      <c r="AJ70" s="110">
        <f>ROUND(AD70-AG70,1)</f>
        <v>-84.6</v>
      </c>
      <c r="AK70" s="3716"/>
      <c r="AL70" s="3675">
        <f>ROUND(SUM(AD70-AG70)/ABS(AG70),3)</f>
        <v>-0.78600000000000003</v>
      </c>
    </row>
    <row r="71" spans="1:39">
      <c r="A71" s="104"/>
      <c r="B71" s="104"/>
      <c r="C71" s="104"/>
      <c r="D71" s="104"/>
      <c r="E71" s="1040"/>
      <c r="F71" s="893"/>
      <c r="G71" s="1040"/>
      <c r="H71" s="893"/>
      <c r="I71" s="1040"/>
      <c r="J71" s="893"/>
      <c r="K71" s="1040"/>
      <c r="L71" s="115"/>
      <c r="M71" s="123"/>
      <c r="N71" s="115"/>
      <c r="O71" s="123"/>
      <c r="P71" s="115"/>
      <c r="Q71" s="123"/>
      <c r="R71" s="115"/>
      <c r="S71" s="123"/>
      <c r="T71" s="115"/>
      <c r="U71" s="123"/>
      <c r="V71" s="115"/>
      <c r="W71" s="123"/>
      <c r="X71" s="115"/>
      <c r="Y71" s="123"/>
      <c r="Z71" s="115"/>
      <c r="AA71" s="123"/>
      <c r="AB71" s="115"/>
      <c r="AC71" s="676"/>
      <c r="AD71" s="123"/>
      <c r="AE71" s="1079"/>
      <c r="AF71" s="676"/>
      <c r="AG71" s="123"/>
      <c r="AH71" s="65"/>
      <c r="AI71" s="1102"/>
      <c r="AJ71" s="355"/>
      <c r="AK71" s="1100"/>
      <c r="AL71" s="1082"/>
    </row>
    <row r="72" spans="1:39">
      <c r="A72" s="104"/>
      <c r="B72" s="102" t="s">
        <v>205</v>
      </c>
      <c r="C72" s="104"/>
      <c r="D72" s="104"/>
      <c r="E72" s="893"/>
      <c r="F72" s="893"/>
      <c r="G72" s="893"/>
      <c r="H72" s="893"/>
      <c r="I72" s="893"/>
      <c r="J72" s="893"/>
      <c r="K72" s="893"/>
      <c r="L72" s="115"/>
      <c r="M72" s="115"/>
      <c r="N72" s="115"/>
      <c r="O72" s="115"/>
      <c r="P72" s="115"/>
      <c r="Q72" s="115"/>
      <c r="R72" s="115"/>
      <c r="S72" s="115"/>
      <c r="T72" s="115"/>
      <c r="U72" s="115"/>
      <c r="V72" s="115"/>
      <c r="W72" s="115" t="s">
        <v>15</v>
      </c>
      <c r="X72" s="115"/>
      <c r="Y72" s="115"/>
      <c r="Z72" s="115"/>
      <c r="AA72" s="115"/>
      <c r="AB72" s="115"/>
      <c r="AC72" s="676"/>
      <c r="AD72" s="124"/>
      <c r="AE72" s="1079"/>
      <c r="AF72" s="676"/>
      <c r="AG72" s="124"/>
      <c r="AH72" s="124"/>
      <c r="AI72" s="1106"/>
      <c r="AJ72" s="355"/>
      <c r="AK72" s="1100"/>
      <c r="AL72" s="1082"/>
    </row>
    <row r="73" spans="1:39">
      <c r="A73" s="104"/>
      <c r="B73" s="1725" t="s">
        <v>213</v>
      </c>
      <c r="C73" s="104"/>
      <c r="D73" s="104"/>
      <c r="E73" s="1538">
        <v>0</v>
      </c>
      <c r="F73" s="893"/>
      <c r="G73" s="1538">
        <v>0</v>
      </c>
      <c r="H73" s="893"/>
      <c r="I73" s="1538">
        <v>0</v>
      </c>
      <c r="J73" s="893"/>
      <c r="K73" s="1538">
        <v>0</v>
      </c>
      <c r="L73" s="893"/>
      <c r="M73" s="1538">
        <v>0</v>
      </c>
      <c r="N73" s="893"/>
      <c r="O73" s="1538">
        <v>0</v>
      </c>
      <c r="P73" s="893"/>
      <c r="Q73" s="1538">
        <f t="shared" ref="Q73:Q74" si="8">$AD73-$E73-$G73-$I73-$K73-$M73-$O73</f>
        <v>0</v>
      </c>
      <c r="R73" s="893"/>
      <c r="S73" s="1538"/>
      <c r="T73" s="1538"/>
      <c r="U73" s="1538"/>
      <c r="V73" s="893"/>
      <c r="W73" s="1538"/>
      <c r="X73" s="893"/>
      <c r="Y73" s="1538"/>
      <c r="Z73" s="893"/>
      <c r="AA73" s="1538"/>
      <c r="AB73" s="893"/>
      <c r="AC73" s="1413"/>
      <c r="AD73" s="1538">
        <v>0</v>
      </c>
      <c r="AE73" s="3208"/>
      <c r="AF73" s="1022"/>
      <c r="AG73" s="1538">
        <v>0</v>
      </c>
      <c r="AH73" s="116"/>
      <c r="AI73" s="1080"/>
      <c r="AJ73" s="1932">
        <f>-ROUND(AD73-AG73,1)</f>
        <v>0</v>
      </c>
      <c r="AK73" s="1100"/>
      <c r="AL73" s="1726">
        <f>ROUND(IF(AG73=0,0,AJ73/ABS(AG73)),3)</f>
        <v>0</v>
      </c>
      <c r="AM73" s="1100"/>
    </row>
    <row r="74" spans="1:39">
      <c r="A74" s="104"/>
      <c r="B74" s="1725" t="s">
        <v>214</v>
      </c>
      <c r="C74" s="104"/>
      <c r="D74" s="104"/>
      <c r="E74" s="1538">
        <v>0</v>
      </c>
      <c r="F74" s="893"/>
      <c r="G74" s="1538">
        <v>0</v>
      </c>
      <c r="H74" s="893"/>
      <c r="I74" s="1538">
        <v>0</v>
      </c>
      <c r="J74" s="893"/>
      <c r="K74" s="1538">
        <v>0</v>
      </c>
      <c r="L74" s="893"/>
      <c r="M74" s="1538">
        <v>0</v>
      </c>
      <c r="N74" s="893"/>
      <c r="O74" s="1538">
        <v>0</v>
      </c>
      <c r="P74" s="893"/>
      <c r="Q74" s="1538">
        <f t="shared" si="8"/>
        <v>0</v>
      </c>
      <c r="R74" s="893"/>
      <c r="S74" s="1538"/>
      <c r="T74" s="1538"/>
      <c r="U74" s="1538"/>
      <c r="V74" s="893"/>
      <c r="W74" s="1538"/>
      <c r="X74" s="893"/>
      <c r="Y74" s="1538"/>
      <c r="Z74" s="893"/>
      <c r="AA74" s="1538"/>
      <c r="AB74" s="893"/>
      <c r="AC74" s="1413"/>
      <c r="AD74" s="3209">
        <v>0</v>
      </c>
      <c r="AE74" s="3208"/>
      <c r="AF74" s="1022"/>
      <c r="AG74" s="3209">
        <v>-175.9</v>
      </c>
      <c r="AH74" s="65"/>
      <c r="AI74" s="1102"/>
      <c r="AJ74" s="1113">
        <f>-ROUND(AD74-AG74,1)</f>
        <v>-175.9</v>
      </c>
      <c r="AK74" s="1100"/>
      <c r="AL74" s="1728">
        <f>ROUND(IF(AG74=0,0,AJ74/ABS(AG74)),3)</f>
        <v>-1</v>
      </c>
    </row>
    <row r="75" spans="1:39">
      <c r="A75" s="104"/>
      <c r="B75" s="104"/>
      <c r="C75" s="104"/>
      <c r="D75" s="104"/>
      <c r="E75" s="123"/>
      <c r="F75" s="115"/>
      <c r="G75" s="123"/>
      <c r="H75" s="115"/>
      <c r="I75" s="123"/>
      <c r="J75" s="115"/>
      <c r="K75" s="123"/>
      <c r="L75" s="115"/>
      <c r="M75" s="123"/>
      <c r="N75" s="115"/>
      <c r="O75" s="123"/>
      <c r="P75" s="115"/>
      <c r="Q75" s="123"/>
      <c r="R75" s="115"/>
      <c r="S75" s="123"/>
      <c r="T75" s="115"/>
      <c r="U75" s="123"/>
      <c r="V75" s="115"/>
      <c r="W75" s="1482"/>
      <c r="X75" s="115"/>
      <c r="Y75" s="123"/>
      <c r="Z75" s="115"/>
      <c r="AA75" s="123"/>
      <c r="AB75" s="115"/>
      <c r="AC75" s="676"/>
      <c r="AD75" s="355"/>
      <c r="AE75" s="1079"/>
      <c r="AF75" s="676"/>
      <c r="AG75" s="355"/>
      <c r="AH75" s="355"/>
      <c r="AI75" s="1107"/>
      <c r="AJ75" s="1114"/>
      <c r="AK75" s="3718"/>
      <c r="AL75" s="3719"/>
      <c r="AM75" s="1100"/>
    </row>
    <row r="76" spans="1:39">
      <c r="A76" s="104"/>
      <c r="B76" s="102" t="s">
        <v>207</v>
      </c>
      <c r="C76" s="104"/>
      <c r="D76" s="104"/>
      <c r="E76" s="1109">
        <f>ROUND(SUM(E73:E75),1)</f>
        <v>0</v>
      </c>
      <c r="F76" s="115"/>
      <c r="G76" s="1109">
        <f>ROUND(SUM(G73:G75),1)</f>
        <v>0</v>
      </c>
      <c r="H76" s="115"/>
      <c r="I76" s="1109">
        <f>ROUND(SUM(I73:I75),1)</f>
        <v>0</v>
      </c>
      <c r="J76" s="115"/>
      <c r="K76" s="1109">
        <f>ROUND(SUM(K73:K75),1)</f>
        <v>0</v>
      </c>
      <c r="L76" s="115"/>
      <c r="M76" s="1109">
        <f>ROUND(SUM(M73:M75),1)</f>
        <v>0</v>
      </c>
      <c r="N76" s="115"/>
      <c r="O76" s="1109">
        <f>ROUND(SUM(O73:O75),1)</f>
        <v>0</v>
      </c>
      <c r="P76" s="115"/>
      <c r="Q76" s="1109">
        <f>ROUND(SUM(Q73:Q75),1)</f>
        <v>0</v>
      </c>
      <c r="R76" s="124"/>
      <c r="S76" s="1109">
        <f>ROUND(SUM(S73:S75),1)</f>
        <v>0</v>
      </c>
      <c r="T76" s="115"/>
      <c r="U76" s="1109">
        <f>ROUND(SUM(U73:U75),1)</f>
        <v>0</v>
      </c>
      <c r="V76" s="115"/>
      <c r="W76" s="1109">
        <f>ROUND(SUM(W73:W75),1)</f>
        <v>0</v>
      </c>
      <c r="X76" s="115"/>
      <c r="Y76" s="1109">
        <f>ROUND(SUM(Y73:Y75),1)</f>
        <v>0</v>
      </c>
      <c r="Z76" s="116"/>
      <c r="AA76" s="1109">
        <f>ROUND(SUM(AA73:AA75),1)</f>
        <v>0</v>
      </c>
      <c r="AB76" s="115"/>
      <c r="AC76" s="676"/>
      <c r="AD76" s="1109">
        <f>ROUND(SUM(AD73:AD75),1)</f>
        <v>0</v>
      </c>
      <c r="AE76" s="1079"/>
      <c r="AF76" s="676"/>
      <c r="AG76" s="1109">
        <f>ROUND(SUM(AG73:AG75),1)</f>
        <v>-175.9</v>
      </c>
      <c r="AH76" s="65"/>
      <c r="AI76" s="1102"/>
      <c r="AJ76" s="1109">
        <f>ROUND(SUM(AJ73:AJ75),1)</f>
        <v>-175.9</v>
      </c>
      <c r="AK76" s="3718"/>
      <c r="AL76" s="2596">
        <f>ROUND(IF(AG76=0,0,AJ76/ABS(AG76)),3)</f>
        <v>-1</v>
      </c>
    </row>
    <row r="77" spans="1:39">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76"/>
      <c r="AD77" s="123"/>
      <c r="AE77" s="1079"/>
      <c r="AF77" s="676"/>
      <c r="AG77" s="123"/>
      <c r="AH77" s="65"/>
      <c r="AI77" s="1102"/>
      <c r="AJ77" s="123"/>
      <c r="AK77" s="1100"/>
      <c r="AL77" s="2169"/>
    </row>
    <row r="78" spans="1:39">
      <c r="A78" s="104"/>
      <c r="B78" s="102" t="s">
        <v>208</v>
      </c>
      <c r="C78" s="104"/>
      <c r="D78" s="104"/>
      <c r="E78" s="115" t="s">
        <v>15</v>
      </c>
      <c r="F78" s="115" t="s">
        <v>15</v>
      </c>
      <c r="G78" s="115" t="s">
        <v>15</v>
      </c>
      <c r="H78" s="115"/>
      <c r="I78" s="115" t="s">
        <v>15</v>
      </c>
      <c r="J78" s="115"/>
      <c r="K78" s="115" t="s">
        <v>15</v>
      </c>
      <c r="L78" s="115"/>
      <c r="M78" s="115" t="s">
        <v>15</v>
      </c>
      <c r="N78" s="115"/>
      <c r="O78" s="115" t="s">
        <v>15</v>
      </c>
      <c r="P78" s="115"/>
      <c r="Q78" s="115" t="s">
        <v>15</v>
      </c>
      <c r="R78" s="115"/>
      <c r="S78" s="115" t="s">
        <v>15</v>
      </c>
      <c r="T78" s="115"/>
      <c r="U78" s="115" t="s">
        <v>15</v>
      </c>
      <c r="V78" s="115"/>
      <c r="W78" s="115" t="s">
        <v>15</v>
      </c>
      <c r="X78" s="115"/>
      <c r="Y78" s="115" t="s">
        <v>15</v>
      </c>
      <c r="Z78" s="115"/>
      <c r="AA78" s="115" t="s">
        <v>15</v>
      </c>
      <c r="AB78" s="115"/>
      <c r="AC78" s="676"/>
      <c r="AD78" s="115"/>
      <c r="AE78" s="1079"/>
      <c r="AF78" s="676"/>
      <c r="AG78" s="115"/>
      <c r="AH78" s="115"/>
      <c r="AI78" s="1102"/>
      <c r="AJ78" s="355"/>
      <c r="AK78" s="1100"/>
      <c r="AL78" s="1082"/>
    </row>
    <row r="79" spans="1:39">
      <c r="A79" s="104"/>
      <c r="B79" s="102" t="s">
        <v>209</v>
      </c>
      <c r="C79" s="104"/>
      <c r="D79" s="104"/>
      <c r="E79" s="115"/>
      <c r="F79" s="115"/>
      <c r="G79" s="115" t="s">
        <v>15</v>
      </c>
      <c r="H79" s="115"/>
      <c r="I79" s="115" t="s">
        <v>15</v>
      </c>
      <c r="J79" s="115"/>
      <c r="K79" s="115" t="s">
        <v>15</v>
      </c>
      <c r="L79" s="115"/>
      <c r="M79" s="115" t="s">
        <v>15</v>
      </c>
      <c r="N79" s="115"/>
      <c r="O79" s="115" t="s">
        <v>15</v>
      </c>
      <c r="P79" s="115"/>
      <c r="Q79" s="115" t="s">
        <v>15</v>
      </c>
      <c r="R79" s="115"/>
      <c r="S79" s="115" t="s">
        <v>15</v>
      </c>
      <c r="T79" s="115"/>
      <c r="U79" s="115" t="s">
        <v>15</v>
      </c>
      <c r="V79" s="115"/>
      <c r="W79" s="115" t="s">
        <v>15</v>
      </c>
      <c r="X79" s="115"/>
      <c r="Y79" s="115" t="s">
        <v>15</v>
      </c>
      <c r="Z79" s="115"/>
      <c r="AA79" s="115" t="s">
        <v>15</v>
      </c>
      <c r="AB79" s="115"/>
      <c r="AC79" s="676"/>
      <c r="AD79" s="115"/>
      <c r="AE79" s="1079"/>
      <c r="AF79" s="676"/>
      <c r="AG79" s="115"/>
      <c r="AH79" s="115"/>
      <c r="AI79" s="1102"/>
      <c r="AJ79" s="355"/>
      <c r="AK79" s="1100"/>
      <c r="AL79" s="1082"/>
    </row>
    <row r="80" spans="1:39">
      <c r="A80" s="104"/>
      <c r="B80" s="102" t="s">
        <v>167</v>
      </c>
      <c r="C80" s="104"/>
      <c r="D80" s="104"/>
      <c r="E80" s="1105">
        <f>ROUND(E70+E76,1)</f>
        <v>6.1</v>
      </c>
      <c r="F80" s="65"/>
      <c r="G80" s="1105">
        <f>ROUND(G70+G76,1)</f>
        <v>-11.3</v>
      </c>
      <c r="H80" s="65"/>
      <c r="I80" s="1105">
        <f>ROUND(I70+I76,1)</f>
        <v>-10.7</v>
      </c>
      <c r="J80" s="65"/>
      <c r="K80" s="1105">
        <f>ROUND(K70+K76,1)</f>
        <v>37.4</v>
      </c>
      <c r="L80" s="65"/>
      <c r="M80" s="1105">
        <f>ROUND(M70+M76,1)</f>
        <v>25.6</v>
      </c>
      <c r="N80" s="65"/>
      <c r="O80" s="1105">
        <f>ROUND(O70+O76,1)</f>
        <v>-37.700000000000003</v>
      </c>
      <c r="P80" s="65"/>
      <c r="Q80" s="1105">
        <f>ROUND(Q70+Q76,1)</f>
        <v>13.7</v>
      </c>
      <c r="R80" s="65"/>
      <c r="S80" s="1105">
        <f>ROUND(S70+S76,1)</f>
        <v>0</v>
      </c>
      <c r="T80" s="65"/>
      <c r="U80" s="1105">
        <f>ROUND(U70+U76,1)</f>
        <v>0</v>
      </c>
      <c r="V80" s="65"/>
      <c r="W80" s="1105">
        <f>ROUND(W70+W76,1)</f>
        <v>0</v>
      </c>
      <c r="X80" s="65"/>
      <c r="Y80" s="1105">
        <f>ROUND(Y70+Y76,1)</f>
        <v>0</v>
      </c>
      <c r="Z80" s="65"/>
      <c r="AA80" s="1105">
        <f>ROUND(AA70+AA76,1)</f>
        <v>0</v>
      </c>
      <c r="AB80" s="65"/>
      <c r="AC80" s="1070"/>
      <c r="AD80" s="1105">
        <f>ROUND(AD70+AD76,1)</f>
        <v>23.1</v>
      </c>
      <c r="AE80" s="3210"/>
      <c r="AF80" s="3213"/>
      <c r="AG80" s="1105">
        <f>ROUND(AG70+AG76,1)</f>
        <v>-68.2</v>
      </c>
      <c r="AH80" s="1847"/>
      <c r="AI80" s="1848"/>
      <c r="AJ80" s="1105">
        <f>ROUND(AD80-AG80,1)</f>
        <v>91.3</v>
      </c>
      <c r="AK80" s="3468"/>
      <c r="AL80" s="3675">
        <f>ROUND(SUM(AD80-AG80)/ABS(AG80),3)</f>
        <v>1.339</v>
      </c>
      <c r="AM80" s="3720"/>
    </row>
    <row r="81" spans="1:39">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70"/>
      <c r="AD81" s="136"/>
      <c r="AE81" s="3211"/>
      <c r="AF81" s="3214"/>
      <c r="AG81" s="136"/>
      <c r="AH81" s="1379"/>
      <c r="AI81" s="1380"/>
      <c r="AJ81" s="136"/>
      <c r="AK81" s="3716"/>
      <c r="AL81" s="3721"/>
      <c r="AM81" s="3720"/>
    </row>
    <row r="82" spans="1:39" ht="16" thickBot="1">
      <c r="A82" s="104"/>
      <c r="B82" s="102" t="s">
        <v>1186</v>
      </c>
      <c r="C82" s="104"/>
      <c r="D82" s="104"/>
      <c r="E82" s="1849">
        <f>ROUND(SUM(E14+E80),1)</f>
        <v>-556.6</v>
      </c>
      <c r="F82" s="115"/>
      <c r="G82" s="1849">
        <f>ROUND(SUM(G14+G80),1)</f>
        <v>-567.9</v>
      </c>
      <c r="H82" s="115"/>
      <c r="I82" s="1849">
        <f>ROUND(SUM(I14+I80),1)</f>
        <v>-578.6</v>
      </c>
      <c r="J82" s="115"/>
      <c r="K82" s="1849">
        <f>ROUND(SUM(K14+K80),1)</f>
        <v>-541.20000000000005</v>
      </c>
      <c r="L82" s="115"/>
      <c r="M82" s="1849">
        <f>ROUND(SUM(M14+M80),1)</f>
        <v>-515.6</v>
      </c>
      <c r="N82" s="115"/>
      <c r="O82" s="1849">
        <f>ROUND(SUM(O14+O80),1)</f>
        <v>-553.29999999999995</v>
      </c>
      <c r="P82" s="115"/>
      <c r="Q82" s="1849">
        <f>ROUND(SUM(Q14+Q80),1)</f>
        <v>-539.6</v>
      </c>
      <c r="R82" s="115"/>
      <c r="S82" s="1849">
        <f>ROUND(SUM(S14+S80),1)</f>
        <v>0</v>
      </c>
      <c r="T82" s="115"/>
      <c r="U82" s="1849">
        <f>ROUND(SUM(U14+U80),1)</f>
        <v>0</v>
      </c>
      <c r="V82" s="115"/>
      <c r="W82" s="1849">
        <f>ROUND(SUM(W14+W80),1)</f>
        <v>0</v>
      </c>
      <c r="X82" s="115"/>
      <c r="Y82" s="1849">
        <f>ROUND(SUM(Y14+Y80),1)</f>
        <v>0</v>
      </c>
      <c r="Z82" s="115"/>
      <c r="AA82" s="1849">
        <f>ROUND(SUM(AA14+AA80),1)</f>
        <v>0</v>
      </c>
      <c r="AB82" s="115"/>
      <c r="AC82" s="1070"/>
      <c r="AD82" s="1849">
        <f>ROUND(SUM(AD14+AD80),1)</f>
        <v>-539.6</v>
      </c>
      <c r="AE82" s="3211"/>
      <c r="AF82" s="3214"/>
      <c r="AG82" s="1849">
        <f>ROUND(SUM(AG14+AG80),1)</f>
        <v>-572.9</v>
      </c>
      <c r="AH82" s="1379"/>
      <c r="AI82" s="1380"/>
      <c r="AJ82" s="1849">
        <f>ROUND(SUM(AJ14+AJ80),1)</f>
        <v>33.299999999999997</v>
      </c>
      <c r="AK82" s="3716"/>
      <c r="AL82" s="3722">
        <f>ROUND(SUM(AD82-AG82)/ABS(AG82),3)</f>
        <v>5.8000000000000003E-2</v>
      </c>
      <c r="AM82" s="3720"/>
    </row>
    <row r="83" spans="1:39" ht="16"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15"/>
      <c r="AJ83" s="1100"/>
      <c r="AK83" s="1100"/>
      <c r="AL83" s="3723"/>
    </row>
    <row r="84" spans="1:39">
      <c r="A84" s="104"/>
      <c r="B84" s="3724"/>
      <c r="C84" s="104"/>
      <c r="D84" s="104"/>
      <c r="E84" s="106"/>
      <c r="F84" s="104"/>
      <c r="G84" s="106"/>
      <c r="H84" s="104"/>
      <c r="I84" s="106"/>
      <c r="J84" s="104"/>
      <c r="K84" s="106"/>
      <c r="L84" s="104"/>
      <c r="M84" s="106"/>
      <c r="N84" s="104"/>
      <c r="O84" s="106"/>
      <c r="P84" s="104"/>
      <c r="Q84" s="106"/>
      <c r="R84" s="104"/>
      <c r="S84" s="3725" t="s">
        <v>15</v>
      </c>
      <c r="T84" s="104"/>
      <c r="U84" s="3725" t="s">
        <v>15</v>
      </c>
      <c r="V84" s="104"/>
      <c r="W84" s="106"/>
      <c r="X84" s="104"/>
      <c r="Y84" s="106"/>
      <c r="Z84" s="104"/>
      <c r="AA84" s="106"/>
      <c r="AB84" s="104"/>
      <c r="AC84" s="104"/>
      <c r="AD84" s="106"/>
      <c r="AE84" s="104"/>
      <c r="AF84" s="104"/>
      <c r="AG84" s="106"/>
      <c r="AH84" s="106"/>
      <c r="AI84" s="106"/>
      <c r="AJ84" s="1100"/>
      <c r="AK84" s="1100"/>
      <c r="AL84" s="1082"/>
    </row>
    <row r="85" spans="1:39">
      <c r="B85" s="104"/>
      <c r="Y85" s="3469" t="s">
        <v>15</v>
      </c>
      <c r="AI85" s="1100"/>
      <c r="AJ85" s="1088" t="s">
        <v>15</v>
      </c>
      <c r="AK85" s="1100"/>
      <c r="AL85" s="3726"/>
    </row>
    <row r="90" spans="1:39">
      <c r="AD90" s="321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69140625" defaultRowHeight="16.5" customHeight="1"/>
  <cols>
    <col min="1" max="1" width="45.07421875" style="99" customWidth="1"/>
    <col min="2" max="2" width="1.69140625" style="99" customWidth="1"/>
    <col min="3" max="3" width="9.69140625" style="99" customWidth="1"/>
    <col min="4" max="4" width="1.69140625" style="99" customWidth="1"/>
    <col min="5" max="5" width="10" style="99" customWidth="1"/>
    <col min="6" max="6" width="1.69140625" style="99" customWidth="1"/>
    <col min="7" max="7" width="11.53515625" style="99" customWidth="1"/>
    <col min="8" max="8" width="1.69140625" style="99" customWidth="1"/>
    <col min="9" max="9" width="11.07421875" style="99" bestFit="1" customWidth="1"/>
    <col min="10" max="10" width="1.53515625" style="99" customWidth="1"/>
    <col min="11" max="11" width="10.07421875" style="99" customWidth="1"/>
    <col min="12" max="12" width="1.53515625" style="99" customWidth="1"/>
    <col min="13" max="13" width="13.07421875" style="99" customWidth="1"/>
    <col min="14" max="14" width="1.69140625" style="99" customWidth="1"/>
    <col min="15" max="15" width="11.69140625" style="99" customWidth="1"/>
    <col min="16" max="16" width="1.69140625" style="99" customWidth="1"/>
    <col min="17" max="17" width="11.69140625" style="99" customWidth="1"/>
    <col min="18" max="18" width="1.69140625" style="99" customWidth="1"/>
    <col min="19" max="19" width="12.4609375" style="99" customWidth="1"/>
    <col min="20" max="20" width="1.69140625" style="99" customWidth="1"/>
    <col min="21" max="21" width="10.53515625" style="99" customWidth="1"/>
    <col min="22" max="22" width="1.69140625" style="99" customWidth="1"/>
    <col min="23" max="23" width="10.69140625" style="99" customWidth="1"/>
    <col min="24" max="24" width="1.69140625" style="99" customWidth="1"/>
    <col min="25" max="25" width="10.07421875" style="99" customWidth="1"/>
    <col min="26" max="27" width="1.69140625" style="99" customWidth="1"/>
    <col min="28" max="28" width="11.53515625" style="1712" customWidth="1"/>
    <col min="29" max="30" width="1.69140625" style="1712" customWidth="1"/>
    <col min="31" max="31" width="12.4609375" style="1712" customWidth="1"/>
    <col min="32" max="32" width="1.69140625" style="2209" customWidth="1"/>
    <col min="33" max="33" width="2.4609375" style="3227" customWidth="1"/>
    <col min="34" max="34" width="12.4609375" style="1661" customWidth="1"/>
    <col min="35" max="35" width="1.69140625" style="1131" customWidth="1"/>
    <col min="36" max="36" width="14.07421875" style="1130" bestFit="1" customWidth="1"/>
    <col min="37" max="16384" width="8.69140625" style="99"/>
  </cols>
  <sheetData>
    <row r="1" spans="1:254" ht="16.5" customHeight="1">
      <c r="A1" s="642" t="s">
        <v>963</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123"/>
      <c r="AC2" s="3123"/>
      <c r="AD2" s="3123"/>
      <c r="AE2" s="3123"/>
    </row>
    <row r="3" spans="1:254" ht="20.25" customHeight="1">
      <c r="A3" s="3547"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706"/>
      <c r="AC3" s="1706"/>
      <c r="AD3" s="1706"/>
      <c r="AE3" s="1706"/>
      <c r="AF3" s="104"/>
      <c r="AJ3" s="1168" t="s">
        <v>1077</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547" t="s">
        <v>215</v>
      </c>
      <c r="B4" s="218"/>
      <c r="C4" s="218"/>
      <c r="D4" s="218"/>
      <c r="E4" s="218"/>
      <c r="F4" s="218"/>
      <c r="G4" s="218"/>
      <c r="H4" s="218"/>
      <c r="I4" s="218" t="s">
        <v>15</v>
      </c>
      <c r="J4" s="218"/>
      <c r="K4" s="218"/>
      <c r="L4" s="218"/>
      <c r="M4" s="218"/>
      <c r="N4" s="218"/>
      <c r="O4" s="218"/>
      <c r="P4" s="218"/>
      <c r="Q4" s="218"/>
      <c r="R4" s="218"/>
      <c r="S4" s="218"/>
      <c r="T4" s="218"/>
      <c r="U4" s="218"/>
      <c r="V4" s="218"/>
      <c r="W4" s="218"/>
      <c r="X4" s="218"/>
      <c r="Y4" s="218" t="s">
        <v>15</v>
      </c>
      <c r="Z4" s="218"/>
      <c r="AA4" s="218"/>
      <c r="AB4" s="1706"/>
      <c r="AC4" s="1706"/>
      <c r="AD4" s="1706"/>
      <c r="AE4" s="1706"/>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548" t="s">
        <v>123</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228"/>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548" t="str">
        <f>'Cashflow Governmental'!A6</f>
        <v xml:space="preserve">FISCAL YEAR 2020-2021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706"/>
      <c r="AC6" s="1706"/>
      <c r="AD6" s="1706"/>
      <c r="AE6" s="1706"/>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547" t="s">
        <v>1365</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706"/>
      <c r="AC7" s="1706"/>
      <c r="AD7" s="1706"/>
      <c r="AE7" s="1706"/>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123"/>
      <c r="AC8" s="3123"/>
      <c r="AD8" s="3123"/>
      <c r="AE8" s="3123"/>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123"/>
      <c r="AC9" s="3123"/>
      <c r="AD9" s="3123"/>
      <c r="AE9" s="3123"/>
      <c r="AF9" s="1086"/>
      <c r="AG9" s="3229"/>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123"/>
      <c r="AC10" s="3123"/>
      <c r="AD10" s="3123"/>
      <c r="AE10" s="3123"/>
      <c r="AF10" s="1712"/>
      <c r="AG10" s="3230"/>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123"/>
      <c r="AD11" s="3123"/>
      <c r="AE11" s="3123"/>
      <c r="AF11" s="3231"/>
      <c r="AG11" s="3232"/>
      <c r="AH11" s="3229"/>
      <c r="AI11" s="1132"/>
      <c r="AJ11" s="1132"/>
    </row>
    <row r="12" spans="1:254" ht="16.5" customHeight="1">
      <c r="A12" s="218"/>
      <c r="B12" s="218"/>
      <c r="C12" s="227"/>
      <c r="D12" s="227"/>
      <c r="E12" s="227"/>
      <c r="F12" s="227"/>
      <c r="G12" s="227"/>
      <c r="H12" s="227"/>
      <c r="I12" s="227"/>
      <c r="J12" s="227"/>
      <c r="K12" s="227"/>
      <c r="L12" s="227"/>
      <c r="M12" s="227"/>
      <c r="N12" s="227"/>
      <c r="O12" s="227"/>
      <c r="P12" s="227"/>
      <c r="Q12" s="227"/>
      <c r="R12" s="227"/>
      <c r="S12" s="227"/>
      <c r="T12" s="227"/>
      <c r="U12" s="227"/>
      <c r="V12" s="227"/>
      <c r="W12" s="227"/>
      <c r="X12" s="227"/>
      <c r="Y12" s="762"/>
      <c r="Z12" s="762"/>
      <c r="AA12" s="227"/>
      <c r="AB12" s="3942" t="s">
        <v>1546</v>
      </c>
      <c r="AC12" s="3943"/>
      <c r="AD12" s="3943"/>
      <c r="AE12" s="3943"/>
      <c r="AF12" s="3943"/>
      <c r="AG12" s="3943"/>
      <c r="AH12" s="3943"/>
      <c r="AI12" s="3943"/>
      <c r="AJ12" s="3943"/>
    </row>
    <row r="13" spans="1:254" ht="16.5" customHeight="1">
      <c r="A13" s="218"/>
      <c r="B13" s="218"/>
      <c r="C13" s="906" t="str">
        <f>'Cashflow Governmental'!C13</f>
        <v>2020</v>
      </c>
      <c r="D13" s="227"/>
      <c r="E13" s="227"/>
      <c r="F13" s="227"/>
      <c r="G13" s="227"/>
      <c r="H13" s="227"/>
      <c r="I13" s="227"/>
      <c r="J13" s="227"/>
      <c r="K13" s="227"/>
      <c r="L13" s="227"/>
      <c r="M13" s="227"/>
      <c r="N13" s="227"/>
      <c r="O13" s="227"/>
      <c r="P13" s="227"/>
      <c r="Q13" s="227"/>
      <c r="R13" s="227"/>
      <c r="S13" s="227"/>
      <c r="T13" s="227"/>
      <c r="U13" s="906" t="str">
        <f>'Cashflow Governmental'!U13</f>
        <v>2021</v>
      </c>
      <c r="V13" s="227"/>
      <c r="W13" s="227"/>
      <c r="X13" s="227"/>
      <c r="Y13" s="227"/>
      <c r="Z13" s="227"/>
      <c r="AA13" s="227"/>
      <c r="AB13" s="3124"/>
      <c r="AC13" s="3215"/>
      <c r="AD13" s="3215"/>
      <c r="AE13" s="3215"/>
      <c r="AF13" s="3233"/>
      <c r="AG13" s="3234"/>
      <c r="AH13" s="3235" t="s">
        <v>8</v>
      </c>
      <c r="AI13" s="1134"/>
      <c r="AJ13" s="1135" t="s">
        <v>9</v>
      </c>
    </row>
    <row r="14" spans="1:254" ht="16.5" customHeight="1">
      <c r="A14" s="218"/>
      <c r="B14" s="218"/>
      <c r="C14" s="763" t="s">
        <v>124</v>
      </c>
      <c r="D14" s="227"/>
      <c r="E14" s="763" t="s">
        <v>125</v>
      </c>
      <c r="F14" s="227"/>
      <c r="G14" s="763" t="s">
        <v>126</v>
      </c>
      <c r="H14" s="227"/>
      <c r="I14" s="763" t="s">
        <v>127</v>
      </c>
      <c r="J14" s="227"/>
      <c r="K14" s="763" t="s">
        <v>128</v>
      </c>
      <c r="L14" s="227"/>
      <c r="M14" s="763" t="s">
        <v>143</v>
      </c>
      <c r="N14" s="227"/>
      <c r="O14" s="763" t="s">
        <v>144</v>
      </c>
      <c r="P14" s="227"/>
      <c r="Q14" s="763" t="s">
        <v>131</v>
      </c>
      <c r="R14" s="227"/>
      <c r="S14" s="763" t="s">
        <v>132</v>
      </c>
      <c r="T14" s="227"/>
      <c r="U14" s="763" t="s">
        <v>133</v>
      </c>
      <c r="V14" s="227"/>
      <c r="W14" s="763" t="s">
        <v>134</v>
      </c>
      <c r="X14" s="227"/>
      <c r="Y14" s="763" t="s">
        <v>185</v>
      </c>
      <c r="Z14" s="227"/>
      <c r="AA14" s="227"/>
      <c r="AB14" s="3216">
        <f>'Cashflow Governmental'!AB14</f>
        <v>2020</v>
      </c>
      <c r="AC14" s="1705" t="s">
        <v>15</v>
      </c>
      <c r="AD14" s="1705"/>
      <c r="AE14" s="3216">
        <f>'Cashflow Governmental'!AE14</f>
        <v>2019</v>
      </c>
      <c r="AF14" s="3236"/>
      <c r="AG14" s="3237"/>
      <c r="AH14" s="3238" t="s">
        <v>12</v>
      </c>
      <c r="AI14" s="1137"/>
      <c r="AJ14" s="1136" t="s">
        <v>13</v>
      </c>
    </row>
    <row r="15" spans="1:254" ht="4.5" customHeight="1">
      <c r="A15" s="218"/>
      <c r="B15" s="218"/>
      <c r="C15" s="223"/>
      <c r="D15" s="218"/>
      <c r="E15" s="223"/>
      <c r="F15" s="218"/>
      <c r="G15" s="223"/>
      <c r="H15" s="218"/>
      <c r="I15" s="223"/>
      <c r="J15" s="218"/>
      <c r="K15" s="223"/>
      <c r="L15" s="218"/>
      <c r="M15" s="223"/>
      <c r="N15" s="218"/>
      <c r="O15" s="223" t="s">
        <v>15</v>
      </c>
      <c r="P15" s="218"/>
      <c r="Q15" s="223"/>
      <c r="R15" s="218"/>
      <c r="S15" s="223"/>
      <c r="T15" s="218"/>
      <c r="U15" s="223" t="s">
        <v>15</v>
      </c>
      <c r="V15" s="218"/>
      <c r="W15" s="223"/>
      <c r="X15" s="218"/>
      <c r="Y15" s="223"/>
      <c r="Z15" s="218"/>
      <c r="AA15" s="218"/>
      <c r="AB15" s="3217"/>
      <c r="AC15" s="1706"/>
      <c r="AD15" s="1706"/>
      <c r="AE15" s="3217"/>
      <c r="AF15" s="3236"/>
      <c r="AG15" s="3237"/>
    </row>
    <row r="16" spans="1:254" ht="16.5" customHeight="1">
      <c r="A16" s="224" t="s">
        <v>136</v>
      </c>
      <c r="B16" s="218"/>
      <c r="C16" s="2140">
        <v>29.7</v>
      </c>
      <c r="D16" s="225"/>
      <c r="E16" s="225">
        <f>C51</f>
        <v>45.9</v>
      </c>
      <c r="F16" s="356"/>
      <c r="G16" s="225">
        <f>E51</f>
        <v>35.9</v>
      </c>
      <c r="H16" s="356"/>
      <c r="I16" s="225">
        <f>G51</f>
        <v>35.299999999999997</v>
      </c>
      <c r="J16" s="225"/>
      <c r="K16" s="225">
        <f>I51</f>
        <v>40.4</v>
      </c>
      <c r="L16" s="356"/>
      <c r="M16" s="225">
        <f>K51</f>
        <v>42.2</v>
      </c>
      <c r="N16" s="356"/>
      <c r="O16" s="225">
        <f>M51</f>
        <v>42.1</v>
      </c>
      <c r="P16" s="356"/>
      <c r="Q16" s="225"/>
      <c r="R16" s="356"/>
      <c r="S16" s="225"/>
      <c r="T16" s="356"/>
      <c r="U16" s="225"/>
      <c r="V16" s="356"/>
      <c r="W16" s="225"/>
      <c r="X16" s="356"/>
      <c r="Y16" s="225"/>
      <c r="Z16" s="225"/>
      <c r="AA16" s="226"/>
      <c r="AB16" s="3218">
        <f>C16</f>
        <v>29.7</v>
      </c>
      <c r="AC16" s="3218"/>
      <c r="AD16" s="3239"/>
      <c r="AE16" s="2140">
        <v>26.6</v>
      </c>
      <c r="AF16" s="1687"/>
      <c r="AG16" s="1671"/>
      <c r="AH16" s="1660">
        <f>ROUND(SUM(AB16-AE16),1)</f>
        <v>3.1</v>
      </c>
      <c r="AJ16" s="3689">
        <f>ROUND(IF(AH16=0,0,AH16/(AE16)),3)</f>
        <v>0.11700000000000001</v>
      </c>
    </row>
    <row r="17" spans="1:38" ht="16.5" customHeight="1">
      <c r="A17" s="218"/>
      <c r="B17" s="218"/>
      <c r="C17" s="218" t="s">
        <v>15</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706" t="s">
        <v>15</v>
      </c>
      <c r="AC17" s="1706"/>
      <c r="AD17" s="3240"/>
      <c r="AE17" s="1706" t="s">
        <v>15</v>
      </c>
      <c r="AF17" s="1699"/>
      <c r="AG17" s="1671"/>
      <c r="AH17" s="3241"/>
      <c r="AJ17" s="3642"/>
    </row>
    <row r="18" spans="1:38" ht="16.5" customHeight="1">
      <c r="A18" s="227" t="s">
        <v>14</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706"/>
      <c r="AC18" s="1706"/>
      <c r="AD18" s="3240"/>
      <c r="AE18" s="1706"/>
      <c r="AF18" s="1672"/>
      <c r="AG18" s="1671"/>
      <c r="AH18" s="3241"/>
      <c r="AJ18" s="3642"/>
    </row>
    <row r="19" spans="1:38" ht="18.75" customHeight="1">
      <c r="A19" s="218" t="s">
        <v>178</v>
      </c>
      <c r="B19" s="218"/>
      <c r="C19" s="230">
        <v>4.2</v>
      </c>
      <c r="D19" s="230"/>
      <c r="E19" s="230">
        <v>4.8</v>
      </c>
      <c r="F19" s="239"/>
      <c r="G19" s="230">
        <v>6.3999999999999995</v>
      </c>
      <c r="H19" s="239"/>
      <c r="I19" s="230">
        <v>6.8999999999999977</v>
      </c>
      <c r="J19" s="239"/>
      <c r="K19" s="230">
        <v>7.7000000000000037</v>
      </c>
      <c r="L19" s="239"/>
      <c r="M19" s="230">
        <v>6.9999999999999956</v>
      </c>
      <c r="N19" s="239"/>
      <c r="O19" s="230">
        <f>$AB19-$C19-$E19-$G19-$I19-$K19-$M19</f>
        <v>4.400000000000003</v>
      </c>
      <c r="P19" s="239"/>
      <c r="Q19" s="1702"/>
      <c r="R19" s="239"/>
      <c r="S19" s="1702"/>
      <c r="T19" s="239"/>
      <c r="U19" s="1702"/>
      <c r="V19" s="239"/>
      <c r="W19" s="1702"/>
      <c r="X19" s="239"/>
      <c r="Y19" s="1702"/>
      <c r="Z19" s="230"/>
      <c r="AA19" s="231"/>
      <c r="AB19" s="2109">
        <v>41.4</v>
      </c>
      <c r="AC19" s="1559"/>
      <c r="AD19" s="1708"/>
      <c r="AE19" s="2109">
        <v>55.3</v>
      </c>
      <c r="AF19" s="1578"/>
      <c r="AG19" s="1671"/>
      <c r="AH19" s="3242">
        <f>ROUND(AB19-AE19,1)</f>
        <v>-13.9</v>
      </c>
      <c r="AI19" s="1140"/>
      <c r="AJ19" s="3690">
        <f>ROUND(IF(AE19=0,0,AH19/ABS(AE19)),3)</f>
        <v>-0.251</v>
      </c>
    </row>
    <row r="20" spans="1:38" ht="17.25" customHeight="1">
      <c r="A20" s="224" t="s">
        <v>216</v>
      </c>
      <c r="B20" s="218"/>
      <c r="C20" s="230">
        <v>2584</v>
      </c>
      <c r="D20" s="230"/>
      <c r="E20" s="230">
        <v>5993.2999999999993</v>
      </c>
      <c r="F20" s="239"/>
      <c r="G20" s="230">
        <v>10834.5</v>
      </c>
      <c r="H20" s="239"/>
      <c r="I20" s="230">
        <v>8949.5</v>
      </c>
      <c r="J20" s="239"/>
      <c r="K20" s="230">
        <v>3020.9000000000015</v>
      </c>
      <c r="L20" s="239"/>
      <c r="M20" s="230">
        <v>2491.7000000000007</v>
      </c>
      <c r="N20" s="239"/>
      <c r="O20" s="230">
        <f t="shared" ref="O20:O21" si="0">$AB20-$C20-$E20-$G20-$I20-$K20-$M20</f>
        <v>2489.5</v>
      </c>
      <c r="P20" s="239"/>
      <c r="Q20" s="1702"/>
      <c r="R20" s="239"/>
      <c r="S20" s="1702"/>
      <c r="T20" s="239"/>
      <c r="U20" s="1702"/>
      <c r="V20" s="239"/>
      <c r="W20" s="1702"/>
      <c r="X20" s="239"/>
      <c r="Y20" s="1702"/>
      <c r="Z20" s="230"/>
      <c r="AA20" s="231"/>
      <c r="AB20" s="2109">
        <v>36363.4</v>
      </c>
      <c r="AC20" s="1559"/>
      <c r="AD20" s="1708"/>
      <c r="AE20" s="2109">
        <v>6.8</v>
      </c>
      <c r="AF20" s="1578"/>
      <c r="AG20" s="1671"/>
      <c r="AH20" s="3242">
        <f>ROUND(AB20-AE20,1)</f>
        <v>36356.6</v>
      </c>
      <c r="AI20" s="1140"/>
      <c r="AJ20" s="3649">
        <f>ROUND(IF(AE20=0,0,AH20/ABS(AE20)),3)</f>
        <v>5346.5590000000002</v>
      </c>
    </row>
    <row r="21" spans="1:38" ht="17.25" customHeight="1">
      <c r="A21" s="241" t="s">
        <v>217</v>
      </c>
      <c r="B21" s="218"/>
      <c r="C21" s="230">
        <v>1823.9</v>
      </c>
      <c r="D21" s="230"/>
      <c r="E21" s="230">
        <v>2261.6999999999998</v>
      </c>
      <c r="F21" s="239"/>
      <c r="G21" s="230">
        <v>2631.7</v>
      </c>
      <c r="H21" s="239"/>
      <c r="I21" s="230">
        <v>1980.9000000000015</v>
      </c>
      <c r="J21" s="239"/>
      <c r="K21" s="230">
        <v>1831.2999999999993</v>
      </c>
      <c r="L21" s="239"/>
      <c r="M21" s="230">
        <v>1396.3999999999996</v>
      </c>
      <c r="N21" s="239"/>
      <c r="O21" s="230">
        <f t="shared" si="0"/>
        <v>613.40000000000055</v>
      </c>
      <c r="P21" s="239"/>
      <c r="Q21" s="1702"/>
      <c r="R21" s="239"/>
      <c r="S21" s="1702"/>
      <c r="T21" s="239"/>
      <c r="U21" s="1702"/>
      <c r="V21" s="239"/>
      <c r="W21" s="1702"/>
      <c r="X21" s="239"/>
      <c r="Y21" s="1702"/>
      <c r="Z21" s="230"/>
      <c r="AA21" s="231"/>
      <c r="AB21" s="2109">
        <v>12539.3</v>
      </c>
      <c r="AC21" s="1559"/>
      <c r="AD21" s="1708"/>
      <c r="AE21" s="2109">
        <v>1105.5</v>
      </c>
      <c r="AF21" s="1674"/>
      <c r="AG21" s="1677"/>
      <c r="AH21" s="3243">
        <f>ROUND(AB21-AE21,1)</f>
        <v>11433.8</v>
      </c>
      <c r="AI21" s="1140"/>
      <c r="AJ21" s="3701">
        <f>ROUND(IF(AE21=0,0,AH21/ABS(AE21)),3)</f>
        <v>10.343</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704"/>
      <c r="X22" s="239"/>
      <c r="Y22" s="360"/>
      <c r="Z22" s="230"/>
      <c r="AA22" s="231"/>
      <c r="AB22" s="3219"/>
      <c r="AC22" s="1559"/>
      <c r="AD22" s="1708"/>
      <c r="AE22" s="3219"/>
      <c r="AF22" s="1575"/>
      <c r="AG22" s="1677"/>
      <c r="AH22" s="1688"/>
      <c r="AJ22" s="3642"/>
    </row>
    <row r="23" spans="1:38" ht="16.5" customHeight="1">
      <c r="A23" s="227" t="s">
        <v>150</v>
      </c>
      <c r="B23" s="218"/>
      <c r="C23" s="240">
        <f>ROUND(SUM(C19:C22),1)</f>
        <v>4412.1000000000004</v>
      </c>
      <c r="D23" s="232"/>
      <c r="E23" s="240">
        <f>ROUND(SUM(E19:E22),1)</f>
        <v>8259.7999999999993</v>
      </c>
      <c r="F23" s="240"/>
      <c r="G23" s="240">
        <f>ROUND(SUM(G19:G22),1)</f>
        <v>13472.6</v>
      </c>
      <c r="H23" s="240"/>
      <c r="I23" s="240">
        <f>ROUND(SUM(I19:I22),1)</f>
        <v>10937.3</v>
      </c>
      <c r="J23" s="240"/>
      <c r="K23" s="240">
        <f>ROUND(SUM(K19:K22),1)</f>
        <v>4859.8999999999996</v>
      </c>
      <c r="L23" s="240"/>
      <c r="M23" s="240">
        <f>ROUND(SUM(M19:M22),1)</f>
        <v>3895.1</v>
      </c>
      <c r="N23" s="240"/>
      <c r="O23" s="240">
        <f>ROUND(SUM(O19:O22),1)</f>
        <v>3107.3</v>
      </c>
      <c r="P23" s="240"/>
      <c r="Q23" s="240">
        <f>ROUND(SUM(Q19:Q22),1)</f>
        <v>0</v>
      </c>
      <c r="R23" s="240"/>
      <c r="S23" s="240">
        <f>ROUND(SUM(S19:S22),1)</f>
        <v>0</v>
      </c>
      <c r="T23" s="240"/>
      <c r="U23" s="240">
        <f>ROUND(SUM(U19:U22),1)</f>
        <v>0</v>
      </c>
      <c r="V23" s="240"/>
      <c r="W23" s="3220">
        <f>ROUND(SUM(W19:W22),1)</f>
        <v>0</v>
      </c>
      <c r="X23" s="240"/>
      <c r="Y23" s="240">
        <f>ROUND(SUM(Y19:Y22),1)</f>
        <v>0</v>
      </c>
      <c r="Z23" s="232"/>
      <c r="AA23" s="233"/>
      <c r="AB23" s="3220">
        <f>ROUND(SUM(AB19:AB22),1)</f>
        <v>48944.1</v>
      </c>
      <c r="AC23" s="3221"/>
      <c r="AD23" s="3244"/>
      <c r="AE23" s="3220">
        <f>ROUND(SUM(AE19:AE22),1)</f>
        <v>1167.5999999999999</v>
      </c>
      <c r="AF23" s="1674"/>
      <c r="AG23" s="1677"/>
      <c r="AH23" s="3245">
        <f>ROUND(SUM(AH19:AH21),1)</f>
        <v>47776.5</v>
      </c>
      <c r="AI23" s="1142"/>
      <c r="AJ23" s="3647">
        <f>ROUND(IF(AH23=0,0,AH23/ABS(AE23)),3)</f>
        <v>40.918999999999997</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219"/>
      <c r="AC24" s="1559"/>
      <c r="AD24" s="1708"/>
      <c r="AE24" s="3219"/>
      <c r="AF24" s="2197"/>
      <c r="AG24" s="1677"/>
      <c r="AH24" s="1688"/>
      <c r="AJ24" s="3642"/>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59"/>
      <c r="AC25" s="1559"/>
      <c r="AD25" s="1708"/>
      <c r="AE25" s="1559"/>
      <c r="AF25" s="1672"/>
      <c r="AG25" s="1671"/>
      <c r="AH25" s="1688"/>
      <c r="AJ25" s="3643"/>
    </row>
    <row r="26" spans="1:38" ht="16.5" customHeight="1">
      <c r="A26" s="227" t="s">
        <v>23</v>
      </c>
      <c r="B26" s="218"/>
      <c r="C26" s="230"/>
      <c r="D26" s="230"/>
      <c r="E26" s="239"/>
      <c r="F26" s="239"/>
      <c r="G26" s="239"/>
      <c r="H26" s="239"/>
      <c r="I26" s="239"/>
      <c r="J26" s="239"/>
      <c r="K26" s="239"/>
      <c r="L26" s="239"/>
      <c r="M26" s="239"/>
      <c r="N26" s="239"/>
      <c r="O26" s="239"/>
      <c r="P26" s="239"/>
      <c r="Q26" s="239"/>
      <c r="R26" s="239"/>
      <c r="S26" s="239"/>
      <c r="T26" s="239"/>
      <c r="U26" s="239"/>
      <c r="V26" s="239"/>
      <c r="W26" s="239"/>
      <c r="X26" s="1703"/>
      <c r="Y26" s="1703"/>
      <c r="Z26" s="1559"/>
      <c r="AA26" s="1708"/>
      <c r="AB26" s="1559"/>
      <c r="AC26" s="1559"/>
      <c r="AD26" s="1708"/>
      <c r="AE26" s="1559"/>
      <c r="AF26" s="1578"/>
      <c r="AG26" s="1671"/>
      <c r="AH26" s="1688"/>
      <c r="AI26" s="1145"/>
      <c r="AJ26" s="3643"/>
    </row>
    <row r="27" spans="1:38" ht="16.5" customHeight="1">
      <c r="A27" s="218" t="s">
        <v>152</v>
      </c>
      <c r="B27" s="218"/>
      <c r="C27" s="230"/>
      <c r="D27" s="230"/>
      <c r="E27" s="239"/>
      <c r="F27" s="239"/>
      <c r="G27" s="239"/>
      <c r="H27" s="239"/>
      <c r="I27" s="239"/>
      <c r="J27" s="239"/>
      <c r="K27" s="239"/>
      <c r="L27" s="239"/>
      <c r="M27" s="239"/>
      <c r="N27" s="239"/>
      <c r="O27" s="239"/>
      <c r="P27" s="239"/>
      <c r="Q27" s="239"/>
      <c r="R27" s="239"/>
      <c r="S27" s="1702"/>
      <c r="T27" s="239"/>
      <c r="U27" s="239"/>
      <c r="V27" s="239"/>
      <c r="W27" s="239"/>
      <c r="X27" s="1703"/>
      <c r="Y27" s="1703"/>
      <c r="Z27" s="1559"/>
      <c r="AA27" s="1708"/>
      <c r="AB27" s="1559"/>
      <c r="AC27" s="1559"/>
      <c r="AD27" s="1708"/>
      <c r="AE27" s="1559"/>
      <c r="AF27" s="2200"/>
      <c r="AG27" s="1677"/>
      <c r="AH27" s="1688"/>
      <c r="AJ27" s="3643"/>
    </row>
    <row r="28" spans="1:38" ht="16.5" customHeight="1">
      <c r="A28" s="218" t="s">
        <v>218</v>
      </c>
      <c r="B28" s="218"/>
      <c r="C28" s="230">
        <v>1.4</v>
      </c>
      <c r="D28" s="230"/>
      <c r="E28" s="230">
        <v>0.89999999999999991</v>
      </c>
      <c r="F28" s="239"/>
      <c r="G28" s="230">
        <v>1.1000000000000001</v>
      </c>
      <c r="H28" s="239"/>
      <c r="I28" s="230">
        <v>1.1000000000000001</v>
      </c>
      <c r="J28" s="239"/>
      <c r="K28" s="230">
        <v>1.3000000000000003</v>
      </c>
      <c r="L28" s="239"/>
      <c r="M28" s="230">
        <v>1.6999999999999993</v>
      </c>
      <c r="N28" s="239"/>
      <c r="O28" s="230">
        <f t="shared" ref="O28:O31" si="1">$AB28-$C28-$E28-$G28-$I28-$K28-$M28</f>
        <v>1.1000000000000001</v>
      </c>
      <c r="P28" s="239"/>
      <c r="Q28" s="1702"/>
      <c r="R28" s="239"/>
      <c r="S28" s="1702"/>
      <c r="T28" s="239"/>
      <c r="U28" s="1702"/>
      <c r="V28" s="239"/>
      <c r="W28" s="1702"/>
      <c r="X28" s="1703"/>
      <c r="Y28" s="1702"/>
      <c r="Z28" s="1559"/>
      <c r="AA28" s="1708"/>
      <c r="AB28" s="2109">
        <v>8.6</v>
      </c>
      <c r="AC28" s="1559"/>
      <c r="AD28" s="1708"/>
      <c r="AE28" s="2109">
        <v>10.5</v>
      </c>
      <c r="AF28" s="1672"/>
      <c r="AG28" s="1682"/>
      <c r="AH28" s="1688">
        <f>ROUND(SUM(AB28-AE28),1)</f>
        <v>-1.9</v>
      </c>
      <c r="AJ28" s="1146">
        <f>ROUND(IF(AH28=0,0,AH28/ABS(AE28)),3)</f>
        <v>-0.18099999999999999</v>
      </c>
    </row>
    <row r="29" spans="1:38" ht="16.5" customHeight="1">
      <c r="A29" s="218" t="s">
        <v>179</v>
      </c>
      <c r="B29" s="218"/>
      <c r="C29" s="230">
        <v>3.6</v>
      </c>
      <c r="D29" s="230"/>
      <c r="E29" s="230">
        <v>4.9000000000000004</v>
      </c>
      <c r="F29" s="239"/>
      <c r="G29" s="230">
        <v>5.4</v>
      </c>
      <c r="H29" s="239"/>
      <c r="I29" s="230">
        <v>4.9000000000000004</v>
      </c>
      <c r="J29" s="239"/>
      <c r="K29" s="230">
        <v>4.5999999999999961</v>
      </c>
      <c r="L29" s="239"/>
      <c r="M29" s="230">
        <v>4.4000000000000004</v>
      </c>
      <c r="N29" s="239"/>
      <c r="O29" s="230">
        <f t="shared" si="1"/>
        <v>4.1000000000000032</v>
      </c>
      <c r="P29" s="239"/>
      <c r="Q29" s="1702"/>
      <c r="R29" s="239"/>
      <c r="S29" s="1702"/>
      <c r="T29" s="239"/>
      <c r="U29" s="1702"/>
      <c r="V29" s="239"/>
      <c r="W29" s="1702"/>
      <c r="X29" s="1703"/>
      <c r="Y29" s="1702"/>
      <c r="Z29" s="1559"/>
      <c r="AA29" s="1708"/>
      <c r="AB29" s="2109">
        <v>31.9</v>
      </c>
      <c r="AC29" s="1559"/>
      <c r="AD29" s="1708"/>
      <c r="AE29" s="2109">
        <v>36.9</v>
      </c>
      <c r="AF29" s="1578"/>
      <c r="AG29" s="1682"/>
      <c r="AH29" s="1688">
        <f>ROUND(SUM(AB29-AE29),1)</f>
        <v>-5</v>
      </c>
      <c r="AJ29" s="1146">
        <f t="shared" ref="AJ29:AJ30" si="2">ROUND(IF(AH29=0,0,AH29/ABS(AE29)),3)</f>
        <v>-0.13600000000000001</v>
      </c>
    </row>
    <row r="30" spans="1:38" ht="16.5" customHeight="1">
      <c r="A30" s="218" t="s">
        <v>155</v>
      </c>
      <c r="B30" s="218"/>
      <c r="C30" s="230">
        <v>0.2</v>
      </c>
      <c r="D30" s="230"/>
      <c r="E30" s="230">
        <v>9.9999999999999978E-2</v>
      </c>
      <c r="F30" s="239"/>
      <c r="G30" s="230">
        <v>0.2</v>
      </c>
      <c r="H30" s="239"/>
      <c r="I30" s="230">
        <v>9.9999999999999978E-2</v>
      </c>
      <c r="J30" s="239"/>
      <c r="K30" s="230">
        <v>9.9999999999999978E-2</v>
      </c>
      <c r="L30" s="239"/>
      <c r="M30" s="230">
        <v>0.2</v>
      </c>
      <c r="N30" s="239"/>
      <c r="O30" s="230">
        <f t="shared" si="1"/>
        <v>0.10000000000000003</v>
      </c>
      <c r="P30" s="239"/>
      <c r="Q30" s="1702"/>
      <c r="R30" s="239"/>
      <c r="S30" s="1702"/>
      <c r="T30" s="239"/>
      <c r="U30" s="1702"/>
      <c r="V30" s="239"/>
      <c r="W30" s="1702"/>
      <c r="X30" s="1703"/>
      <c r="Y30" s="1702"/>
      <c r="Z30" s="1559"/>
      <c r="AA30" s="1708"/>
      <c r="AB30" s="2109">
        <v>1</v>
      </c>
      <c r="AC30" s="1559"/>
      <c r="AD30" s="1708"/>
      <c r="AE30" s="2109">
        <v>0.4</v>
      </c>
      <c r="AF30" s="1674"/>
      <c r="AG30" s="1681"/>
      <c r="AH30" s="1688">
        <f>ROUND(SUM(AB30-AE30),1)</f>
        <v>0.6</v>
      </c>
      <c r="AJ30" s="1146">
        <f t="shared" si="2"/>
        <v>1.5</v>
      </c>
    </row>
    <row r="31" spans="1:38" ht="16.5" customHeight="1">
      <c r="A31" s="241" t="s">
        <v>219</v>
      </c>
      <c r="B31" s="218"/>
      <c r="C31" s="230">
        <v>4390.7</v>
      </c>
      <c r="D31" s="230"/>
      <c r="E31" s="230">
        <v>8263.9000000000015</v>
      </c>
      <c r="F31" s="239"/>
      <c r="G31" s="230">
        <v>13469.499999999996</v>
      </c>
      <c r="H31" s="239"/>
      <c r="I31" s="230">
        <v>10926.099999999999</v>
      </c>
      <c r="J31" s="239"/>
      <c r="K31" s="230">
        <v>4852.1000000000095</v>
      </c>
      <c r="L31" s="239"/>
      <c r="M31" s="230">
        <v>3888.8999999999942</v>
      </c>
      <c r="N31" s="239"/>
      <c r="O31" s="230">
        <f t="shared" si="1"/>
        <v>3102.8000000000029</v>
      </c>
      <c r="P31" s="239"/>
      <c r="Q31" s="1702"/>
      <c r="R31" s="239"/>
      <c r="S31" s="1702"/>
      <c r="T31" s="239"/>
      <c r="U31" s="1702"/>
      <c r="V31" s="239"/>
      <c r="W31" s="1702"/>
      <c r="X31" s="239"/>
      <c r="Y31" s="1702"/>
      <c r="Z31" s="230"/>
      <c r="AA31" s="231"/>
      <c r="AB31" s="2109">
        <v>48894</v>
      </c>
      <c r="AC31" s="1559"/>
      <c r="AD31" s="1708"/>
      <c r="AE31" s="2109">
        <v>1113</v>
      </c>
      <c r="AF31" s="1674"/>
      <c r="AG31" s="1682"/>
      <c r="AH31" s="1700">
        <f>ROUND(SUM(AB31-AE31),1)</f>
        <v>47781</v>
      </c>
      <c r="AJ31" s="3648">
        <f>ROUND(IF(AH31=0,0,AH31/ABS(AE31)),3)</f>
        <v>42.93</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704"/>
      <c r="X32" s="239"/>
      <c r="Y32" s="360"/>
      <c r="Z32" s="230"/>
      <c r="AA32" s="231"/>
      <c r="AB32" s="3219"/>
      <c r="AC32" s="1559"/>
      <c r="AD32" s="1708"/>
      <c r="AE32" s="3219"/>
      <c r="AF32" s="2203"/>
      <c r="AG32" s="1681"/>
      <c r="AH32" s="1688"/>
      <c r="AI32" s="1147"/>
      <c r="AJ32" s="3643"/>
    </row>
    <row r="33" spans="1:37" ht="16.5" customHeight="1">
      <c r="A33" s="227" t="s">
        <v>156</v>
      </c>
      <c r="B33" s="218"/>
      <c r="C33" s="240">
        <f>ROUND(SUM(C28:C32),1)</f>
        <v>4395.8999999999996</v>
      </c>
      <c r="D33" s="232"/>
      <c r="E33" s="240">
        <f>ROUND(SUM(E28:E32),1)</f>
        <v>8269.7999999999993</v>
      </c>
      <c r="F33" s="240"/>
      <c r="G33" s="240">
        <f>ROUND(SUM(G28:G32),1)</f>
        <v>13476.2</v>
      </c>
      <c r="H33" s="240"/>
      <c r="I33" s="240">
        <f>ROUND(SUM(I28:I32),1)</f>
        <v>10932.2</v>
      </c>
      <c r="J33" s="240"/>
      <c r="K33" s="897">
        <f>ROUND(SUM(K28:K32),1)</f>
        <v>4858.1000000000004</v>
      </c>
      <c r="L33" s="361"/>
      <c r="M33" s="897">
        <f>ROUND(SUM(M28:M32),1)</f>
        <v>3895.2</v>
      </c>
      <c r="N33" s="240"/>
      <c r="O33" s="240">
        <f>ROUND(SUM(O28:O32),1)</f>
        <v>3108.1</v>
      </c>
      <c r="P33" s="240"/>
      <c r="Q33" s="240">
        <f>ROUND(SUM(Q28:Q32),1)</f>
        <v>0</v>
      </c>
      <c r="R33" s="240"/>
      <c r="S33" s="240">
        <f>ROUND(SUM(S28:S32),1)</f>
        <v>0</v>
      </c>
      <c r="T33" s="240"/>
      <c r="U33" s="240">
        <f>ROUND(SUM(U28:U32),1)</f>
        <v>0</v>
      </c>
      <c r="V33" s="240"/>
      <c r="W33" s="3220">
        <f>ROUND(SUM(W28:W32),1)</f>
        <v>0</v>
      </c>
      <c r="X33" s="240"/>
      <c r="Y33" s="240">
        <f>ROUND(SUM(Y28:Y32),1)</f>
        <v>0</v>
      </c>
      <c r="Z33" s="232"/>
      <c r="AA33" s="233"/>
      <c r="AB33" s="3220">
        <f>ROUND(SUM(AB28:AB32),1)</f>
        <v>48935.5</v>
      </c>
      <c r="AC33" s="3221"/>
      <c r="AD33" s="3244"/>
      <c r="AE33" s="3220">
        <f>ROUND(SUM(AE28:AE32),1)</f>
        <v>1160.8</v>
      </c>
      <c r="AF33" s="1672"/>
      <c r="AG33" s="1671"/>
      <c r="AH33" s="3245">
        <f>ROUND(SUM(AH28:AH31),1)</f>
        <v>47774.7</v>
      </c>
      <c r="AI33" s="1142"/>
      <c r="AJ33" s="3647">
        <f>ROUND(IF(AH33=0,0,AH33/ABS(AE33)),3)</f>
        <v>41.156999999999996</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219"/>
      <c r="AC34" s="3222"/>
      <c r="AD34" s="1708"/>
      <c r="AE34" s="3219"/>
      <c r="AF34" s="1578"/>
      <c r="AG34" s="1671"/>
      <c r="AH34" s="1688"/>
      <c r="AJ34" s="3642"/>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59"/>
      <c r="AC35" s="3222"/>
      <c r="AD35" s="1708"/>
      <c r="AE35" s="1559"/>
      <c r="AF35" s="2200"/>
      <c r="AG35" s="2205"/>
      <c r="AH35" s="1688"/>
      <c r="AI35" s="1145"/>
      <c r="AJ35" s="3643"/>
    </row>
    <row r="36" spans="1:37" ht="16.5" customHeight="1">
      <c r="A36" s="227" t="s">
        <v>157</v>
      </c>
      <c r="B36" s="218"/>
      <c r="C36" s="230"/>
      <c r="D36" s="230"/>
      <c r="E36" s="239" t="s">
        <v>15</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59"/>
      <c r="AC36" s="3222"/>
      <c r="AD36" s="1708"/>
      <c r="AE36" s="1559"/>
      <c r="AF36" s="2206"/>
      <c r="AG36" s="2207"/>
      <c r="AH36" s="1688"/>
      <c r="AI36" s="1145"/>
      <c r="AJ36" s="3643"/>
    </row>
    <row r="37" spans="1:37" ht="16.5" customHeight="1">
      <c r="A37" s="227" t="s">
        <v>45</v>
      </c>
      <c r="B37" s="218"/>
      <c r="C37" s="240">
        <f>ROUND(C23-C33,1)</f>
        <v>16.2</v>
      </c>
      <c r="D37" s="232"/>
      <c r="E37" s="240">
        <f>ROUND(E23-E33,1)</f>
        <v>-10</v>
      </c>
      <c r="F37" s="240"/>
      <c r="G37" s="240">
        <f>ROUND(G23-G33,1)</f>
        <v>-3.6</v>
      </c>
      <c r="H37" s="240"/>
      <c r="I37" s="240">
        <f>ROUND(I23-I33,1)</f>
        <v>5.0999999999999996</v>
      </c>
      <c r="J37" s="240"/>
      <c r="K37" s="240">
        <f>ROUND(K23-K33,1)</f>
        <v>1.8</v>
      </c>
      <c r="L37" s="240"/>
      <c r="M37" s="240">
        <f>ROUND(M23-M33,1)</f>
        <v>-0.1</v>
      </c>
      <c r="N37" s="240"/>
      <c r="O37" s="240">
        <f>ROUND(O23-O33,1)</f>
        <v>-0.8</v>
      </c>
      <c r="P37" s="240"/>
      <c r="Q37" s="240">
        <f>ROUND(Q23-Q33,1)</f>
        <v>0</v>
      </c>
      <c r="R37" s="240"/>
      <c r="S37" s="240">
        <f>ROUND(S23-S33,1)</f>
        <v>0</v>
      </c>
      <c r="T37" s="240"/>
      <c r="U37" s="240">
        <f>ROUND(U23-U33,1)</f>
        <v>0</v>
      </c>
      <c r="V37" s="240"/>
      <c r="W37" s="240">
        <f>ROUND(W23-W33,1)</f>
        <v>0</v>
      </c>
      <c r="X37" s="240"/>
      <c r="Y37" s="240">
        <f>ROUND(Y23-Y33,1)</f>
        <v>0</v>
      </c>
      <c r="Z37" s="232"/>
      <c r="AA37" s="233"/>
      <c r="AB37" s="3220">
        <f>ROUND(AB23-AB33,1)</f>
        <v>8.6</v>
      </c>
      <c r="AC37" s="3221"/>
      <c r="AD37" s="3244"/>
      <c r="AE37" s="3220">
        <f>ROUND(AE23-AE33,1)</f>
        <v>6.8</v>
      </c>
      <c r="AF37" s="2208"/>
      <c r="AG37" s="1709"/>
      <c r="AH37" s="3245">
        <f>ROUND(SUM(AH23-AH33),1)</f>
        <v>1.8</v>
      </c>
      <c r="AI37" s="1142"/>
      <c r="AJ37" s="2118">
        <f>ROUND(IF(AE37=0,1,AH37/ABS(AE37)),3)</f>
        <v>0.26500000000000001</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219"/>
      <c r="AC38" s="3222"/>
      <c r="AD38" s="1708"/>
      <c r="AE38" s="3219"/>
      <c r="AF38" s="114"/>
      <c r="AG38" s="1709"/>
      <c r="AH38" s="1688"/>
      <c r="AJ38" s="3642"/>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59"/>
      <c r="AC39" s="1559"/>
      <c r="AD39" s="1708"/>
      <c r="AE39" s="1559"/>
      <c r="AG39" s="1677"/>
      <c r="AH39" s="1688"/>
      <c r="AJ39" s="3643"/>
    </row>
    <row r="40" spans="1:37" s="1712" customFormat="1" ht="16.5" customHeight="1">
      <c r="A40" s="1705" t="s">
        <v>46</v>
      </c>
      <c r="B40" s="1706"/>
      <c r="C40" s="230"/>
      <c r="D40" s="230"/>
      <c r="E40" s="239"/>
      <c r="F40" s="239"/>
      <c r="G40" s="239"/>
      <c r="H40" s="239"/>
      <c r="I40" s="239"/>
      <c r="J40" s="1703"/>
      <c r="K40" s="1707"/>
      <c r="L40" s="1703"/>
      <c r="M40" s="1707"/>
      <c r="N40" s="1703"/>
      <c r="O40" s="1703"/>
      <c r="P40" s="1703"/>
      <c r="Q40" s="1703"/>
      <c r="R40" s="1703"/>
      <c r="S40" s="1703"/>
      <c r="T40" s="1703"/>
      <c r="U40" s="1703"/>
      <c r="V40" s="1703"/>
      <c r="W40" s="1703"/>
      <c r="X40" s="1703"/>
      <c r="Y40" s="1703"/>
      <c r="Z40" s="1559"/>
      <c r="AA40" s="1708"/>
      <c r="AB40" s="1559"/>
      <c r="AC40" s="1559"/>
      <c r="AD40" s="1708"/>
      <c r="AE40" s="1559"/>
      <c r="AF40" s="137"/>
      <c r="AG40" s="1709"/>
      <c r="AH40" s="1710"/>
      <c r="AI40" s="1711"/>
      <c r="AJ40" s="3644"/>
    </row>
    <row r="41" spans="1:37" s="1712" customFormat="1" ht="16.5" customHeight="1">
      <c r="A41" s="1706" t="s">
        <v>181</v>
      </c>
      <c r="B41" s="1706"/>
      <c r="C41" s="1559">
        <v>0</v>
      </c>
      <c r="D41" s="1559"/>
      <c r="E41" s="230">
        <v>0</v>
      </c>
      <c r="F41" s="1703"/>
      <c r="G41" s="230">
        <v>3</v>
      </c>
      <c r="H41" s="3612"/>
      <c r="I41" s="230">
        <v>0</v>
      </c>
      <c r="J41" s="1703"/>
      <c r="K41" s="230">
        <v>0</v>
      </c>
      <c r="L41" s="1703"/>
      <c r="M41" s="1559">
        <f t="shared" ref="M41:M42" si="3">$AB41-$C41-$E41-$G41-$I41-$K41</f>
        <v>0</v>
      </c>
      <c r="N41" s="1703"/>
      <c r="O41" s="230">
        <f t="shared" ref="O41:O42" si="4">$AB41-$C41-$E41-$G41-$I41-$K41-$M41</f>
        <v>0</v>
      </c>
      <c r="P41" s="1703"/>
      <c r="Q41" s="2109"/>
      <c r="R41" s="1703"/>
      <c r="S41" s="2109"/>
      <c r="T41" s="1703"/>
      <c r="U41" s="2109"/>
      <c r="V41" s="1703"/>
      <c r="W41" s="2109"/>
      <c r="X41" s="1703"/>
      <c r="Y41" s="2109"/>
      <c r="Z41" s="1559"/>
      <c r="AA41" s="1708"/>
      <c r="AB41" s="2109">
        <v>3</v>
      </c>
      <c r="AC41" s="1559"/>
      <c r="AD41" s="1708"/>
      <c r="AE41" s="2109">
        <v>0</v>
      </c>
      <c r="AF41" s="137"/>
      <c r="AG41" s="1709"/>
      <c r="AH41" s="1688">
        <f>ROUND(SUM(AB41-AE41),1)</f>
        <v>3</v>
      </c>
      <c r="AI41" s="1661"/>
      <c r="AJ41" s="3691">
        <f>ROUND(IF(AE41=0,1,AH41/ABS(AE41)),3)</f>
        <v>1</v>
      </c>
    </row>
    <row r="42" spans="1:37" ht="16.5" customHeight="1">
      <c r="A42" s="218" t="s">
        <v>182</v>
      </c>
      <c r="B42" s="218"/>
      <c r="C42" s="1559">
        <v>0</v>
      </c>
      <c r="D42" s="230"/>
      <c r="E42" s="230">
        <v>0</v>
      </c>
      <c r="F42" s="239"/>
      <c r="G42" s="230">
        <v>0</v>
      </c>
      <c r="H42" s="1844"/>
      <c r="I42" s="230">
        <v>0</v>
      </c>
      <c r="J42" s="239"/>
      <c r="K42" s="230">
        <v>0</v>
      </c>
      <c r="L42" s="239"/>
      <c r="M42" s="230">
        <f t="shared" si="3"/>
        <v>0</v>
      </c>
      <c r="N42" s="239"/>
      <c r="O42" s="230">
        <f t="shared" si="4"/>
        <v>0</v>
      </c>
      <c r="P42" s="239"/>
      <c r="Q42" s="1702"/>
      <c r="R42" s="239"/>
      <c r="S42" s="1702"/>
      <c r="T42" s="239"/>
      <c r="U42" s="1702"/>
      <c r="V42" s="239"/>
      <c r="W42" s="1702"/>
      <c r="X42" s="239"/>
      <c r="Y42" s="1702"/>
      <c r="Z42" s="230"/>
      <c r="AA42" s="231"/>
      <c r="AB42" s="2109">
        <v>0</v>
      </c>
      <c r="AC42" s="1559"/>
      <c r="AD42" s="1708"/>
      <c r="AE42" s="2109">
        <v>0</v>
      </c>
      <c r="AF42" s="137"/>
      <c r="AG42" s="1709"/>
      <c r="AH42" s="3246">
        <f>-ROUND(SUM(AB42-AE42),1)</f>
        <v>0</v>
      </c>
      <c r="AJ42" s="3692">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219"/>
      <c r="AC43" s="1559"/>
      <c r="AD43" s="1708"/>
      <c r="AE43" s="3219"/>
      <c r="AF43" s="137"/>
      <c r="AG43" s="1709"/>
      <c r="AH43" s="3241"/>
      <c r="AJ43" s="3645"/>
    </row>
    <row r="44" spans="1:37" ht="16.5" customHeight="1">
      <c r="A44" s="227" t="s">
        <v>207</v>
      </c>
      <c r="B44" s="218"/>
      <c r="C44" s="362">
        <f>ROUND(SUM(C41:C43),1)</f>
        <v>0</v>
      </c>
      <c r="D44" s="232"/>
      <c r="E44" s="362">
        <f>ROUND(SUM(E41:E43),1)</f>
        <v>0</v>
      </c>
      <c r="F44" s="240"/>
      <c r="G44" s="362">
        <f>ROUND(SUM(G41:G43),1)</f>
        <v>3</v>
      </c>
      <c r="H44" s="240"/>
      <c r="I44" s="362">
        <f>ROUND(SUM(I41:I43),1)</f>
        <v>0</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223">
        <f>ROUND(SUM(AB41+AB42),1)</f>
        <v>3</v>
      </c>
      <c r="AC44" s="3221"/>
      <c r="AD44" s="3244"/>
      <c r="AE44" s="3223">
        <f>ROUND(SUM(AE41+AE42),1)</f>
        <v>0</v>
      </c>
      <c r="AF44" s="104"/>
      <c r="AG44" s="1677"/>
      <c r="AH44" s="3245">
        <f>ROUND(SUM(AH41:AH42),1)</f>
        <v>3</v>
      </c>
      <c r="AI44" s="1149"/>
      <c r="AJ44" s="3693">
        <f>ROUND(IF(AE44=0,1,AH44/ABS(AE44)),3)</f>
        <v>1</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219"/>
      <c r="AC45" s="1559"/>
      <c r="AD45" s="1708"/>
      <c r="AE45" s="3219"/>
      <c r="AG45" s="1677"/>
      <c r="AH45" s="3241"/>
      <c r="AJ45" s="3646"/>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59"/>
      <c r="AC46" s="1559"/>
      <c r="AD46" s="1708"/>
      <c r="AE46" s="1559"/>
      <c r="AG46" s="1677"/>
      <c r="AJ46" s="3646"/>
    </row>
    <row r="47" spans="1:37" ht="16.5" customHeight="1">
      <c r="A47" s="227" t="s">
        <v>165</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59"/>
      <c r="AC47" s="1559"/>
      <c r="AD47" s="1708"/>
      <c r="AE47" s="1559"/>
      <c r="AG47" s="1677"/>
      <c r="AJ47" s="3646"/>
    </row>
    <row r="48" spans="1:37" ht="16.5" customHeight="1">
      <c r="A48" s="227" t="s">
        <v>226</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59"/>
      <c r="AC48" s="1559"/>
      <c r="AD48" s="1708"/>
      <c r="AE48" s="1559"/>
      <c r="AG48" s="1677"/>
      <c r="AJ48" s="3646"/>
    </row>
    <row r="49" spans="1:39" ht="16.5" customHeight="1">
      <c r="A49" s="227" t="s">
        <v>167</v>
      </c>
      <c r="B49" s="218"/>
      <c r="C49" s="240">
        <f>ROUND(C37+C44,1)</f>
        <v>16.2</v>
      </c>
      <c r="D49" s="232"/>
      <c r="E49" s="240">
        <f>ROUND(E37+E44,1)</f>
        <v>-10</v>
      </c>
      <c r="F49" s="240"/>
      <c r="G49" s="240">
        <f>ROUND(G37+G44,1)</f>
        <v>-0.6</v>
      </c>
      <c r="H49" s="240"/>
      <c r="I49" s="240">
        <f>ROUND(I37+I44,1)</f>
        <v>5.0999999999999996</v>
      </c>
      <c r="J49" s="240"/>
      <c r="K49" s="897">
        <f>ROUND(K37+K44,1)</f>
        <v>1.8</v>
      </c>
      <c r="L49" s="240"/>
      <c r="M49" s="240">
        <f>ROUND(M37+M44,1)</f>
        <v>-0.1</v>
      </c>
      <c r="N49" s="240"/>
      <c r="O49" s="240">
        <f>ROUND(O37+O44,1)</f>
        <v>-0.8</v>
      </c>
      <c r="P49" s="240"/>
      <c r="Q49" s="240">
        <f>ROUND(Q37+Q44,1)</f>
        <v>0</v>
      </c>
      <c r="R49" s="240"/>
      <c r="S49" s="240">
        <f>ROUND(S37+S44,1)</f>
        <v>0</v>
      </c>
      <c r="T49" s="240"/>
      <c r="U49" s="240">
        <f>ROUND(U37+U44,1)</f>
        <v>0</v>
      </c>
      <c r="V49" s="240"/>
      <c r="W49" s="240">
        <f>ROUND(W37+W44,1)</f>
        <v>0</v>
      </c>
      <c r="X49" s="240"/>
      <c r="Y49" s="240">
        <f>ROUND(Y37+Y44,1)</f>
        <v>0</v>
      </c>
      <c r="Z49" s="232"/>
      <c r="AA49" s="233"/>
      <c r="AB49" s="3220">
        <f>ROUND(AB37+AB44,1)</f>
        <v>11.6</v>
      </c>
      <c r="AC49" s="3221"/>
      <c r="AD49" s="3244"/>
      <c r="AE49" s="3220">
        <f>ROUND(AE37+AE44,1)</f>
        <v>6.8</v>
      </c>
      <c r="AG49" s="1677"/>
      <c r="AH49" s="3245">
        <f>ROUND(SUM(AH37+AH44),1)</f>
        <v>4.8</v>
      </c>
      <c r="AI49" s="1122"/>
      <c r="AJ49" s="2118">
        <f>ROUND(IF(AE49=0,1,AH49/ABS(AE49)),3)</f>
        <v>0.70599999999999996</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224"/>
      <c r="AC50" s="1705"/>
      <c r="AD50" s="3247"/>
      <c r="AE50" s="3224"/>
      <c r="AG50" s="1677"/>
      <c r="AJ50" s="3642"/>
      <c r="AK50" s="357"/>
      <c r="AL50" s="357"/>
      <c r="AM50" s="357"/>
    </row>
    <row r="51" spans="1:39" ht="16.5" customHeight="1" thickBot="1">
      <c r="A51" s="227" t="s">
        <v>141</v>
      </c>
      <c r="B51" s="218"/>
      <c r="C51" s="225">
        <f>ROUND(C16+C49,1)</f>
        <v>45.9</v>
      </c>
      <c r="D51" s="225"/>
      <c r="E51" s="225">
        <f>ROUND(E16+E49,1)</f>
        <v>35.9</v>
      </c>
      <c r="F51" s="356"/>
      <c r="G51" s="225">
        <f>ROUND(G16+G49,1)</f>
        <v>35.299999999999997</v>
      </c>
      <c r="H51" s="356"/>
      <c r="I51" s="899">
        <f>ROUND(I16+I49,1)</f>
        <v>40.4</v>
      </c>
      <c r="J51" s="369"/>
      <c r="K51" s="225">
        <f>ROUND(K16+K49,1)</f>
        <v>42.2</v>
      </c>
      <c r="L51" s="369"/>
      <c r="M51" s="225">
        <f>ROUND(M16+M49,1)</f>
        <v>42.1</v>
      </c>
      <c r="N51" s="356"/>
      <c r="O51" s="225">
        <f>ROUND(O16+O49,1)</f>
        <v>41.3</v>
      </c>
      <c r="P51" s="356"/>
      <c r="Q51" s="225">
        <f>ROUND(Q16+Q49,1)</f>
        <v>0</v>
      </c>
      <c r="R51" s="356"/>
      <c r="S51" s="225">
        <f>ROUND(S16+S49,1)</f>
        <v>0</v>
      </c>
      <c r="T51" s="356"/>
      <c r="U51" s="225">
        <f>ROUND(U16+U49,1)</f>
        <v>0</v>
      </c>
      <c r="V51" s="356"/>
      <c r="W51" s="225">
        <f>ROUND(W16+W49,1)</f>
        <v>0</v>
      </c>
      <c r="X51" s="356"/>
      <c r="Y51" s="225">
        <f>ROUND(Y16+Y49,1)</f>
        <v>0</v>
      </c>
      <c r="Z51" s="225"/>
      <c r="AA51" s="226"/>
      <c r="AB51" s="3218">
        <f>ROUND(AB16+AB49,1)</f>
        <v>41.3</v>
      </c>
      <c r="AC51" s="3218"/>
      <c r="AD51" s="3239"/>
      <c r="AE51" s="3218">
        <f>ROUND(AE16+AE49,1)</f>
        <v>33.4</v>
      </c>
      <c r="AG51" s="1677"/>
      <c r="AH51" s="3248">
        <f>ROUND(SUM(AB51-AE51),1)</f>
        <v>7.9</v>
      </c>
      <c r="AI51" s="1148"/>
      <c r="AJ51" s="1150">
        <f>ROUND(IF(AH51=0,0,AH51/ABS(AE51)),3)</f>
        <v>0.23699999999999999</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225"/>
      <c r="AC52" s="3226"/>
      <c r="AD52" s="3226"/>
      <c r="AE52" s="3225"/>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3"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69140625" defaultRowHeight="16.5" customHeight="1"/>
  <cols>
    <col min="1" max="1" width="48.4609375" style="205" customWidth="1"/>
    <col min="2" max="2" width="11" style="205" customWidth="1"/>
    <col min="3" max="3" width="1.69140625" style="205" customWidth="1"/>
    <col min="4" max="4" width="11" style="205" customWidth="1"/>
    <col min="5" max="5" width="1.69140625" style="205" customWidth="1"/>
    <col min="6" max="6" width="11.07421875" style="205" customWidth="1"/>
    <col min="7" max="7" width="1.69140625" style="205" customWidth="1"/>
    <col min="8" max="8" width="11" style="205" customWidth="1"/>
    <col min="9" max="9" width="1.69140625" style="205" customWidth="1"/>
    <col min="10" max="10" width="10.4609375" style="205" customWidth="1"/>
    <col min="11" max="11" width="1.69140625" style="205" customWidth="1"/>
    <col min="12" max="12" width="13.07421875" style="205" customWidth="1"/>
    <col min="13" max="13" width="1.69140625" style="205" customWidth="1"/>
    <col min="14" max="14" width="11.07421875" style="205" customWidth="1"/>
    <col min="15" max="15" width="1.69140625" style="205" customWidth="1"/>
    <col min="16" max="16" width="12.07421875" style="205" customWidth="1"/>
    <col min="17" max="17" width="1.69140625" style="205" customWidth="1"/>
    <col min="18" max="18" width="12" style="205" customWidth="1"/>
    <col min="19" max="19" width="1.69140625" style="205" customWidth="1"/>
    <col min="20" max="20" width="11.07421875" style="205" customWidth="1"/>
    <col min="21" max="21" width="1.69140625" style="205" customWidth="1"/>
    <col min="22" max="22" width="11.69140625" style="205" customWidth="1"/>
    <col min="23" max="23" width="1.69140625" style="205" customWidth="1"/>
    <col min="24" max="24" width="11.07421875" style="1086" customWidth="1"/>
    <col min="25" max="26" width="1.69140625" style="1086" customWidth="1"/>
    <col min="27" max="27" width="11.53515625" style="1086" customWidth="1"/>
    <col min="28" max="29" width="1.69140625" style="1086" customWidth="1"/>
    <col min="30" max="30" width="11.53515625" style="1086" customWidth="1"/>
    <col min="31" max="31" width="1.69140625" style="2209" customWidth="1"/>
    <col min="32" max="32" width="2.4609375" style="3227" customWidth="1"/>
    <col min="33" max="33" width="10.07421875" style="1661" bestFit="1" customWidth="1"/>
    <col min="34" max="34" width="1.69140625" style="1131" customWidth="1"/>
    <col min="35" max="35" width="11.07421875" style="1130" customWidth="1"/>
    <col min="36" max="16384" width="8.69140625" style="205"/>
  </cols>
  <sheetData>
    <row r="1" spans="1:251" ht="16.5" customHeight="1">
      <c r="A1" s="642" t="s">
        <v>963</v>
      </c>
    </row>
    <row r="2" spans="1:251" ht="16.5" customHeight="1">
      <c r="A2" s="822"/>
    </row>
    <row r="3" spans="1:251" ht="20.25" customHeight="1">
      <c r="A3" s="3549" t="s">
        <v>0</v>
      </c>
      <c r="B3" s="316"/>
      <c r="C3" s="371"/>
      <c r="D3" s="371"/>
      <c r="E3" s="371"/>
      <c r="F3" s="371"/>
      <c r="G3" s="371"/>
      <c r="H3" s="371"/>
      <c r="I3" s="371"/>
      <c r="J3" s="371"/>
      <c r="K3" s="371"/>
      <c r="L3" s="371"/>
      <c r="M3" s="371"/>
      <c r="N3" s="371"/>
      <c r="O3" s="371"/>
      <c r="P3" s="371"/>
      <c r="Q3" s="371"/>
      <c r="R3" s="371"/>
      <c r="S3" s="371"/>
      <c r="T3" s="371"/>
      <c r="U3" s="371"/>
      <c r="V3" s="371"/>
      <c r="W3" s="371"/>
      <c r="X3" s="3249"/>
      <c r="Y3" s="3249"/>
      <c r="Z3" s="3249"/>
      <c r="AA3" s="3249"/>
      <c r="AB3" s="3249"/>
      <c r="AC3" s="3249"/>
      <c r="AD3" s="3249"/>
      <c r="AE3" s="104"/>
      <c r="AI3" s="266" t="s">
        <v>222</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549" t="s">
        <v>220</v>
      </c>
      <c r="B4" s="316"/>
      <c r="C4" s="371"/>
      <c r="D4" s="371"/>
      <c r="E4" s="371"/>
      <c r="F4" s="371"/>
      <c r="G4" s="371"/>
      <c r="H4" s="316" t="s">
        <v>15</v>
      </c>
      <c r="I4" s="371"/>
      <c r="J4" s="371"/>
      <c r="K4" s="371"/>
      <c r="L4" s="371"/>
      <c r="M4" s="371"/>
      <c r="N4" s="371"/>
      <c r="O4" s="371"/>
      <c r="P4" s="371"/>
      <c r="Q4" s="371"/>
      <c r="R4" s="371"/>
      <c r="S4" s="371"/>
      <c r="T4" s="371"/>
      <c r="U4" s="371"/>
      <c r="V4" s="371"/>
      <c r="W4" s="371"/>
      <c r="X4" s="3249" t="s">
        <v>15</v>
      </c>
      <c r="Y4" s="3249"/>
      <c r="Z4" s="3249"/>
      <c r="AA4" s="3249"/>
      <c r="AB4" s="3249"/>
      <c r="AC4" s="3249"/>
      <c r="AD4" s="3249"/>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549" t="s">
        <v>221</v>
      </c>
      <c r="B5" s="316"/>
      <c r="C5" s="371"/>
      <c r="D5" s="371"/>
      <c r="E5" s="371"/>
      <c r="F5" s="371"/>
      <c r="G5" s="371"/>
      <c r="H5" s="371"/>
      <c r="I5" s="371"/>
      <c r="J5" s="371"/>
      <c r="K5" s="371"/>
      <c r="L5" s="371"/>
      <c r="M5" s="371"/>
      <c r="N5" s="371"/>
      <c r="O5" s="371"/>
      <c r="P5" s="371"/>
      <c r="Q5" s="371"/>
      <c r="R5" s="371"/>
      <c r="S5" s="371"/>
      <c r="T5" s="371"/>
      <c r="U5" s="371"/>
      <c r="V5" s="371"/>
      <c r="W5" s="371"/>
      <c r="X5" s="3249"/>
      <c r="Y5" s="3249"/>
      <c r="Z5" s="3249"/>
      <c r="AB5" s="3250"/>
      <c r="AC5" s="3250"/>
      <c r="AD5" s="3250"/>
      <c r="AE5" s="3228"/>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550" t="str">
        <f>'Cashflow Governmental'!A6</f>
        <v xml:space="preserve">FISCAL YEAR 2020-2021   </v>
      </c>
      <c r="B6" s="316"/>
      <c r="C6" s="371"/>
      <c r="D6" s="371"/>
      <c r="E6" s="371"/>
      <c r="F6" s="371"/>
      <c r="G6" s="371"/>
      <c r="H6" s="371"/>
      <c r="I6" s="371"/>
      <c r="J6" s="371"/>
      <c r="K6" s="371"/>
      <c r="L6" s="371"/>
      <c r="M6" s="371"/>
      <c r="N6" s="371"/>
      <c r="O6" s="371"/>
      <c r="P6" s="371"/>
      <c r="Q6" s="371"/>
      <c r="R6" s="371"/>
      <c r="S6" s="371"/>
      <c r="T6" s="371"/>
      <c r="U6" s="371"/>
      <c r="V6" s="371"/>
      <c r="W6" s="371"/>
      <c r="X6" s="3249"/>
      <c r="Y6" s="3249"/>
      <c r="Z6" s="3249"/>
      <c r="AA6" s="3249"/>
      <c r="AB6" s="3249"/>
      <c r="AC6" s="3249"/>
      <c r="AD6" s="3249"/>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549" t="s">
        <v>1365</v>
      </c>
      <c r="B7" s="316"/>
      <c r="C7" s="371"/>
      <c r="D7" s="371"/>
      <c r="E7" s="371"/>
      <c r="F7" s="371"/>
      <c r="G7" s="371"/>
      <c r="H7" s="371"/>
      <c r="I7" s="371"/>
      <c r="J7" s="371"/>
      <c r="K7" s="371"/>
      <c r="L7" s="371"/>
      <c r="M7" s="371"/>
      <c r="N7" s="371"/>
      <c r="O7" s="371"/>
      <c r="P7" s="371"/>
      <c r="Q7" s="371"/>
      <c r="R7" s="371"/>
      <c r="S7" s="371"/>
      <c r="T7" s="371"/>
      <c r="U7" s="371"/>
      <c r="V7" s="371"/>
      <c r="W7" s="371"/>
      <c r="X7" s="3249"/>
      <c r="Y7" s="3249"/>
      <c r="Z7" s="3249"/>
      <c r="AA7" s="3249"/>
      <c r="AB7" s="3249"/>
      <c r="AC7" s="3249"/>
      <c r="AD7" s="3249"/>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115"/>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251"/>
      <c r="Y9" s="3251"/>
      <c r="Z9" s="3251"/>
      <c r="AA9" s="3251"/>
      <c r="AB9" s="3251"/>
      <c r="AC9" s="3251"/>
      <c r="AD9" s="3251"/>
      <c r="AE9" s="1086"/>
      <c r="AF9" s="3229"/>
      <c r="AG9" s="3229"/>
      <c r="AH9" s="1132"/>
      <c r="AI9" s="1132"/>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252"/>
      <c r="Y10" s="3252"/>
      <c r="Z10" s="3253"/>
      <c r="AA10" s="3944" t="s">
        <v>1546</v>
      </c>
      <c r="AB10" s="3945"/>
      <c r="AC10" s="3945"/>
      <c r="AD10" s="3945"/>
      <c r="AE10" s="3945"/>
      <c r="AF10" s="3945"/>
      <c r="AG10" s="3945"/>
      <c r="AH10" s="3945"/>
      <c r="AI10" s="3945"/>
    </row>
    <row r="11" spans="1:251" ht="16.5" customHeight="1">
      <c r="A11" s="242"/>
      <c r="B11" s="767" t="str">
        <f>'Cashflow Governmental'!C13</f>
        <v>2020</v>
      </c>
      <c r="C11" s="246"/>
      <c r="D11" s="246"/>
      <c r="E11" s="246"/>
      <c r="F11" s="246"/>
      <c r="G11" s="246"/>
      <c r="H11" s="246"/>
      <c r="I11" s="246"/>
      <c r="J11" s="246"/>
      <c r="K11" s="246"/>
      <c r="L11" s="246"/>
      <c r="M11" s="246"/>
      <c r="N11" s="246"/>
      <c r="O11" s="246"/>
      <c r="P11" s="246"/>
      <c r="Q11" s="246"/>
      <c r="R11" s="246"/>
      <c r="S11" s="246"/>
      <c r="T11" s="767" t="str">
        <f>'Cashflow Governmental'!U13</f>
        <v>2021</v>
      </c>
      <c r="U11" s="246"/>
      <c r="V11" s="246"/>
      <c r="W11" s="246"/>
      <c r="X11" s="1652"/>
      <c r="Y11" s="1652"/>
      <c r="Z11" s="3253"/>
      <c r="AA11" s="3253"/>
      <c r="AB11" s="3253"/>
      <c r="AC11" s="3253"/>
      <c r="AD11" s="3253"/>
      <c r="AE11" s="3231"/>
      <c r="AF11" s="3232"/>
      <c r="AG11" s="3235" t="s">
        <v>8</v>
      </c>
      <c r="AH11" s="1134"/>
      <c r="AI11" s="1135" t="s">
        <v>9</v>
      </c>
    </row>
    <row r="12" spans="1:251" ht="16.5" customHeight="1">
      <c r="A12" s="242"/>
      <c r="B12" s="769" t="s">
        <v>124</v>
      </c>
      <c r="C12" s="246"/>
      <c r="D12" s="769" t="s">
        <v>125</v>
      </c>
      <c r="E12" s="246"/>
      <c r="F12" s="769" t="s">
        <v>126</v>
      </c>
      <c r="G12" s="246"/>
      <c r="H12" s="769" t="s">
        <v>127</v>
      </c>
      <c r="I12" s="246"/>
      <c r="J12" s="769" t="s">
        <v>128</v>
      </c>
      <c r="K12" s="246"/>
      <c r="L12" s="767" t="s">
        <v>143</v>
      </c>
      <c r="M12" s="246"/>
      <c r="N12" s="767" t="s">
        <v>144</v>
      </c>
      <c r="O12" s="246"/>
      <c r="P12" s="769" t="s">
        <v>131</v>
      </c>
      <c r="Q12" s="246"/>
      <c r="R12" s="769" t="s">
        <v>132</v>
      </c>
      <c r="S12" s="246"/>
      <c r="T12" s="769" t="s">
        <v>133</v>
      </c>
      <c r="U12" s="246"/>
      <c r="V12" s="769" t="s">
        <v>134</v>
      </c>
      <c r="W12" s="246"/>
      <c r="X12" s="3254" t="s">
        <v>185</v>
      </c>
      <c r="Y12" s="1652"/>
      <c r="Z12" s="1652"/>
      <c r="AA12" s="3255">
        <f>'Cashflow Governmental'!AB14</f>
        <v>2020</v>
      </c>
      <c r="AB12" s="1652" t="s">
        <v>15</v>
      </c>
      <c r="AC12" s="1652"/>
      <c r="AD12" s="3255">
        <f>'Cashflow Governmental'!AE14</f>
        <v>2019</v>
      </c>
      <c r="AE12" s="3270"/>
      <c r="AF12" s="3271"/>
      <c r="AG12" s="3238" t="s">
        <v>12</v>
      </c>
      <c r="AH12" s="1137"/>
      <c r="AI12" s="1136" t="s">
        <v>13</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256"/>
      <c r="Y13" s="3257"/>
      <c r="Z13" s="3257"/>
      <c r="AA13" s="3256"/>
      <c r="AB13" s="3257"/>
      <c r="AC13" s="3257"/>
      <c r="AD13" s="3256"/>
      <c r="AE13" s="3233"/>
      <c r="AF13" s="1659"/>
    </row>
    <row r="14" spans="1:251" ht="16.5" customHeight="1">
      <c r="A14" s="317" t="s">
        <v>136</v>
      </c>
      <c r="B14" s="2140">
        <v>-297.5</v>
      </c>
      <c r="C14" s="374"/>
      <c r="D14" s="374">
        <f>B46</f>
        <v>-281</v>
      </c>
      <c r="E14" s="374"/>
      <c r="F14" s="374">
        <f>D46</f>
        <v>-299.2</v>
      </c>
      <c r="G14" s="374"/>
      <c r="H14" s="374">
        <f>F46</f>
        <v>-315.2</v>
      </c>
      <c r="I14" s="374"/>
      <c r="J14" s="374">
        <f>H46</f>
        <v>-342.3</v>
      </c>
      <c r="K14" s="374"/>
      <c r="L14" s="374">
        <f>J46</f>
        <v>-355.2</v>
      </c>
      <c r="M14" s="374"/>
      <c r="N14" s="374">
        <f>L46</f>
        <v>-372.7</v>
      </c>
      <c r="O14" s="374"/>
      <c r="P14" s="374"/>
      <c r="Q14" s="374"/>
      <c r="R14" s="374"/>
      <c r="S14" s="374"/>
      <c r="T14" s="374"/>
      <c r="U14" s="374"/>
      <c r="V14" s="374"/>
      <c r="W14" s="374"/>
      <c r="X14" s="1654"/>
      <c r="Y14" s="1654"/>
      <c r="Z14" s="3258"/>
      <c r="AA14" s="1654">
        <f>B14</f>
        <v>-297.5</v>
      </c>
      <c r="AB14" s="3259"/>
      <c r="AC14" s="2206"/>
      <c r="AD14" s="2140">
        <v>-302.7</v>
      </c>
      <c r="AE14" s="3236"/>
      <c r="AF14" s="3272"/>
      <c r="AG14" s="1660">
        <f>ROUND(SUM(AA14-AD14),1)</f>
        <v>5.2</v>
      </c>
      <c r="AI14" s="1367">
        <f>-ROUND(IF(AG14=0,0,AG14/(AD14)),3)</f>
        <v>1.7000000000000001E-2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236"/>
      <c r="Y15" s="3236"/>
      <c r="Z15" s="3260"/>
      <c r="AA15" s="3236"/>
      <c r="AB15" s="3261"/>
      <c r="AC15" s="3262"/>
      <c r="AD15" s="3236"/>
      <c r="AE15" s="3236"/>
      <c r="AF15" s="3272"/>
      <c r="AG15" s="3241"/>
      <c r="AI15" s="1131"/>
    </row>
    <row r="16" spans="1:251" ht="16.5" customHeight="1">
      <c r="A16" s="246" t="s">
        <v>14</v>
      </c>
      <c r="B16" s="376"/>
      <c r="C16" s="376"/>
      <c r="D16" s="376"/>
      <c r="E16" s="376"/>
      <c r="F16" s="376"/>
      <c r="G16" s="376"/>
      <c r="H16" s="376"/>
      <c r="I16" s="376"/>
      <c r="J16" s="376"/>
      <c r="K16" s="376"/>
      <c r="L16" s="376"/>
      <c r="M16" s="376"/>
      <c r="N16" s="234"/>
      <c r="O16" s="376"/>
      <c r="P16" s="376"/>
      <c r="Q16" s="376"/>
      <c r="R16" s="376"/>
      <c r="S16" s="376"/>
      <c r="T16" s="376"/>
      <c r="U16" s="376"/>
      <c r="V16" s="376"/>
      <c r="W16" s="376"/>
      <c r="X16" s="3236"/>
      <c r="Y16" s="3236"/>
      <c r="Z16" s="3260"/>
      <c r="AA16" s="3236"/>
      <c r="AB16" s="3261"/>
      <c r="AC16" s="3262"/>
      <c r="AD16" s="3236"/>
      <c r="AE16" s="1687"/>
      <c r="AF16" s="1671"/>
      <c r="AG16" s="1688"/>
      <c r="AI16" s="1144"/>
    </row>
    <row r="17" spans="1:36" s="1086" customFormat="1" ht="16.5" customHeight="1">
      <c r="A17" s="190" t="s">
        <v>178</v>
      </c>
      <c r="B17" s="234">
        <v>25.2</v>
      </c>
      <c r="C17" s="234"/>
      <c r="D17" s="234">
        <v>22.3</v>
      </c>
      <c r="E17" s="234"/>
      <c r="F17" s="234">
        <v>34.900000000000006</v>
      </c>
      <c r="G17" s="234"/>
      <c r="H17" s="234">
        <v>19.799999999999997</v>
      </c>
      <c r="I17" s="1578"/>
      <c r="J17" s="234">
        <v>32.399999999999991</v>
      </c>
      <c r="K17" s="1578"/>
      <c r="L17" s="234">
        <v>34.100000000000009</v>
      </c>
      <c r="M17" s="1578"/>
      <c r="N17" s="234">
        <f>$AA17-$B17-$D17-$F17-$H17-$J17-$L17</f>
        <v>52.999999999999986</v>
      </c>
      <c r="O17" s="1578"/>
      <c r="P17" s="1575"/>
      <c r="Q17" s="1578"/>
      <c r="R17" s="1575"/>
      <c r="S17" s="1578"/>
      <c r="T17" s="1575"/>
      <c r="U17" s="1578"/>
      <c r="V17" s="1575"/>
      <c r="W17" s="1578"/>
      <c r="X17" s="1575"/>
      <c r="Y17" s="1578"/>
      <c r="Z17" s="1698"/>
      <c r="AA17" s="3263">
        <v>221.7</v>
      </c>
      <c r="AB17" s="3264"/>
      <c r="AC17" s="1672"/>
      <c r="AD17" s="3263">
        <v>307.60000000000002</v>
      </c>
      <c r="AE17" s="1699"/>
      <c r="AF17" s="1671"/>
      <c r="AG17" s="1700">
        <f>ROUND(SUM(AA17-AD17),1)</f>
        <v>-85.9</v>
      </c>
      <c r="AH17" s="1661"/>
      <c r="AI17" s="1701">
        <f>ROUND(IF(AG17=0,0,AG17/ABS(AD17)),3)</f>
        <v>-0.27900000000000003</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99"/>
      <c r="Y18" s="1578"/>
      <c r="Z18" s="1698"/>
      <c r="AA18" s="1022"/>
      <c r="AB18" s="3264"/>
      <c r="AC18" s="1672"/>
      <c r="AD18" s="1022"/>
      <c r="AE18" s="1672"/>
      <c r="AF18" s="1671"/>
      <c r="AG18" s="1688"/>
      <c r="AI18" s="1131"/>
    </row>
    <row r="19" spans="1:36" ht="16.5" customHeight="1">
      <c r="A19" s="246" t="s">
        <v>150</v>
      </c>
      <c r="B19" s="379">
        <f>ROUND(SUM(B17),1)</f>
        <v>25.2</v>
      </c>
      <c r="C19" s="379"/>
      <c r="D19" s="379">
        <f>ROUND(SUM(D17),1)</f>
        <v>22.3</v>
      </c>
      <c r="E19" s="379"/>
      <c r="F19" s="379">
        <f>ROUND(SUM(F17),1)</f>
        <v>34.9</v>
      </c>
      <c r="G19" s="379"/>
      <c r="H19" s="379">
        <f>ROUND(SUM(H17),1)</f>
        <v>19.8</v>
      </c>
      <c r="I19" s="379"/>
      <c r="J19" s="379">
        <f>ROUND(SUM(J17),1)</f>
        <v>32.4</v>
      </c>
      <c r="K19" s="379"/>
      <c r="L19" s="379">
        <f>ROUND(SUM(L17),1)</f>
        <v>34.1</v>
      </c>
      <c r="M19" s="379"/>
      <c r="N19" s="379">
        <f>ROUND(SUM(N17),1)</f>
        <v>53</v>
      </c>
      <c r="O19" s="379"/>
      <c r="P19" s="379">
        <f>ROUND(SUM(P17),1)</f>
        <v>0</v>
      </c>
      <c r="Q19" s="379"/>
      <c r="R19" s="379">
        <f>ROUND(SUM(R17),1)</f>
        <v>0</v>
      </c>
      <c r="S19" s="379"/>
      <c r="T19" s="379">
        <f>ROUND(SUM(T17),1)</f>
        <v>0</v>
      </c>
      <c r="U19" s="379"/>
      <c r="V19" s="379">
        <f>ROUND(SUM(V17),1)</f>
        <v>0</v>
      </c>
      <c r="W19" s="379"/>
      <c r="X19" s="2201">
        <f>ROUND(SUM(X17),1)</f>
        <v>0</v>
      </c>
      <c r="Y19" s="2201"/>
      <c r="Z19" s="2202"/>
      <c r="AA19" s="2201">
        <f>ROUND(SUM(AA17),1)</f>
        <v>221.7</v>
      </c>
      <c r="AB19" s="3265"/>
      <c r="AC19" s="3266"/>
      <c r="AD19" s="2201">
        <f>ROUND(SUM(AD17),1)</f>
        <v>307.60000000000002</v>
      </c>
      <c r="AE19" s="1578"/>
      <c r="AF19" s="1671"/>
      <c r="AG19" s="3245">
        <f>ROUND(SUM(AG17),1)</f>
        <v>-85.9</v>
      </c>
      <c r="AH19" s="1142"/>
      <c r="AI19" s="1143">
        <f>ROUND(IF(AG19=0,0,AG19/ABS(AD19)),3)</f>
        <v>-0.27900000000000003</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99"/>
      <c r="Y20" s="1578"/>
      <c r="Z20" s="1698"/>
      <c r="AA20" s="2199"/>
      <c r="AB20" s="3264"/>
      <c r="AC20" s="1672"/>
      <c r="AD20" s="2199"/>
      <c r="AE20" s="1578"/>
      <c r="AF20" s="1671"/>
      <c r="AG20" s="1688"/>
      <c r="AI20" s="1131"/>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78"/>
      <c r="Y21" s="1578"/>
      <c r="Z21" s="1698"/>
      <c r="AA21" s="1578"/>
      <c r="AB21" s="3264"/>
      <c r="AC21" s="1672"/>
      <c r="AD21" s="1578"/>
      <c r="AE21" s="1575"/>
      <c r="AF21" s="1677"/>
      <c r="AG21" s="1688"/>
      <c r="AI21" s="1144"/>
    </row>
    <row r="22" spans="1:36" ht="16.5" customHeight="1">
      <c r="A22" s="246" t="s">
        <v>23</v>
      </c>
      <c r="B22" s="234"/>
      <c r="C22" s="234"/>
      <c r="D22" s="234"/>
      <c r="E22" s="234"/>
      <c r="F22" s="234"/>
      <c r="G22" s="234"/>
      <c r="H22" s="234"/>
      <c r="I22" s="234"/>
      <c r="J22" s="234"/>
      <c r="K22" s="234"/>
      <c r="L22" s="234"/>
      <c r="M22" s="234"/>
      <c r="N22" s="234"/>
      <c r="O22" s="234"/>
      <c r="P22" s="234"/>
      <c r="Q22" s="234"/>
      <c r="R22" s="234"/>
      <c r="S22" s="234"/>
      <c r="T22" s="234"/>
      <c r="U22" s="234"/>
      <c r="V22" s="234"/>
      <c r="W22" s="234"/>
      <c r="X22" s="1578"/>
      <c r="Y22" s="1578"/>
      <c r="Z22" s="1698"/>
      <c r="AA22" s="1578"/>
      <c r="AB22" s="3264"/>
      <c r="AC22" s="1672"/>
      <c r="AD22" s="1578"/>
      <c r="AE22" s="1674"/>
      <c r="AF22" s="1677"/>
      <c r="AG22" s="1688"/>
      <c r="AH22" s="1145"/>
      <c r="AI22" s="1144"/>
    </row>
    <row r="23" spans="1:36" ht="16.5" customHeight="1">
      <c r="A23" s="146" t="s">
        <v>152</v>
      </c>
      <c r="B23" s="234"/>
      <c r="C23" s="234"/>
      <c r="D23" s="234"/>
      <c r="E23" s="234"/>
      <c r="F23" s="234"/>
      <c r="G23" s="234"/>
      <c r="H23" s="234"/>
      <c r="I23" s="234"/>
      <c r="J23" s="234"/>
      <c r="K23" s="234"/>
      <c r="L23" s="234"/>
      <c r="M23" s="234"/>
      <c r="N23" s="234"/>
      <c r="O23" s="234"/>
      <c r="P23" s="234"/>
      <c r="Q23" s="234"/>
      <c r="R23" s="234"/>
      <c r="S23" s="234"/>
      <c r="T23" s="234"/>
      <c r="U23" s="234"/>
      <c r="V23" s="234"/>
      <c r="W23" s="234"/>
      <c r="X23" s="1578"/>
      <c r="Y23" s="1578"/>
      <c r="Z23" s="1698"/>
      <c r="AA23" s="1674"/>
      <c r="AB23" s="3264"/>
      <c r="AC23" s="1672"/>
      <c r="AD23" s="1674"/>
      <c r="AE23" s="2197"/>
      <c r="AF23" s="1677"/>
      <c r="AG23" s="1688"/>
      <c r="AI23" s="1144"/>
    </row>
    <row r="24" spans="1:36" ht="16.5" customHeight="1">
      <c r="A24" s="146" t="s">
        <v>218</v>
      </c>
      <c r="B24" s="234">
        <v>14.5</v>
      </c>
      <c r="C24" s="234"/>
      <c r="D24" s="234">
        <v>11.100000000000001</v>
      </c>
      <c r="E24" s="234"/>
      <c r="F24" s="234">
        <v>11</v>
      </c>
      <c r="G24" s="234"/>
      <c r="H24" s="234">
        <v>12.299999999999997</v>
      </c>
      <c r="I24" s="1578"/>
      <c r="J24" s="234">
        <v>9.8999999999999986</v>
      </c>
      <c r="K24" s="1578"/>
      <c r="L24" s="234">
        <v>14.600000000000009</v>
      </c>
      <c r="M24" s="1578"/>
      <c r="N24" s="1575">
        <f t="shared" ref="N24:N26" si="0">$AA24-$B24-$D24-$F24-$H24-$J24-$L24</f>
        <v>10.199999999999989</v>
      </c>
      <c r="O24" s="1578"/>
      <c r="P24" s="1575"/>
      <c r="Q24" s="1578"/>
      <c r="R24" s="1575"/>
      <c r="S24" s="1578"/>
      <c r="T24" s="1575"/>
      <c r="U24" s="1578"/>
      <c r="V24" s="1575"/>
      <c r="W24" s="1578"/>
      <c r="X24" s="1575"/>
      <c r="Y24" s="1578"/>
      <c r="Z24" s="1698"/>
      <c r="AA24" s="1575">
        <v>83.6</v>
      </c>
      <c r="AB24" s="3264"/>
      <c r="AC24" s="1672"/>
      <c r="AD24" s="1575">
        <v>76.5</v>
      </c>
      <c r="AE24" s="2198"/>
      <c r="AF24" s="1677"/>
      <c r="AG24" s="1688">
        <f>ROUND(SUM(AA24-AD24),1)</f>
        <v>7.1</v>
      </c>
      <c r="AI24" s="1146">
        <f>ROUND(IF(AG24=0,0,AG24/ABS(AD24)),3)</f>
        <v>9.2999999999999999E-2</v>
      </c>
    </row>
    <row r="25" spans="1:36" ht="16.5" customHeight="1">
      <c r="A25" s="146" t="s">
        <v>179</v>
      </c>
      <c r="B25" s="234">
        <v>-9.3000000000000007</v>
      </c>
      <c r="C25" s="234"/>
      <c r="D25" s="234">
        <v>26.6</v>
      </c>
      <c r="E25" s="234"/>
      <c r="F25" s="234">
        <v>83.300000000000011</v>
      </c>
      <c r="G25" s="234"/>
      <c r="H25" s="234">
        <v>31.700000000000017</v>
      </c>
      <c r="I25" s="1578"/>
      <c r="J25" s="234">
        <v>41.599999999999994</v>
      </c>
      <c r="K25" s="1578"/>
      <c r="L25" s="234">
        <v>35.199999999999989</v>
      </c>
      <c r="M25" s="1578"/>
      <c r="N25" s="1575">
        <f t="shared" si="0"/>
        <v>61.299999999999983</v>
      </c>
      <c r="O25" s="1578"/>
      <c r="P25" s="1575"/>
      <c r="Q25" s="1578"/>
      <c r="R25" s="1575"/>
      <c r="S25" s="1578"/>
      <c r="T25" s="1575"/>
      <c r="U25" s="1578"/>
      <c r="V25" s="1575"/>
      <c r="W25" s="1578"/>
      <c r="X25" s="1575"/>
      <c r="Y25" s="1578"/>
      <c r="Z25" s="1698"/>
      <c r="AA25" s="1575">
        <v>270.39999999999998</v>
      </c>
      <c r="AB25" s="3264"/>
      <c r="AC25" s="1672"/>
      <c r="AD25" s="1575">
        <v>233.6</v>
      </c>
      <c r="AE25" s="1672"/>
      <c r="AF25" s="1671"/>
      <c r="AG25" s="1688">
        <f>ROUND(SUM(AA25-AD25),1)</f>
        <v>36.799999999999997</v>
      </c>
      <c r="AI25" s="1146">
        <f>ROUND(IF(AG25=0,0,AG25/ABS(AD25)),3)</f>
        <v>0.158</v>
      </c>
      <c r="AJ25" s="3561"/>
    </row>
    <row r="26" spans="1:36" ht="16.5" customHeight="1">
      <c r="A26" s="146" t="s">
        <v>155</v>
      </c>
      <c r="B26" s="234">
        <v>4.8</v>
      </c>
      <c r="C26" s="234"/>
      <c r="D26" s="234">
        <v>5.3</v>
      </c>
      <c r="E26" s="234"/>
      <c r="F26" s="234">
        <v>8.5999999999999979</v>
      </c>
      <c r="G26" s="234"/>
      <c r="H26" s="234">
        <v>4.6000000000000014</v>
      </c>
      <c r="I26" s="1578"/>
      <c r="J26" s="234">
        <v>5.6999999999999993</v>
      </c>
      <c r="K26" s="1578"/>
      <c r="L26" s="234">
        <v>4.7999999999999972</v>
      </c>
      <c r="M26" s="1578"/>
      <c r="N26" s="1575">
        <f t="shared" si="0"/>
        <v>4.8000000000000078</v>
      </c>
      <c r="O26" s="1578"/>
      <c r="P26" s="1575"/>
      <c r="Q26" s="1578"/>
      <c r="R26" s="1575"/>
      <c r="S26" s="1578"/>
      <c r="T26" s="1575"/>
      <c r="U26" s="1578"/>
      <c r="V26" s="1575"/>
      <c r="W26" s="1578"/>
      <c r="X26" s="1575"/>
      <c r="Y26" s="1578"/>
      <c r="Z26" s="1698"/>
      <c r="AA26" s="1575">
        <v>38.6</v>
      </c>
      <c r="AB26" s="3264"/>
      <c r="AC26" s="1672"/>
      <c r="AD26" s="1575">
        <v>31.6</v>
      </c>
      <c r="AE26" s="1578"/>
      <c r="AF26" s="1671"/>
      <c r="AG26" s="1700">
        <f>ROUND(SUM(AA26-AD26),1)</f>
        <v>7</v>
      </c>
      <c r="AI26" s="3564">
        <f>ROUND(IF(AD26=0,1,AG26/ABS(AD26)),3)</f>
        <v>0.222</v>
      </c>
      <c r="AJ26" s="3561"/>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99"/>
      <c r="Y27" s="1578"/>
      <c r="Z27" s="1698"/>
      <c r="AA27" s="2199"/>
      <c r="AB27" s="3264"/>
      <c r="AC27" s="1672"/>
      <c r="AD27" s="2199"/>
      <c r="AE27" s="2200"/>
      <c r="AF27" s="1677"/>
      <c r="AG27" s="1688"/>
      <c r="AH27" s="1147"/>
      <c r="AI27" s="1144"/>
    </row>
    <row r="28" spans="1:36" ht="16.5" customHeight="1">
      <c r="A28" s="246" t="s">
        <v>156</v>
      </c>
      <c r="B28" s="379">
        <f>ROUND(SUM(B24:B27),1)</f>
        <v>10</v>
      </c>
      <c r="C28" s="379"/>
      <c r="D28" s="379">
        <f>ROUND(SUM(D24:D27),1)</f>
        <v>43</v>
      </c>
      <c r="E28" s="379"/>
      <c r="F28" s="379">
        <f>ROUND(SUM(F24:F27),1)</f>
        <v>102.9</v>
      </c>
      <c r="G28" s="379"/>
      <c r="H28" s="379">
        <f>ROUND(SUM(H24:H27),1)</f>
        <v>48.6</v>
      </c>
      <c r="I28" s="379"/>
      <c r="J28" s="379">
        <f>ROUND(SUM(J24:J27),1)</f>
        <v>57.2</v>
      </c>
      <c r="K28" s="379"/>
      <c r="L28" s="379">
        <f>ROUND(SUM(L24:L27),1)</f>
        <v>54.6</v>
      </c>
      <c r="M28" s="379"/>
      <c r="N28" s="379">
        <f>ROUND(SUM(N24:N27),1)</f>
        <v>76.3</v>
      </c>
      <c r="O28" s="379"/>
      <c r="P28" s="379">
        <f>ROUND(SUM(P24:P27),1)</f>
        <v>0</v>
      </c>
      <c r="Q28" s="379"/>
      <c r="R28" s="379">
        <f>ROUND(SUM(R24:R27),1)</f>
        <v>0</v>
      </c>
      <c r="S28" s="379"/>
      <c r="T28" s="379">
        <f>ROUND(SUM(T24:T27),1)</f>
        <v>0</v>
      </c>
      <c r="U28" s="379"/>
      <c r="V28" s="379">
        <f>ROUND(SUM(V24:V27),1)</f>
        <v>0</v>
      </c>
      <c r="W28" s="379">
        <f>SUM(W24:W27)</f>
        <v>0</v>
      </c>
      <c r="X28" s="2201">
        <f>ROUND(SUM(X24:X26),1)</f>
        <v>0</v>
      </c>
      <c r="Y28" s="2201"/>
      <c r="Z28" s="2202"/>
      <c r="AA28" s="2201">
        <f>ROUND(SUM(AA23:AA26),1)</f>
        <v>392.6</v>
      </c>
      <c r="AB28" s="3265"/>
      <c r="AC28" s="3266"/>
      <c r="AD28" s="2201">
        <f>ROUND(SUM(AD23:AD26),1)</f>
        <v>341.7</v>
      </c>
      <c r="AE28" s="1672"/>
      <c r="AF28" s="1682"/>
      <c r="AG28" s="3245">
        <f>ROUND(SUM(AG24:AG26),1)</f>
        <v>50.9</v>
      </c>
      <c r="AH28" s="1142"/>
      <c r="AI28" s="1143">
        <f>ROUND(IF(AG28=0,0,AG28/ABS(AD28)),3)</f>
        <v>0.14899999999999999</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99"/>
      <c r="Y29" s="1578"/>
      <c r="Z29" s="1698"/>
      <c r="AA29" s="2199"/>
      <c r="AB29" s="3264"/>
      <c r="AC29" s="1672"/>
      <c r="AD29" s="2199"/>
      <c r="AE29" s="1578"/>
      <c r="AF29" s="1682"/>
      <c r="AG29" s="1688"/>
      <c r="AI29" s="1131"/>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78"/>
      <c r="Y30" s="1578"/>
      <c r="Z30" s="1698"/>
      <c r="AA30" s="1578"/>
      <c r="AB30" s="3264"/>
      <c r="AC30" s="1672"/>
      <c r="AD30" s="1578"/>
      <c r="AE30" s="1674"/>
      <c r="AF30" s="1682"/>
      <c r="AG30" s="1688"/>
      <c r="AH30" s="1145"/>
      <c r="AI30" s="1144"/>
    </row>
    <row r="31" spans="1:36" ht="16.5" customHeight="1">
      <c r="A31" s="246" t="s">
        <v>157</v>
      </c>
      <c r="B31" s="234"/>
      <c r="C31" s="234"/>
      <c r="D31" s="234"/>
      <c r="E31" s="234"/>
      <c r="F31" s="234"/>
      <c r="G31" s="234"/>
      <c r="H31" s="234"/>
      <c r="I31" s="234"/>
      <c r="J31" s="234"/>
      <c r="K31" s="234"/>
      <c r="L31" s="234"/>
      <c r="M31" s="234"/>
      <c r="N31" s="234"/>
      <c r="O31" s="234"/>
      <c r="P31" s="234"/>
      <c r="Q31" s="234"/>
      <c r="R31" s="234"/>
      <c r="S31" s="234"/>
      <c r="T31" s="234"/>
      <c r="U31" s="234"/>
      <c r="V31" s="234"/>
      <c r="W31" s="234"/>
      <c r="X31" s="1578"/>
      <c r="Y31" s="1578"/>
      <c r="Z31" s="1698"/>
      <c r="AA31" s="1578"/>
      <c r="AB31" s="3264"/>
      <c r="AC31" s="1672"/>
      <c r="AD31" s="1578"/>
      <c r="AE31" s="2203"/>
      <c r="AF31" s="1681"/>
      <c r="AG31" s="1688"/>
      <c r="AH31" s="1145"/>
      <c r="AI31" s="1144"/>
    </row>
    <row r="32" spans="1:36" ht="16.5" customHeight="1">
      <c r="A32" s="246" t="s">
        <v>45</v>
      </c>
      <c r="B32" s="379">
        <f>ROUND(B19-B28,1)</f>
        <v>15.2</v>
      </c>
      <c r="C32" s="379"/>
      <c r="D32" s="379">
        <f>ROUND(D19-D28,1)</f>
        <v>-20.7</v>
      </c>
      <c r="E32" s="379"/>
      <c r="F32" s="379">
        <f>ROUND(F19-F28,1)</f>
        <v>-68</v>
      </c>
      <c r="G32" s="379"/>
      <c r="H32" s="379">
        <f>ROUND(H19-H28,1)</f>
        <v>-28.8</v>
      </c>
      <c r="I32" s="379"/>
      <c r="J32" s="379">
        <f>ROUND(J19-J28,1)</f>
        <v>-24.8</v>
      </c>
      <c r="K32" s="379"/>
      <c r="L32" s="379">
        <f>ROUND(L19-L28,1)</f>
        <v>-20.5</v>
      </c>
      <c r="M32" s="379"/>
      <c r="N32" s="379">
        <f>ROUND(N19-N28,1)</f>
        <v>-23.3</v>
      </c>
      <c r="O32" s="379"/>
      <c r="P32" s="379">
        <f>ROUND(P19-P28,1)</f>
        <v>0</v>
      </c>
      <c r="Q32" s="379"/>
      <c r="R32" s="379">
        <f>ROUND(R19-R28,1)</f>
        <v>0</v>
      </c>
      <c r="S32" s="379"/>
      <c r="T32" s="379">
        <f>ROUND(T19-T28,1)</f>
        <v>0</v>
      </c>
      <c r="U32" s="379"/>
      <c r="V32" s="379">
        <f>ROUND(V19-V28,1)</f>
        <v>0</v>
      </c>
      <c r="W32" s="379"/>
      <c r="X32" s="2201">
        <f>ROUND(X19-X28,1)</f>
        <v>0</v>
      </c>
      <c r="Y32" s="2201"/>
      <c r="Z32" s="2202"/>
      <c r="AA32" s="2201">
        <f>ROUND(AA19-AA28,1)</f>
        <v>-170.9</v>
      </c>
      <c r="AB32" s="3265"/>
      <c r="AC32" s="3266"/>
      <c r="AD32" s="2201">
        <f>ROUND(AD19-AD28,1)</f>
        <v>-34.1</v>
      </c>
      <c r="AE32" s="1672"/>
      <c r="AF32" s="1671"/>
      <c r="AG32" s="3245">
        <f>ROUND(SUM(AG19-AG28),1)</f>
        <v>-136.80000000000001</v>
      </c>
      <c r="AH32" s="1142"/>
      <c r="AI32" s="2118">
        <f>ROUND(IF(AG32=0,0,AG32/ABS(AD32)),3)</f>
        <v>-4.0119999999999996</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99"/>
      <c r="Y33" s="1578"/>
      <c r="Z33" s="1698"/>
      <c r="AA33" s="2199"/>
      <c r="AB33" s="3264"/>
      <c r="AC33" s="1672"/>
      <c r="AD33" s="2199"/>
      <c r="AE33" s="1578"/>
      <c r="AF33" s="1671"/>
      <c r="AG33" s="1688"/>
      <c r="AI33" s="1131"/>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78"/>
      <c r="Y34" s="1578"/>
      <c r="Z34" s="1698"/>
      <c r="AA34" s="1578"/>
      <c r="AB34" s="3264"/>
      <c r="AC34" s="1672"/>
      <c r="AD34" s="1578"/>
      <c r="AE34" s="2200"/>
      <c r="AF34" s="2205"/>
      <c r="AG34" s="1688"/>
      <c r="AI34" s="1144"/>
    </row>
    <row r="35" spans="1:35" ht="16.5" customHeight="1">
      <c r="A35" s="246" t="s">
        <v>46</v>
      </c>
      <c r="B35" s="234"/>
      <c r="C35" s="234"/>
      <c r="D35" s="234"/>
      <c r="E35" s="234"/>
      <c r="F35" s="234"/>
      <c r="G35" s="234"/>
      <c r="H35" s="234"/>
      <c r="I35" s="234"/>
      <c r="J35" s="234"/>
      <c r="K35" s="234"/>
      <c r="L35" s="234"/>
      <c r="M35" s="234"/>
      <c r="N35" s="234"/>
      <c r="O35" s="234"/>
      <c r="P35" s="234"/>
      <c r="Q35" s="234"/>
      <c r="R35" s="234"/>
      <c r="S35" s="234"/>
      <c r="T35" s="234"/>
      <c r="U35" s="234"/>
      <c r="V35" s="234"/>
      <c r="W35" s="234"/>
      <c r="X35" s="1578"/>
      <c r="Y35" s="1578"/>
      <c r="Z35" s="1698"/>
      <c r="AA35" s="1578"/>
      <c r="AB35" s="3264"/>
      <c r="AC35" s="1672"/>
      <c r="AD35" s="1578"/>
      <c r="AE35" s="2206"/>
      <c r="AF35" s="2207"/>
      <c r="AG35" s="1710"/>
      <c r="AH35" s="1148"/>
      <c r="AI35" s="1144"/>
    </row>
    <row r="36" spans="1:35" ht="16.5" customHeight="1">
      <c r="A36" s="146" t="s">
        <v>181</v>
      </c>
      <c r="B36" s="234">
        <v>1.3</v>
      </c>
      <c r="C36" s="234"/>
      <c r="D36" s="234">
        <v>2.5</v>
      </c>
      <c r="E36" s="234"/>
      <c r="F36" s="234">
        <v>52</v>
      </c>
      <c r="G36" s="234"/>
      <c r="H36" s="234">
        <v>1.7000000000000028</v>
      </c>
      <c r="I36" s="1578"/>
      <c r="J36" s="234">
        <v>12.099999999999994</v>
      </c>
      <c r="K36" s="1578"/>
      <c r="L36" s="234">
        <v>3.1000000000000085</v>
      </c>
      <c r="M36" s="1578"/>
      <c r="N36" s="1575">
        <f t="shared" ref="N36:N37" si="1">$AA36-$B36-$D36-$F36-$H36-$J36-$L36</f>
        <v>6.9000000000000057</v>
      </c>
      <c r="O36" s="1578"/>
      <c r="P36" s="1575"/>
      <c r="Q36" s="1578"/>
      <c r="R36" s="1575"/>
      <c r="S36" s="1578"/>
      <c r="T36" s="1575"/>
      <c r="U36" s="1578"/>
      <c r="V36" s="1575"/>
      <c r="W36" s="1578"/>
      <c r="X36" s="1575"/>
      <c r="Y36" s="1578"/>
      <c r="Z36" s="1698"/>
      <c r="AA36" s="1575">
        <v>79.600000000000009</v>
      </c>
      <c r="AB36" s="3264"/>
      <c r="AC36" s="1672"/>
      <c r="AD36" s="1575">
        <v>49</v>
      </c>
      <c r="AE36" s="2208"/>
      <c r="AF36" s="1709"/>
      <c r="AG36" s="1688">
        <f>ROUND(SUM(AA36-AD36),1)</f>
        <v>30.6</v>
      </c>
      <c r="AH36" s="1145"/>
      <c r="AI36" s="1146">
        <f>ROUND(IF(AG36=0,0,AG36/ABS(AD36)),3)</f>
        <v>0.624</v>
      </c>
    </row>
    <row r="37" spans="1:35" s="1086" customFormat="1" ht="16.5" customHeight="1">
      <c r="A37" s="190" t="s">
        <v>182</v>
      </c>
      <c r="B37" s="234">
        <v>0</v>
      </c>
      <c r="C37" s="1578"/>
      <c r="D37" s="234">
        <v>0</v>
      </c>
      <c r="E37" s="1578"/>
      <c r="F37" s="234">
        <v>0</v>
      </c>
      <c r="G37" s="1578"/>
      <c r="H37" s="234">
        <v>0</v>
      </c>
      <c r="I37" s="1578"/>
      <c r="J37" s="234">
        <v>-0.2</v>
      </c>
      <c r="K37" s="1578"/>
      <c r="L37" s="234">
        <v>-9.9999999999999978E-2</v>
      </c>
      <c r="M37" s="1578"/>
      <c r="N37" s="1575">
        <f t="shared" si="1"/>
        <v>0</v>
      </c>
      <c r="O37" s="1578"/>
      <c r="P37" s="1575"/>
      <c r="Q37" s="1578"/>
      <c r="R37" s="1575"/>
      <c r="S37" s="1578"/>
      <c r="T37" s="1575"/>
      <c r="U37" s="1578"/>
      <c r="V37" s="1575"/>
      <c r="W37" s="1578"/>
      <c r="X37" s="1575"/>
      <c r="Y37" s="1578"/>
      <c r="Z37" s="1698"/>
      <c r="AA37" s="1575">
        <v>-0.3</v>
      </c>
      <c r="AB37" s="3264"/>
      <c r="AC37" s="1672"/>
      <c r="AD37" s="1575">
        <v>-0.9</v>
      </c>
      <c r="AE37" s="114"/>
      <c r="AF37" s="1709"/>
      <c r="AG37" s="3045">
        <f>-ROUND(SUM(AA37-AD37),1)</f>
        <v>-0.6</v>
      </c>
      <c r="AH37" s="1680"/>
      <c r="AI37" s="3046">
        <f>ROUND(IF(AG37=0,0,AG37/ABS(AD37)),3)</f>
        <v>-0.66700000000000004</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99"/>
      <c r="Y38" s="1578"/>
      <c r="Z38" s="1698"/>
      <c r="AA38" s="3267"/>
      <c r="AB38" s="3264"/>
      <c r="AC38" s="1672"/>
      <c r="AD38" s="3267"/>
      <c r="AE38" s="137"/>
      <c r="AF38" s="1709"/>
      <c r="AG38" s="3241"/>
    </row>
    <row r="39" spans="1:35" ht="16.5" customHeight="1">
      <c r="A39" s="246" t="s">
        <v>207</v>
      </c>
      <c r="B39" s="379">
        <f>ROUND(SUM(B36:B38),1)</f>
        <v>1.3</v>
      </c>
      <c r="C39" s="379"/>
      <c r="D39" s="379">
        <f>ROUND(SUM(D36:D38),1)</f>
        <v>2.5</v>
      </c>
      <c r="E39" s="379"/>
      <c r="F39" s="379">
        <f>ROUND(SUM(F36:F38),1)</f>
        <v>52</v>
      </c>
      <c r="G39" s="379"/>
      <c r="H39" s="379">
        <f>ROUND(SUM(H36:H38),1)</f>
        <v>1.7</v>
      </c>
      <c r="I39" s="379"/>
      <c r="J39" s="379">
        <f>ROUND(SUM(J36:J38),1)</f>
        <v>11.9</v>
      </c>
      <c r="K39" s="379"/>
      <c r="L39" s="379">
        <f>ROUND(SUM(L36:L38),1)</f>
        <v>3</v>
      </c>
      <c r="M39" s="379"/>
      <c r="N39" s="379">
        <f>ROUND(SUM(N36:N38),1)</f>
        <v>6.9</v>
      </c>
      <c r="O39" s="379"/>
      <c r="P39" s="379">
        <f>ROUND(SUM(P36:P38),1)</f>
        <v>0</v>
      </c>
      <c r="Q39" s="379"/>
      <c r="R39" s="379">
        <f>ROUND(SUM(R36:R38),1)</f>
        <v>0</v>
      </c>
      <c r="S39" s="379"/>
      <c r="T39" s="379">
        <f>ROUND(SUM(T36:T38),1)</f>
        <v>0</v>
      </c>
      <c r="U39" s="379"/>
      <c r="V39" s="379">
        <f>ROUND(SUM(V36:V38),1)</f>
        <v>0</v>
      </c>
      <c r="W39" s="379"/>
      <c r="X39" s="2201">
        <f>ROUND(SUM(X36:X38),1)</f>
        <v>0</v>
      </c>
      <c r="Y39" s="2201"/>
      <c r="Z39" s="2202"/>
      <c r="AA39" s="2201">
        <f>ROUND(SUM(AA36:AA38),1)</f>
        <v>79.3</v>
      </c>
      <c r="AB39" s="3265"/>
      <c r="AC39" s="3266"/>
      <c r="AD39" s="2201">
        <f>ROUND(SUM(AD36:AD38),1)</f>
        <v>48.1</v>
      </c>
      <c r="AF39" s="1677"/>
      <c r="AG39" s="3245">
        <f>AA39-AD39</f>
        <v>31.199999999999996</v>
      </c>
      <c r="AH39" s="1149"/>
      <c r="AI39" s="1143">
        <f>ROUND(IF(AG39=0,0,AG39/ABS(AD39)),3)</f>
        <v>0.64900000000000002</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99"/>
      <c r="Y40" s="1578"/>
      <c r="Z40" s="1698"/>
      <c r="AA40" s="2199"/>
      <c r="AB40" s="3264"/>
      <c r="AC40" s="1672"/>
      <c r="AD40" s="2199"/>
      <c r="AE40" s="137"/>
      <c r="AF40" s="1709"/>
      <c r="AG40" s="3241"/>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78"/>
      <c r="Y41" s="1578"/>
      <c r="Z41" s="1698"/>
      <c r="AA41" s="1578"/>
      <c r="AB41" s="3264"/>
      <c r="AC41" s="1672"/>
      <c r="AD41" s="1578"/>
      <c r="AE41" s="137"/>
      <c r="AF41" s="1709"/>
    </row>
    <row r="42" spans="1:35" ht="16.5" customHeight="1">
      <c r="A42" s="246" t="s">
        <v>165</v>
      </c>
      <c r="B42" s="234"/>
      <c r="C42" s="234"/>
      <c r="D42" s="234"/>
      <c r="E42" s="234"/>
      <c r="F42" s="234"/>
      <c r="G42" s="234"/>
      <c r="H42" s="234"/>
      <c r="I42" s="234"/>
      <c r="J42" s="234"/>
      <c r="K42" s="234"/>
      <c r="L42" s="234"/>
      <c r="M42" s="234"/>
      <c r="N42" s="234"/>
      <c r="O42" s="234"/>
      <c r="P42" s="234"/>
      <c r="Q42" s="234"/>
      <c r="R42" s="234"/>
      <c r="S42" s="234"/>
      <c r="T42" s="234"/>
      <c r="U42" s="234"/>
      <c r="V42" s="234"/>
      <c r="W42" s="234"/>
      <c r="X42" s="1578"/>
      <c r="Y42" s="1578"/>
      <c r="Z42" s="1698"/>
      <c r="AA42" s="1578"/>
      <c r="AB42" s="3264"/>
      <c r="AC42" s="1672"/>
      <c r="AD42" s="1578"/>
      <c r="AE42" s="137"/>
      <c r="AF42" s="1709"/>
    </row>
    <row r="43" spans="1:35" ht="16.5" customHeight="1">
      <c r="A43" s="246" t="s">
        <v>226</v>
      </c>
      <c r="B43" s="234"/>
      <c r="C43" s="234"/>
      <c r="D43" s="234"/>
      <c r="E43" s="234"/>
      <c r="F43" s="234"/>
      <c r="G43" s="234"/>
      <c r="H43" s="234"/>
      <c r="I43" s="234"/>
      <c r="J43" s="234"/>
      <c r="K43" s="234"/>
      <c r="L43" s="234"/>
      <c r="M43" s="234"/>
      <c r="N43" s="234"/>
      <c r="O43" s="234"/>
      <c r="P43" s="234"/>
      <c r="Q43" s="234"/>
      <c r="R43" s="234"/>
      <c r="S43" s="234"/>
      <c r="T43" s="234"/>
      <c r="U43" s="234"/>
      <c r="V43" s="234"/>
      <c r="W43" s="234"/>
      <c r="X43" s="1578"/>
      <c r="Y43" s="1578"/>
      <c r="Z43" s="1698"/>
      <c r="AA43" s="1578"/>
      <c r="AB43" s="3264"/>
      <c r="AC43" s="1672"/>
      <c r="AD43" s="1578"/>
      <c r="AE43" s="104"/>
      <c r="AF43" s="1677"/>
    </row>
    <row r="44" spans="1:35" s="214" customFormat="1" ht="16.5" customHeight="1">
      <c r="A44" s="246" t="s">
        <v>167</v>
      </c>
      <c r="B44" s="379">
        <f>ROUND(SUM(B32,B39),1)</f>
        <v>16.5</v>
      </c>
      <c r="C44" s="379"/>
      <c r="D44" s="379">
        <f>ROUND(SUM(D32,D39),1)</f>
        <v>-18.2</v>
      </c>
      <c r="E44" s="379"/>
      <c r="F44" s="379">
        <f>ROUND(SUM(F32,F39),1)</f>
        <v>-16</v>
      </c>
      <c r="G44" s="379"/>
      <c r="H44" s="379">
        <f>ROUND(SUM(H32,H39),1)</f>
        <v>-27.1</v>
      </c>
      <c r="I44" s="379"/>
      <c r="J44" s="379">
        <f>ROUND(SUM(J32,J39),1)</f>
        <v>-12.9</v>
      </c>
      <c r="K44" s="379"/>
      <c r="L44" s="379">
        <f>ROUND(SUM(L32,L39),1)</f>
        <v>-17.5</v>
      </c>
      <c r="M44" s="379"/>
      <c r="N44" s="379">
        <f>ROUND(SUM(N32,N39),1)</f>
        <v>-16.399999999999999</v>
      </c>
      <c r="O44" s="379"/>
      <c r="P44" s="379">
        <f>ROUND(SUM(P32,P39),1)</f>
        <v>0</v>
      </c>
      <c r="Q44" s="379"/>
      <c r="R44" s="379">
        <f>ROUND(SUM(R32,R39),1)</f>
        <v>0</v>
      </c>
      <c r="S44" s="379"/>
      <c r="T44" s="379">
        <f>ROUND(SUM(T32,T39),1)</f>
        <v>0</v>
      </c>
      <c r="U44" s="379"/>
      <c r="V44" s="379">
        <f>ROUND(SUM(V32,V39),1)</f>
        <v>0</v>
      </c>
      <c r="W44" s="379"/>
      <c r="X44" s="2201">
        <f>ROUND(SUM(X32,X39),1)</f>
        <v>0</v>
      </c>
      <c r="Y44" s="2201"/>
      <c r="Z44" s="2202"/>
      <c r="AA44" s="2204">
        <f>ROUND(AA32+AA39,1)</f>
        <v>-91.6</v>
      </c>
      <c r="AB44" s="3265"/>
      <c r="AC44" s="3266"/>
      <c r="AD44" s="2204">
        <f>ROUND(AD32+AD39,1)</f>
        <v>14</v>
      </c>
      <c r="AE44" s="2209"/>
      <c r="AF44" s="1677"/>
      <c r="AG44" s="3245">
        <f>ROUND(SUM(AG32+AG39),1)</f>
        <v>-105.6</v>
      </c>
      <c r="AH44" s="1122"/>
      <c r="AI44" s="2118">
        <f>ROUND(IF(AG44=0,0,AG44/ABS(AD44)),3)</f>
        <v>-7.5430000000000001</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68"/>
      <c r="Y45" s="3236"/>
      <c r="Z45" s="3260"/>
      <c r="AA45" s="3268"/>
      <c r="AB45" s="3261"/>
      <c r="AC45" s="3262"/>
      <c r="AD45" s="3268"/>
      <c r="AF45" s="1677"/>
      <c r="AI45" s="1131"/>
    </row>
    <row r="46" spans="1:35" ht="16.5" customHeight="1" thickBot="1">
      <c r="A46" s="317" t="s">
        <v>141</v>
      </c>
      <c r="B46" s="374">
        <f>ROUND(SUM(B14,B44),1)</f>
        <v>-281</v>
      </c>
      <c r="C46" s="374"/>
      <c r="D46" s="374">
        <f>ROUND(SUM(D14,D44),1)</f>
        <v>-299.2</v>
      </c>
      <c r="E46" s="374"/>
      <c r="F46" s="374">
        <f>ROUND(SUM(F14,F44),1)</f>
        <v>-315.2</v>
      </c>
      <c r="G46" s="374"/>
      <c r="H46" s="374">
        <f>ROUND(SUM(H14,H44),1)</f>
        <v>-342.3</v>
      </c>
      <c r="I46" s="374"/>
      <c r="J46" s="374">
        <f>ROUND(SUM(J14,J44),1)</f>
        <v>-355.2</v>
      </c>
      <c r="K46" s="374"/>
      <c r="L46" s="374">
        <f>ROUND(SUM(L14,L44),1)</f>
        <v>-372.7</v>
      </c>
      <c r="M46" s="374"/>
      <c r="N46" s="374">
        <f>ROUND(SUM(N14,N44),1)</f>
        <v>-389.1</v>
      </c>
      <c r="O46" s="374"/>
      <c r="P46" s="374">
        <f>ROUND(SUM(P14,P44),1)</f>
        <v>0</v>
      </c>
      <c r="Q46" s="374"/>
      <c r="R46" s="383">
        <f>ROUND(SUM(R14,R44),1)</f>
        <v>0</v>
      </c>
      <c r="S46" s="374"/>
      <c r="T46" s="374">
        <f>ROUND(SUM(T14,T44),1)</f>
        <v>0</v>
      </c>
      <c r="U46" s="374"/>
      <c r="V46" s="374">
        <f>ROUND(SUM(V14,V44),1)</f>
        <v>0</v>
      </c>
      <c r="W46" s="374"/>
      <c r="X46" s="1654">
        <f>ROUND(SUM(X14,X44),1)</f>
        <v>0</v>
      </c>
      <c r="Y46" s="1654"/>
      <c r="Z46" s="3258"/>
      <c r="AA46" s="1654">
        <f>ROUND(SUM(AA14,AA44),1)</f>
        <v>-389.1</v>
      </c>
      <c r="AB46" s="3259"/>
      <c r="AC46" s="2206"/>
      <c r="AD46" s="1654">
        <f>ROUND(SUM(AD14,AD44),1)</f>
        <v>-288.7</v>
      </c>
      <c r="AF46" s="1677"/>
      <c r="AG46" s="3248">
        <f>ROUND(SUM(AA46-AD46),1)</f>
        <v>-100.4</v>
      </c>
      <c r="AH46" s="1148"/>
      <c r="AI46" s="1150">
        <f>ROUND(IF(AG46=0,0,AG46/ABS(AD46)),3)</f>
        <v>-0.34799999999999998</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69"/>
      <c r="Y47" s="3236"/>
      <c r="Z47" s="3236"/>
      <c r="AA47" s="3269"/>
      <c r="AB47" s="3236"/>
      <c r="AC47" s="3236"/>
      <c r="AD47" s="3269"/>
    </row>
    <row r="49" spans="1:1" ht="16.5" customHeight="1">
      <c r="A49" s="385"/>
    </row>
    <row r="50" spans="1:1" ht="16.5" customHeight="1">
      <c r="A50" s="244"/>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69140625" defaultRowHeight="17.5"/>
  <cols>
    <col min="1" max="1" width="45.53515625" style="386" customWidth="1"/>
    <col min="2" max="2" width="11.07421875" style="386" customWidth="1"/>
    <col min="3" max="3" width="1.69140625" style="386" customWidth="1"/>
    <col min="4" max="4" width="8.69140625" style="386" customWidth="1"/>
    <col min="5" max="5" width="1.69140625" style="386" customWidth="1"/>
    <col min="6" max="6" width="8.69140625" style="386" customWidth="1"/>
    <col min="7" max="7" width="1.69140625" style="386" customWidth="1"/>
    <col min="8" max="8" width="9.4609375" style="386" customWidth="1"/>
    <col min="9" max="9" width="1.69140625" style="386" customWidth="1"/>
    <col min="10" max="10" width="10.69140625" style="386" customWidth="1"/>
    <col min="11" max="11" width="1.69140625" style="386" customWidth="1"/>
    <col min="12" max="12" width="14.07421875" style="386" customWidth="1"/>
    <col min="13" max="13" width="1.69140625" style="386" customWidth="1"/>
    <col min="14" max="14" width="12" style="386" bestFit="1" customWidth="1"/>
    <col min="15" max="15" width="1.69140625" style="386" customWidth="1"/>
    <col min="16" max="16" width="13.53515625" style="386" bestFit="1" customWidth="1"/>
    <col min="17" max="17" width="1.69140625" style="386" customWidth="1"/>
    <col min="18" max="18" width="13.53515625" style="386" bestFit="1" customWidth="1"/>
    <col min="19" max="19" width="1.69140625" style="386" customWidth="1"/>
    <col min="20" max="20" width="11" style="386" bestFit="1" customWidth="1"/>
    <col min="21" max="21" width="1.69140625" style="386" customWidth="1"/>
    <col min="22" max="22" width="12.69140625" style="386" bestFit="1" customWidth="1"/>
    <col min="23" max="23" width="1.69140625" style="386" customWidth="1"/>
    <col min="24" max="24" width="11" style="386" customWidth="1"/>
    <col min="25" max="26" width="1.69140625" style="386" customWidth="1"/>
    <col min="27" max="27" width="10.07421875" style="2209" customWidth="1"/>
    <col min="28" max="29" width="1.69140625" style="2209" customWidth="1"/>
    <col min="30" max="30" width="10.07421875" style="3283" customWidth="1"/>
    <col min="31" max="31" width="1.69140625" style="1130" customWidth="1"/>
    <col min="32" max="32" width="2.4609375" style="1130" customWidth="1"/>
    <col min="33" max="33" width="10.07421875" style="1131" bestFit="1" customWidth="1"/>
    <col min="34" max="34" width="1.69140625" style="1131" customWidth="1"/>
    <col min="35" max="35" width="11.07421875" style="1130" customWidth="1"/>
    <col min="36" max="16384" width="8.69140625" style="386"/>
  </cols>
  <sheetData>
    <row r="1" spans="1:35">
      <c r="A1" s="642" t="s">
        <v>963</v>
      </c>
    </row>
    <row r="2" spans="1:35">
      <c r="A2" s="822"/>
    </row>
    <row r="3" spans="1:35" ht="20.25" customHeight="1">
      <c r="A3" s="3551" t="s">
        <v>0</v>
      </c>
      <c r="B3" s="31"/>
      <c r="C3" s="31"/>
      <c r="D3" s="31"/>
      <c r="E3" s="31"/>
      <c r="F3" s="31"/>
      <c r="G3" s="31"/>
      <c r="H3" s="31"/>
      <c r="I3" s="31"/>
      <c r="J3" s="31"/>
      <c r="K3" s="29"/>
      <c r="L3" s="29"/>
      <c r="M3" s="31"/>
      <c r="N3" s="31"/>
      <c r="O3" s="31"/>
      <c r="P3" s="31"/>
      <c r="Q3" s="31"/>
      <c r="R3" s="31"/>
      <c r="S3" s="31"/>
      <c r="T3" s="31"/>
      <c r="U3" s="31"/>
      <c r="V3" s="31"/>
      <c r="W3" s="31"/>
      <c r="X3" s="31"/>
      <c r="Y3" s="31"/>
      <c r="Z3" s="31"/>
      <c r="AA3" s="104"/>
      <c r="AB3" s="104"/>
      <c r="AC3" s="104"/>
      <c r="AD3" s="190"/>
      <c r="AI3" s="1169" t="s">
        <v>224</v>
      </c>
    </row>
    <row r="4" spans="1:35" ht="20.25" customHeight="1">
      <c r="A4" s="287"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4"/>
      <c r="AB4" s="104"/>
      <c r="AC4" s="104"/>
      <c r="AD4" s="190"/>
    </row>
    <row r="5" spans="1:35" ht="20.25" customHeight="1">
      <c r="A5" s="1533" t="s">
        <v>123</v>
      </c>
      <c r="B5" s="31"/>
      <c r="C5" s="31"/>
      <c r="D5" s="31"/>
      <c r="E5" s="31"/>
      <c r="F5" s="31"/>
      <c r="G5" s="31"/>
      <c r="H5" s="31"/>
      <c r="I5" s="31"/>
      <c r="J5" s="31"/>
      <c r="K5" s="29"/>
      <c r="L5" s="29"/>
      <c r="M5" s="31"/>
      <c r="N5" s="31"/>
      <c r="O5" s="31"/>
      <c r="P5" s="31"/>
      <c r="Q5" s="31"/>
      <c r="R5" s="31"/>
      <c r="S5" s="31"/>
      <c r="T5" s="31"/>
      <c r="U5" s="31"/>
      <c r="V5" s="31"/>
      <c r="W5" s="31"/>
      <c r="X5" s="31"/>
      <c r="Y5" s="31"/>
      <c r="Z5" s="31"/>
      <c r="AB5" s="3273"/>
      <c r="AC5" s="3273"/>
      <c r="AE5" s="1152"/>
    </row>
    <row r="6" spans="1:35" ht="20.25" customHeight="1">
      <c r="A6" s="1533"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4"/>
      <c r="AB6" s="104"/>
      <c r="AC6" s="104"/>
      <c r="AD6" s="190"/>
    </row>
    <row r="7" spans="1:35" ht="20.25" customHeight="1">
      <c r="A7" s="3551" t="s">
        <v>1365</v>
      </c>
      <c r="B7" s="31"/>
      <c r="C7" s="31"/>
      <c r="D7" s="31"/>
      <c r="E7" s="31"/>
      <c r="F7" s="31"/>
      <c r="G7" s="31"/>
      <c r="H7" s="31"/>
      <c r="I7" s="31"/>
      <c r="J7" s="31"/>
      <c r="K7" s="29"/>
      <c r="L7" s="31"/>
      <c r="M7" s="31"/>
      <c r="N7" s="31"/>
      <c r="O7" s="31"/>
      <c r="P7" s="31"/>
      <c r="Q7" s="31"/>
      <c r="R7" s="31"/>
      <c r="S7" s="31"/>
      <c r="T7" s="31"/>
      <c r="U7" s="31"/>
      <c r="V7" s="31"/>
      <c r="W7" s="31"/>
      <c r="X7" s="31"/>
      <c r="Y7" s="31"/>
      <c r="Z7" s="31"/>
      <c r="AA7" s="104"/>
      <c r="AB7" s="104"/>
      <c r="AC7" s="104"/>
      <c r="AD7" s="190"/>
    </row>
    <row r="8" spans="1:35" s="388" customFormat="1" ht="19.399999999999999" customHeight="1">
      <c r="A8" s="317"/>
      <c r="B8" s="31"/>
      <c r="C8" s="31"/>
      <c r="D8" s="31"/>
      <c r="E8" s="31"/>
      <c r="F8" s="31"/>
      <c r="G8" s="31"/>
      <c r="H8" s="31"/>
      <c r="I8" s="31"/>
      <c r="J8" s="31"/>
      <c r="K8" s="31"/>
      <c r="L8" s="31"/>
      <c r="M8" s="31"/>
      <c r="N8" s="31"/>
      <c r="O8" s="31"/>
      <c r="P8" s="31"/>
      <c r="Q8" s="31"/>
      <c r="R8" s="31"/>
      <c r="S8" s="31"/>
      <c r="T8" s="31"/>
      <c r="U8" s="31"/>
      <c r="V8" s="31"/>
      <c r="W8" s="31"/>
      <c r="X8" s="31"/>
      <c r="Y8" s="31"/>
      <c r="Z8" s="146"/>
      <c r="AA8" s="190"/>
      <c r="AB8" s="190"/>
      <c r="AC8" s="190"/>
      <c r="AD8" s="190"/>
      <c r="AE8" s="1130"/>
      <c r="AF8" s="1130"/>
      <c r="AG8" s="1131"/>
      <c r="AH8" s="1131"/>
      <c r="AI8" s="1130"/>
    </row>
    <row r="9" spans="1:35" s="388" customFormat="1" ht="19.399999999999999" customHeight="1">
      <c r="A9" s="688"/>
      <c r="B9" s="688"/>
      <c r="C9" s="688"/>
      <c r="D9" s="688"/>
      <c r="E9" s="688"/>
      <c r="F9" s="688"/>
      <c r="G9" s="688"/>
      <c r="H9" s="29"/>
      <c r="I9" s="29"/>
      <c r="J9" s="29"/>
      <c r="K9" s="688"/>
      <c r="L9" s="688"/>
      <c r="M9" s="688"/>
      <c r="N9" s="688"/>
      <c r="O9" s="688"/>
      <c r="P9" s="688"/>
      <c r="Q9" s="688"/>
      <c r="R9" s="688"/>
      <c r="S9" s="688"/>
      <c r="T9" s="688"/>
      <c r="U9" s="688"/>
      <c r="V9" s="688"/>
      <c r="W9" s="688"/>
      <c r="X9" s="688"/>
      <c r="Y9" s="688"/>
      <c r="Z9" s="146"/>
      <c r="AA9" s="190"/>
      <c r="AB9" s="190"/>
      <c r="AC9" s="3946"/>
      <c r="AD9" s="3947"/>
      <c r="AE9" s="3947"/>
      <c r="AF9" s="3947"/>
      <c r="AG9" s="3947"/>
      <c r="AH9" s="3947"/>
      <c r="AI9" s="3947"/>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114"/>
      <c r="W10" s="829"/>
      <c r="X10" s="830"/>
      <c r="Y10" s="831"/>
      <c r="Z10" s="3948" t="s">
        <v>1546</v>
      </c>
      <c r="AA10" s="3948"/>
      <c r="AB10" s="3948"/>
      <c r="AC10" s="3948"/>
      <c r="AD10" s="3948"/>
      <c r="AE10" s="3948"/>
      <c r="AF10" s="3948"/>
      <c r="AG10" s="3948"/>
      <c r="AH10" s="3948"/>
      <c r="AI10" s="3948"/>
    </row>
    <row r="11" spans="1:35" s="388" customFormat="1" ht="19.399999999999999" customHeight="1">
      <c r="A11" s="146"/>
      <c r="B11" s="767" t="str">
        <f>'Cashflow Governmental'!C13</f>
        <v>2020</v>
      </c>
      <c r="C11" s="246"/>
      <c r="D11" s="246"/>
      <c r="E11" s="246"/>
      <c r="F11" s="246"/>
      <c r="G11" s="246"/>
      <c r="H11" s="246"/>
      <c r="I11" s="246"/>
      <c r="J11" s="246"/>
      <c r="K11" s="246"/>
      <c r="L11" s="246"/>
      <c r="M11" s="246"/>
      <c r="N11" s="246"/>
      <c r="O11" s="246"/>
      <c r="P11" s="246"/>
      <c r="Q11" s="246"/>
      <c r="R11" s="246"/>
      <c r="S11" s="246"/>
      <c r="T11" s="767" t="str">
        <f>'Cashflow Governmental'!U13</f>
        <v>2021</v>
      </c>
      <c r="U11" s="246"/>
      <c r="V11" s="769"/>
      <c r="W11" s="246"/>
      <c r="X11" s="246"/>
      <c r="Y11" s="246"/>
      <c r="Z11" s="768"/>
      <c r="AA11" s="3253"/>
      <c r="AB11" s="3253"/>
      <c r="AC11" s="3253"/>
      <c r="AD11" s="3231"/>
      <c r="AE11" s="1153"/>
      <c r="AF11" s="1122"/>
      <c r="AG11" s="1134" t="s">
        <v>8</v>
      </c>
      <c r="AH11" s="1134"/>
      <c r="AI11" s="1135" t="s">
        <v>9</v>
      </c>
    </row>
    <row r="12" spans="1:35" s="388" customFormat="1" ht="19.399999999999999" customHeight="1">
      <c r="A12" s="146"/>
      <c r="B12" s="832" t="s">
        <v>124</v>
      </c>
      <c r="C12" s="246"/>
      <c r="D12" s="832" t="s">
        <v>125</v>
      </c>
      <c r="E12" s="246"/>
      <c r="F12" s="832" t="s">
        <v>126</v>
      </c>
      <c r="G12" s="246"/>
      <c r="H12" s="832" t="s">
        <v>127</v>
      </c>
      <c r="I12" s="246"/>
      <c r="J12" s="833" t="s">
        <v>225</v>
      </c>
      <c r="K12" s="246"/>
      <c r="L12" s="833" t="s">
        <v>143</v>
      </c>
      <c r="M12" s="246"/>
      <c r="N12" s="833" t="s">
        <v>144</v>
      </c>
      <c r="O12" s="246"/>
      <c r="P12" s="832" t="s">
        <v>131</v>
      </c>
      <c r="Q12" s="246"/>
      <c r="R12" s="832" t="s">
        <v>132</v>
      </c>
      <c r="S12" s="246"/>
      <c r="T12" s="833" t="s">
        <v>133</v>
      </c>
      <c r="U12" s="246"/>
      <c r="V12" s="832" t="s">
        <v>134</v>
      </c>
      <c r="W12" s="246"/>
      <c r="X12" s="833" t="s">
        <v>185</v>
      </c>
      <c r="Y12" s="246"/>
      <c r="Z12" s="246"/>
      <c r="AA12" s="3255">
        <f>'Cashflow Governmental'!AB14</f>
        <v>2020</v>
      </c>
      <c r="AB12" s="3255"/>
      <c r="AC12" s="3270"/>
      <c r="AD12" s="3459">
        <f>'Cashflow Governmental'!AE14</f>
        <v>2019</v>
      </c>
      <c r="AE12" s="1149"/>
      <c r="AF12" s="1149"/>
      <c r="AG12" s="1136" t="s">
        <v>12</v>
      </c>
      <c r="AH12" s="1137"/>
      <c r="AI12" s="1136" t="s">
        <v>13</v>
      </c>
    </row>
    <row r="13" spans="1:35" s="1663" customFormat="1" ht="19.399999999999999" customHeight="1">
      <c r="A13" s="1652" t="s">
        <v>136</v>
      </c>
      <c r="B13" s="1683">
        <v>-1.1000000000000001</v>
      </c>
      <c r="C13" s="1654"/>
      <c r="D13" s="1683">
        <f>B38</f>
        <v>-5.3</v>
      </c>
      <c r="E13" s="1654"/>
      <c r="F13" s="1683">
        <f>D38</f>
        <v>-9.3000000000000007</v>
      </c>
      <c r="G13" s="1684"/>
      <c r="H13" s="1683">
        <f>F38</f>
        <v>-15.3</v>
      </c>
      <c r="I13" s="1684"/>
      <c r="J13" s="1683">
        <f>H38</f>
        <v>-1.7</v>
      </c>
      <c r="K13" s="1684"/>
      <c r="L13" s="1683">
        <f>J38</f>
        <v>-5.9</v>
      </c>
      <c r="M13" s="1684"/>
      <c r="N13" s="1683">
        <f>L38</f>
        <v>-4.2</v>
      </c>
      <c r="O13" s="1684"/>
      <c r="P13" s="1683"/>
      <c r="Q13" s="1684"/>
      <c r="R13" s="1683"/>
      <c r="S13" s="1684"/>
      <c r="T13" s="1683"/>
      <c r="U13" s="1684"/>
      <c r="V13" s="1683"/>
      <c r="W13" s="1684"/>
      <c r="X13" s="1683"/>
      <c r="Y13" s="1656"/>
      <c r="Z13" s="1657"/>
      <c r="AA13" s="1683">
        <f>B13</f>
        <v>-1.1000000000000001</v>
      </c>
      <c r="AB13" s="1656"/>
      <c r="AC13" s="3274"/>
      <c r="AD13" s="1683">
        <v>-3</v>
      </c>
      <c r="AE13" s="1658"/>
      <c r="AF13" s="1659"/>
      <c r="AG13" s="1660">
        <f>ROUND(SUM(AA13-AD13),1)</f>
        <v>1.9</v>
      </c>
      <c r="AH13" s="1661"/>
      <c r="AI13" s="2122">
        <f>-ROUND(IF(AG13=0,0,AG13/(AD13)),3)</f>
        <v>0.63300000000000001</v>
      </c>
    </row>
    <row r="14" spans="1:35" s="388" customFormat="1" ht="19.399999999999999" customHeight="1">
      <c r="A14" s="146"/>
      <c r="B14" s="376"/>
      <c r="C14" s="376"/>
      <c r="D14" s="376"/>
      <c r="E14" s="376"/>
      <c r="F14" s="3730"/>
      <c r="G14" s="836"/>
      <c r="H14" s="837"/>
      <c r="I14" s="837"/>
      <c r="J14" s="837"/>
      <c r="K14" s="836"/>
      <c r="L14" s="837"/>
      <c r="M14" s="837"/>
      <c r="N14" s="837"/>
      <c r="O14" s="837"/>
      <c r="P14" s="837"/>
      <c r="Q14" s="837"/>
      <c r="R14" s="837"/>
      <c r="S14" s="837"/>
      <c r="T14" s="837"/>
      <c r="U14" s="837"/>
      <c r="V14" s="837"/>
      <c r="W14" s="837"/>
      <c r="X14" s="837"/>
      <c r="Y14" s="838"/>
      <c r="Z14" s="839"/>
      <c r="AA14" s="3236"/>
      <c r="AB14" s="3275"/>
      <c r="AC14" s="3276"/>
      <c r="AD14" s="3236"/>
      <c r="AE14" s="1154"/>
      <c r="AF14" s="1151"/>
      <c r="AG14" s="1139"/>
      <c r="AH14" s="1131"/>
      <c r="AI14" s="1130"/>
    </row>
    <row r="15" spans="1:35" s="388" customFormat="1" ht="19.399999999999999" customHeight="1">
      <c r="A15" s="246" t="s">
        <v>14</v>
      </c>
      <c r="B15" s="376"/>
      <c r="C15" s="376"/>
      <c r="D15" s="376"/>
      <c r="E15" s="376"/>
      <c r="F15" s="3730"/>
      <c r="G15" s="836"/>
      <c r="H15" s="837"/>
      <c r="I15" s="837"/>
      <c r="J15" s="837"/>
      <c r="K15" s="836"/>
      <c r="L15" s="837"/>
      <c r="M15" s="837"/>
      <c r="N15" s="837"/>
      <c r="O15" s="837"/>
      <c r="P15" s="837"/>
      <c r="Q15" s="837"/>
      <c r="R15" s="837"/>
      <c r="S15" s="837"/>
      <c r="T15" s="837"/>
      <c r="U15" s="837"/>
      <c r="V15" s="837"/>
      <c r="W15" s="837"/>
      <c r="X15" s="837"/>
      <c r="Y15" s="838"/>
      <c r="Z15" s="839"/>
      <c r="AA15" s="3236"/>
      <c r="AB15" s="3275"/>
      <c r="AC15" s="3276"/>
      <c r="AD15" s="3236"/>
      <c r="AE15" s="1154"/>
      <c r="AF15" s="1151"/>
      <c r="AG15" s="1139"/>
      <c r="AH15" s="1131"/>
      <c r="AI15" s="1130"/>
    </row>
    <row r="16" spans="1:35" s="388" customFormat="1" ht="19.399999999999999" customHeight="1">
      <c r="A16" s="841" t="s">
        <v>178</v>
      </c>
      <c r="B16" s="2160">
        <v>8.3000000000000007</v>
      </c>
      <c r="C16" s="234"/>
      <c r="D16" s="2160">
        <v>5.5</v>
      </c>
      <c r="E16" s="234"/>
      <c r="F16" s="3731">
        <v>5.3999999999999986</v>
      </c>
      <c r="G16" s="234"/>
      <c r="H16" s="3731">
        <v>23.500000000000007</v>
      </c>
      <c r="I16" s="1666"/>
      <c r="J16" s="3731">
        <v>5.5999999999999943</v>
      </c>
      <c r="K16" s="1578"/>
      <c r="L16" s="2160">
        <v>14.299999999999997</v>
      </c>
      <c r="M16" s="1667"/>
      <c r="N16" s="1665">
        <f>$AA16-$B16-$D16-$F16-$H16-$J16-$L16</f>
        <v>11.000000000000014</v>
      </c>
      <c r="O16" s="1667"/>
      <c r="P16" s="1665"/>
      <c r="Q16" s="1667"/>
      <c r="R16" s="1665"/>
      <c r="S16" s="1667"/>
      <c r="T16" s="1665"/>
      <c r="U16" s="1667"/>
      <c r="V16" s="1665"/>
      <c r="W16" s="1667"/>
      <c r="X16" s="1665"/>
      <c r="Y16" s="1668"/>
      <c r="Z16" s="1669"/>
      <c r="AA16" s="1665">
        <v>73.600000000000009</v>
      </c>
      <c r="AB16" s="1668"/>
      <c r="AC16" s="1667"/>
      <c r="AD16" s="1665">
        <v>71.2</v>
      </c>
      <c r="AE16" s="1155"/>
      <c r="AF16" s="1123"/>
      <c r="AG16" s="1141">
        <f>ROUND(SUM(AA16-AD16),1)</f>
        <v>2.4</v>
      </c>
      <c r="AH16" s="1131"/>
      <c r="AI16" s="1146">
        <f>ROUND(IF(AG16=0,0,AG16/ABS(AD16)),3)</f>
        <v>3.4000000000000002E-2</v>
      </c>
    </row>
    <row r="17" spans="1:35" s="388" customFormat="1" ht="24" customHeight="1">
      <c r="A17" s="246" t="s">
        <v>150</v>
      </c>
      <c r="B17" s="2149">
        <f>ROUND(SUM(B16),1)</f>
        <v>8.3000000000000007</v>
      </c>
      <c r="C17" s="379"/>
      <c r="D17" s="846">
        <f>ROUND(SUM(D16),1)</f>
        <v>5.5</v>
      </c>
      <c r="E17" s="379"/>
      <c r="F17" s="3732">
        <f>ROUND(SUM(F16),1)</f>
        <v>5.4</v>
      </c>
      <c r="G17" s="379"/>
      <c r="H17" s="846">
        <f>ROUND(SUM(H16),1)</f>
        <v>23.5</v>
      </c>
      <c r="I17" s="847"/>
      <c r="J17" s="846">
        <f>ROUND(SUM(J16),1)</f>
        <v>5.6</v>
      </c>
      <c r="K17" s="379"/>
      <c r="L17" s="846">
        <f>ROUND(SUM(L16),1)</f>
        <v>14.3</v>
      </c>
      <c r="M17" s="848"/>
      <c r="N17" s="846">
        <f>ROUND(SUM(N16),1)</f>
        <v>11</v>
      </c>
      <c r="O17" s="848"/>
      <c r="P17" s="846">
        <f>ROUND(SUM(P16),1)</f>
        <v>0</v>
      </c>
      <c r="Q17" s="848"/>
      <c r="R17" s="2149">
        <f>ROUND(SUM(R16),1)</f>
        <v>0</v>
      </c>
      <c r="S17" s="848"/>
      <c r="T17" s="846">
        <f>ROUND(SUM(T16),1)</f>
        <v>0</v>
      </c>
      <c r="U17" s="848"/>
      <c r="V17" s="846">
        <f>ROUND(SUM(V16),1)</f>
        <v>0</v>
      </c>
      <c r="W17" s="848"/>
      <c r="X17" s="846">
        <f>ROUND(SUM(X16),1)</f>
        <v>0</v>
      </c>
      <c r="Y17" s="849"/>
      <c r="Z17" s="850"/>
      <c r="AA17" s="1699">
        <f>ROUND(SUM(AA16),1)</f>
        <v>73.599999999999994</v>
      </c>
      <c r="AB17" s="3277"/>
      <c r="AC17" s="3278"/>
      <c r="AD17" s="1699">
        <f>ROUND(SUM(AD16),1)</f>
        <v>71.2</v>
      </c>
      <c r="AE17" s="1156"/>
      <c r="AF17" s="1123"/>
      <c r="AG17" s="1163">
        <f>ROUND(SUM(AG16),1)</f>
        <v>2.4</v>
      </c>
      <c r="AH17" s="1164"/>
      <c r="AI17" s="1165">
        <f>ROUND(IF(AG17=0,0,AG17/ABS(AD17)),3)</f>
        <v>3.4000000000000002E-2</v>
      </c>
    </row>
    <row r="18" spans="1:35" s="388" customFormat="1" ht="19.399999999999999" customHeight="1">
      <c r="A18" s="146"/>
      <c r="B18" s="378"/>
      <c r="C18" s="234"/>
      <c r="D18" s="378" t="s">
        <v>15</v>
      </c>
      <c r="E18" s="234"/>
      <c r="F18" s="2199"/>
      <c r="G18" s="234"/>
      <c r="H18" s="851"/>
      <c r="I18" s="843"/>
      <c r="J18" s="851"/>
      <c r="K18" s="234"/>
      <c r="L18" s="851"/>
      <c r="M18" s="843"/>
      <c r="N18" s="851"/>
      <c r="O18" s="843"/>
      <c r="P18" s="851"/>
      <c r="Q18" s="843"/>
      <c r="R18" s="851"/>
      <c r="S18" s="843"/>
      <c r="T18" s="851"/>
      <c r="U18" s="843"/>
      <c r="V18" s="851"/>
      <c r="W18" s="843"/>
      <c r="X18" s="851"/>
      <c r="Y18" s="844"/>
      <c r="Z18" s="845"/>
      <c r="AA18" s="2199"/>
      <c r="AB18" s="1668"/>
      <c r="AC18" s="1666"/>
      <c r="AD18" s="2199"/>
      <c r="AE18" s="1141"/>
      <c r="AF18" s="1123"/>
      <c r="AG18" s="1141"/>
      <c r="AH18" s="1131"/>
      <c r="AI18" s="1130"/>
    </row>
    <row r="19" spans="1:35" s="388" customFormat="1" ht="19.399999999999999" customHeight="1">
      <c r="A19" s="146"/>
      <c r="B19" s="234"/>
      <c r="C19" s="234"/>
      <c r="D19" s="234" t="s">
        <v>15</v>
      </c>
      <c r="E19" s="234"/>
      <c r="F19" s="1578"/>
      <c r="G19" s="234"/>
      <c r="H19" s="843"/>
      <c r="I19" s="843"/>
      <c r="J19" s="843"/>
      <c r="K19" s="234"/>
      <c r="L19" s="843"/>
      <c r="M19" s="843"/>
      <c r="N19" s="843"/>
      <c r="O19" s="843"/>
      <c r="P19" s="843"/>
      <c r="Q19" s="843"/>
      <c r="R19" s="843"/>
      <c r="S19" s="843"/>
      <c r="T19" s="843"/>
      <c r="U19" s="843"/>
      <c r="V19" s="843"/>
      <c r="W19" s="843"/>
      <c r="X19" s="843"/>
      <c r="Y19" s="844"/>
      <c r="Z19" s="845"/>
      <c r="AA19" s="1578"/>
      <c r="AB19" s="1668"/>
      <c r="AC19" s="1667"/>
      <c r="AD19" s="1578"/>
      <c r="AE19" s="1157"/>
      <c r="AF19" s="1123"/>
      <c r="AG19" s="1141"/>
      <c r="AH19" s="1131"/>
      <c r="AI19" s="1130"/>
    </row>
    <row r="20" spans="1:35" s="388" customFormat="1" ht="19.399999999999999" customHeight="1">
      <c r="A20" s="246" t="s">
        <v>23</v>
      </c>
      <c r="B20" s="234"/>
      <c r="C20" s="234"/>
      <c r="D20" s="234" t="s">
        <v>15</v>
      </c>
      <c r="E20" s="234"/>
      <c r="F20" s="1578"/>
      <c r="G20" s="234"/>
      <c r="H20" s="843"/>
      <c r="I20" s="843"/>
      <c r="J20" s="843"/>
      <c r="K20" s="234"/>
      <c r="L20" s="843"/>
      <c r="M20" s="843"/>
      <c r="N20" s="843"/>
      <c r="O20" s="843"/>
      <c r="P20" s="843"/>
      <c r="Q20" s="843"/>
      <c r="R20" s="843"/>
      <c r="S20" s="843"/>
      <c r="T20" s="843"/>
      <c r="U20" s="843"/>
      <c r="V20" s="843"/>
      <c r="W20" s="843"/>
      <c r="X20" s="843"/>
      <c r="Y20" s="844"/>
      <c r="Z20" s="845"/>
      <c r="AA20" s="1578"/>
      <c r="AB20" s="1668"/>
      <c r="AC20" s="1667"/>
      <c r="AD20" s="1578"/>
      <c r="AE20" s="1157"/>
      <c r="AF20" s="1123"/>
      <c r="AG20" s="1141"/>
      <c r="AH20" s="1131"/>
      <c r="AI20" s="1130"/>
    </row>
    <row r="21" spans="1:35" s="388" customFormat="1" ht="19.399999999999999" customHeight="1">
      <c r="A21" s="146" t="s">
        <v>152</v>
      </c>
      <c r="B21" s="235"/>
      <c r="C21" s="234"/>
      <c r="D21" s="234"/>
      <c r="E21" s="234"/>
      <c r="F21" s="1578"/>
      <c r="G21" s="234"/>
      <c r="H21" s="843"/>
      <c r="I21" s="843"/>
      <c r="J21" s="843"/>
      <c r="K21" s="234"/>
      <c r="L21" s="843"/>
      <c r="M21" s="843"/>
      <c r="N21" s="843"/>
      <c r="O21" s="843"/>
      <c r="P21" s="843"/>
      <c r="Q21" s="843"/>
      <c r="R21" s="843"/>
      <c r="S21" s="843"/>
      <c r="T21" s="843"/>
      <c r="U21" s="843"/>
      <c r="V21" s="843"/>
      <c r="W21" s="843"/>
      <c r="X21" s="843"/>
      <c r="Y21" s="844"/>
      <c r="Z21" s="845"/>
      <c r="AA21" s="1674"/>
      <c r="AB21" s="3755"/>
      <c r="AC21" s="3756"/>
      <c r="AD21" s="1674"/>
      <c r="AE21" s="1158"/>
      <c r="AF21" s="1124"/>
      <c r="AG21" s="1141"/>
      <c r="AH21" s="1131"/>
      <c r="AI21" s="1130"/>
    </row>
    <row r="22" spans="1:35" s="1663" customFormat="1" ht="19.399999999999999" customHeight="1">
      <c r="A22" s="190" t="s">
        <v>218</v>
      </c>
      <c r="B22" s="852">
        <v>8.3000000000000007</v>
      </c>
      <c r="C22" s="234"/>
      <c r="D22" s="852">
        <v>5.5</v>
      </c>
      <c r="E22" s="234"/>
      <c r="F22" s="1687">
        <v>5.5999999999999979</v>
      </c>
      <c r="G22" s="234"/>
      <c r="H22" s="852">
        <v>5.5</v>
      </c>
      <c r="I22" s="1667"/>
      <c r="J22" s="1687">
        <v>5.5</v>
      </c>
      <c r="K22" s="1578"/>
      <c r="L22" s="852">
        <v>8.3000000000000043</v>
      </c>
      <c r="M22" s="1667"/>
      <c r="N22" s="1687">
        <f t="shared" ref="N22:N24" si="0">$AA22-$B22-$D22-$F22-$H22-$J22-$L22</f>
        <v>5.5999999999999979</v>
      </c>
      <c r="O22" s="1667"/>
      <c r="P22" s="1687"/>
      <c r="Q22" s="1667"/>
      <c r="R22" s="1687"/>
      <c r="S22" s="1667"/>
      <c r="T22" s="1687"/>
      <c r="U22" s="1667"/>
      <c r="V22" s="1687"/>
      <c r="W22" s="1667"/>
      <c r="X22" s="1687"/>
      <c r="Y22" s="1668"/>
      <c r="Z22" s="1669"/>
      <c r="AA22" s="1687">
        <v>44.3</v>
      </c>
      <c r="AB22" s="1668"/>
      <c r="AC22" s="1667"/>
      <c r="AD22" s="1687">
        <v>41.5</v>
      </c>
      <c r="AE22" s="1676"/>
      <c r="AF22" s="1677"/>
      <c r="AG22" s="1688">
        <f>ROUND(SUM(AA22-AD22),1)</f>
        <v>2.8</v>
      </c>
      <c r="AH22" s="1661"/>
      <c r="AI22" s="1673">
        <f>ROUND(IF(AG22=0,0,AG22/ABS(AD22)),3)</f>
        <v>6.7000000000000004E-2</v>
      </c>
    </row>
    <row r="23" spans="1:35" s="388" customFormat="1" ht="19.399999999999999" customHeight="1">
      <c r="A23" s="841" t="s">
        <v>170</v>
      </c>
      <c r="B23" s="852">
        <v>0.7</v>
      </c>
      <c r="C23" s="234"/>
      <c r="D23" s="852">
        <v>0.60000000000000009</v>
      </c>
      <c r="E23" s="234"/>
      <c r="F23" s="1687">
        <v>0.59999999999999987</v>
      </c>
      <c r="G23" s="234"/>
      <c r="H23" s="852">
        <v>1.0000000000000002</v>
      </c>
      <c r="I23" s="1667"/>
      <c r="J23" s="1687">
        <v>0.89999999999999947</v>
      </c>
      <c r="K23" s="1578"/>
      <c r="L23" s="852">
        <v>0.7999999999999996</v>
      </c>
      <c r="M23" s="1667"/>
      <c r="N23" s="1687">
        <f t="shared" si="0"/>
        <v>0.7000000000000004</v>
      </c>
      <c r="O23" s="1667"/>
      <c r="P23" s="1687"/>
      <c r="Q23" s="1667"/>
      <c r="R23" s="1687"/>
      <c r="S23" s="1667"/>
      <c r="T23" s="1687"/>
      <c r="U23" s="1667"/>
      <c r="V23" s="1687"/>
      <c r="W23" s="1667"/>
      <c r="X23" s="1687"/>
      <c r="Y23" s="1668"/>
      <c r="Z23" s="1669"/>
      <c r="AA23" s="1687">
        <v>5.3</v>
      </c>
      <c r="AB23" s="1668"/>
      <c r="AC23" s="1667"/>
      <c r="AD23" s="1687">
        <v>8.3000000000000007</v>
      </c>
      <c r="AE23" s="1158"/>
      <c r="AF23" s="1124"/>
      <c r="AG23" s="1141">
        <f>ROUND(SUM(AA23-AD23),1)</f>
        <v>-3</v>
      </c>
      <c r="AH23" s="1145"/>
      <c r="AI23" s="1146">
        <f>ROUND(IF(AG23=0,0,AG23/ABS(AD23)),3)</f>
        <v>-0.36099999999999999</v>
      </c>
    </row>
    <row r="24" spans="1:35" s="1663" customFormat="1" ht="19.399999999999999" customHeight="1">
      <c r="A24" s="190" t="s">
        <v>155</v>
      </c>
      <c r="B24" s="852">
        <v>3.5</v>
      </c>
      <c r="C24" s="234"/>
      <c r="D24" s="2160">
        <v>3.4000000000000004</v>
      </c>
      <c r="E24" s="234"/>
      <c r="F24" s="1687">
        <v>5.1999999999999993</v>
      </c>
      <c r="G24" s="234"/>
      <c r="H24" s="2160">
        <v>3.4000000000000004</v>
      </c>
      <c r="I24" s="1667"/>
      <c r="J24" s="3731">
        <v>3.3999999999999986</v>
      </c>
      <c r="K24" s="1578"/>
      <c r="L24" s="2160">
        <v>3.5000000000000036</v>
      </c>
      <c r="M24" s="1667"/>
      <c r="N24" s="1687">
        <f t="shared" si="0"/>
        <v>3.3999999999999968</v>
      </c>
      <c r="O24" s="1667"/>
      <c r="P24" s="1687"/>
      <c r="Q24" s="1667"/>
      <c r="R24" s="1665"/>
      <c r="S24" s="1667"/>
      <c r="T24" s="1687"/>
      <c r="U24" s="1667"/>
      <c r="V24" s="1687"/>
      <c r="W24" s="1667"/>
      <c r="X24" s="1687"/>
      <c r="Y24" s="1668"/>
      <c r="Z24" s="1669"/>
      <c r="AA24" s="3757">
        <v>25.8</v>
      </c>
      <c r="AB24" s="1668"/>
      <c r="AC24" s="1667"/>
      <c r="AD24" s="3757">
        <v>21.599999999999998</v>
      </c>
      <c r="AE24" s="1675"/>
      <c r="AF24" s="1677"/>
      <c r="AG24" s="1688">
        <f>ROUND(SUM(AA24-AD24),1)</f>
        <v>4.2</v>
      </c>
      <c r="AH24" s="1661"/>
      <c r="AI24" s="1146">
        <f>ROUND(IF(AD24=0,1,AG24/ABS(AD24)),3)</f>
        <v>0.19400000000000001</v>
      </c>
    </row>
    <row r="25" spans="1:35" s="388" customFormat="1" ht="22.5" customHeight="1">
      <c r="A25" s="246" t="s">
        <v>156</v>
      </c>
      <c r="B25" s="2111">
        <f>ROUND(SUM(B22)+SUM(B23)+SUM(B24),1)</f>
        <v>12.5</v>
      </c>
      <c r="C25" s="379"/>
      <c r="D25" s="853">
        <f>ROUND(SUM(D22)+SUM(D23)+SUM(D24),1)</f>
        <v>9.5</v>
      </c>
      <c r="E25" s="379"/>
      <c r="F25" s="3295">
        <f>ROUND(SUM(F22)+SUM(F23)+SUM(F24),1)</f>
        <v>11.4</v>
      </c>
      <c r="G25" s="853"/>
      <c r="H25" s="853">
        <f>ROUND(SUM(H22)+SUM(H23)+SUM(H24),1)</f>
        <v>9.9</v>
      </c>
      <c r="I25" s="848"/>
      <c r="J25" s="2116">
        <f>ROUND(SUM(J22)+SUM(J23)+SUM(J24),1)</f>
        <v>9.8000000000000007</v>
      </c>
      <c r="K25" s="379"/>
      <c r="L25" s="2116">
        <f>ROUND(SUM(L22)+SUM(L23)+SUM(L24),1)</f>
        <v>12.6</v>
      </c>
      <c r="M25" s="848"/>
      <c r="N25" s="2116">
        <f>ROUND(SUM(N22)+SUM(N23)+SUM(N24),1)</f>
        <v>9.6999999999999993</v>
      </c>
      <c r="O25" s="848"/>
      <c r="P25" s="2116">
        <f>ROUND(SUM(P22)+SUM(P23)+SUM(P24),1)</f>
        <v>0</v>
      </c>
      <c r="Q25" s="848"/>
      <c r="R25" s="2111">
        <f>ROUND(SUM(R22)+SUM(R23)+SUM(R24),1)</f>
        <v>0</v>
      </c>
      <c r="S25" s="848"/>
      <c r="T25" s="2111">
        <f>ROUND(SUM(T22)+SUM(T23)+SUM(T24),1)</f>
        <v>0</v>
      </c>
      <c r="U25" s="848"/>
      <c r="V25" s="2116">
        <f>ROUND(SUM(V22)+SUM(V23)+SUM(V24),1)</f>
        <v>0</v>
      </c>
      <c r="W25" s="848"/>
      <c r="X25" s="2116">
        <f>ROUND(SUM(X22)+SUM(X23)+SUM(X24),1)</f>
        <v>0</v>
      </c>
      <c r="Y25" s="849"/>
      <c r="Z25" s="850"/>
      <c r="AA25" s="2198">
        <f>ROUND(SUM(AA22:AA24),1)</f>
        <v>75.400000000000006</v>
      </c>
      <c r="AB25" s="3277"/>
      <c r="AC25" s="3278"/>
      <c r="AD25" s="2198">
        <f>ROUND(SUM(AD22:AD24),1)</f>
        <v>71.400000000000006</v>
      </c>
      <c r="AE25" s="1159"/>
      <c r="AF25" s="1124"/>
      <c r="AG25" s="1163">
        <f>ROUND(SUM(AG22:AG24),1)</f>
        <v>4</v>
      </c>
      <c r="AH25" s="1142"/>
      <c r="AI25" s="1165">
        <f>ROUND(IF(AG25=0,0,AG25/ABS(AD25)),3)</f>
        <v>5.6000000000000001E-2</v>
      </c>
    </row>
    <row r="26" spans="1:35" s="388" customFormat="1" ht="19.399999999999999" customHeight="1">
      <c r="A26" s="146"/>
      <c r="B26" s="378"/>
      <c r="C26" s="234"/>
      <c r="D26" s="378" t="s">
        <v>15</v>
      </c>
      <c r="E26" s="234"/>
      <c r="F26" s="2199"/>
      <c r="G26" s="234"/>
      <c r="H26" s="851"/>
      <c r="I26" s="843"/>
      <c r="J26" s="851"/>
      <c r="K26" s="234"/>
      <c r="L26" s="851"/>
      <c r="M26" s="843"/>
      <c r="N26" s="851"/>
      <c r="O26" s="843"/>
      <c r="P26" s="851"/>
      <c r="Q26" s="843"/>
      <c r="R26" s="851"/>
      <c r="S26" s="843"/>
      <c r="T26" s="851"/>
      <c r="U26" s="843"/>
      <c r="V26" s="851"/>
      <c r="W26" s="843"/>
      <c r="X26" s="851"/>
      <c r="Y26" s="844"/>
      <c r="Z26" s="845"/>
      <c r="AA26" s="2199"/>
      <c r="AB26" s="1668"/>
      <c r="AC26" s="1666"/>
      <c r="AD26" s="2199"/>
      <c r="AE26" s="1141"/>
      <c r="AF26" s="1123"/>
      <c r="AG26" s="1141"/>
      <c r="AH26" s="1131"/>
      <c r="AI26" s="1130"/>
    </row>
    <row r="27" spans="1:35" s="388" customFormat="1" ht="19.399999999999999" customHeight="1">
      <c r="A27" s="246" t="s">
        <v>157</v>
      </c>
      <c r="B27" s="234"/>
      <c r="C27" s="234"/>
      <c r="D27" s="238" t="s">
        <v>15</v>
      </c>
      <c r="E27" s="234"/>
      <c r="F27" s="1578"/>
      <c r="G27" s="234"/>
      <c r="H27" s="843"/>
      <c r="I27" s="843"/>
      <c r="J27" s="843"/>
      <c r="K27" s="234"/>
      <c r="L27" s="843"/>
      <c r="M27" s="843"/>
      <c r="N27" s="843"/>
      <c r="O27" s="843"/>
      <c r="P27" s="843"/>
      <c r="Q27" s="843"/>
      <c r="R27" s="843"/>
      <c r="S27" s="843"/>
      <c r="T27" s="843"/>
      <c r="U27" s="843"/>
      <c r="V27" s="843"/>
      <c r="W27" s="843"/>
      <c r="X27" s="843"/>
      <c r="Y27" s="844"/>
      <c r="Z27" s="845"/>
      <c r="AA27" s="1578"/>
      <c r="AB27" s="1668"/>
      <c r="AC27" s="1667"/>
      <c r="AD27" s="1578"/>
      <c r="AE27" s="1157"/>
      <c r="AF27" s="1123"/>
      <c r="AG27" s="1141"/>
      <c r="AH27" s="1131"/>
      <c r="AI27" s="1130"/>
    </row>
    <row r="28" spans="1:35" s="388" customFormat="1" ht="18.75" customHeight="1">
      <c r="A28" s="246" t="s">
        <v>45</v>
      </c>
      <c r="B28" s="854">
        <f>ROUND(B17-B25,1)</f>
        <v>-4.2</v>
      </c>
      <c r="C28" s="379"/>
      <c r="D28" s="854">
        <f>ROUND(D17-D25,1)</f>
        <v>-4</v>
      </c>
      <c r="E28" s="379"/>
      <c r="F28" s="3733">
        <f>ROUND(F17-F25,1)</f>
        <v>-6</v>
      </c>
      <c r="G28" s="379"/>
      <c r="H28" s="854">
        <f>ROUND(H17-H25,1)</f>
        <v>13.6</v>
      </c>
      <c r="I28" s="380"/>
      <c r="J28" s="854">
        <f>ROUND(J17-J25,1)</f>
        <v>-4.2</v>
      </c>
      <c r="K28" s="379"/>
      <c r="L28" s="854">
        <f>ROUND(L17-L25,1)</f>
        <v>1.7</v>
      </c>
      <c r="M28" s="848"/>
      <c r="N28" s="854">
        <f>ROUND(N17-N25,1)</f>
        <v>1.3</v>
      </c>
      <c r="O28" s="848"/>
      <c r="P28" s="854">
        <f>ROUND(P17-P25,1)</f>
        <v>0</v>
      </c>
      <c r="Q28" s="848"/>
      <c r="R28" s="854">
        <f>ROUND(R17-R25,1)</f>
        <v>0</v>
      </c>
      <c r="S28" s="848"/>
      <c r="T28" s="854">
        <f>ROUND(T17-T25,1)</f>
        <v>0</v>
      </c>
      <c r="U28" s="848"/>
      <c r="V28" s="854">
        <f>ROUND(V17-V25,1)</f>
        <v>0</v>
      </c>
      <c r="W28" s="848"/>
      <c r="X28" s="854">
        <f>ROUND(X17-X25,1)</f>
        <v>0</v>
      </c>
      <c r="Y28" s="849"/>
      <c r="Z28" s="850"/>
      <c r="AA28" s="3279">
        <f>ROUND(AA17-AA25,1)</f>
        <v>-1.8</v>
      </c>
      <c r="AB28" s="3277"/>
      <c r="AC28" s="3758"/>
      <c r="AD28" s="3279">
        <f>ROUND(AD17-AD25,1)</f>
        <v>-0.2</v>
      </c>
      <c r="AE28" s="1160"/>
      <c r="AF28" s="1124"/>
      <c r="AG28" s="1410">
        <f>ROUND(SUM(AA28-AD28),1)</f>
        <v>-1.6</v>
      </c>
      <c r="AH28" s="1131"/>
      <c r="AI28" s="1585">
        <f>ROUND(IF(AG28=0,0,AG28/ABS(AD28)),3)</f>
        <v>-8</v>
      </c>
    </row>
    <row r="29" spans="1:35" s="388" customFormat="1" ht="19.399999999999999" customHeight="1">
      <c r="A29" s="146"/>
      <c r="B29" s="238"/>
      <c r="C29" s="234"/>
      <c r="D29" s="238" t="s">
        <v>15</v>
      </c>
      <c r="E29" s="234"/>
      <c r="F29" s="1672"/>
      <c r="G29" s="234"/>
      <c r="H29" s="842"/>
      <c r="I29" s="843"/>
      <c r="J29" s="842"/>
      <c r="K29" s="234"/>
      <c r="L29" s="842"/>
      <c r="M29" s="843"/>
      <c r="N29" s="851"/>
      <c r="O29" s="843"/>
      <c r="P29" s="842"/>
      <c r="Q29" s="843"/>
      <c r="R29" s="851"/>
      <c r="S29" s="843"/>
      <c r="T29" s="842"/>
      <c r="U29" s="843"/>
      <c r="V29" s="842"/>
      <c r="W29" s="843"/>
      <c r="X29" s="851"/>
      <c r="Y29" s="844"/>
      <c r="Z29" s="845"/>
      <c r="AA29" s="1672"/>
      <c r="AB29" s="1668"/>
      <c r="AC29" s="1666"/>
      <c r="AD29" s="1672"/>
      <c r="AE29" s="1141"/>
      <c r="AF29" s="1125"/>
      <c r="AG29" s="1141"/>
      <c r="AH29" s="1131"/>
      <c r="AI29" s="1130"/>
    </row>
    <row r="30" spans="1:35" s="388" customFormat="1" ht="19.399999999999999" customHeight="1">
      <c r="A30" s="246" t="s">
        <v>46</v>
      </c>
      <c r="B30" s="234"/>
      <c r="C30" s="234"/>
      <c r="D30" s="234"/>
      <c r="E30" s="234"/>
      <c r="F30" s="1578"/>
      <c r="G30" s="234"/>
      <c r="H30" s="843"/>
      <c r="I30" s="843"/>
      <c r="J30" s="843"/>
      <c r="K30" s="234"/>
      <c r="L30" s="843"/>
      <c r="M30" s="843"/>
      <c r="N30" s="843"/>
      <c r="O30" s="843"/>
      <c r="P30" s="843"/>
      <c r="Q30" s="843"/>
      <c r="R30" s="843"/>
      <c r="S30" s="843"/>
      <c r="T30" s="843"/>
      <c r="U30" s="843"/>
      <c r="V30" s="843"/>
      <c r="W30" s="843"/>
      <c r="X30" s="843"/>
      <c r="Y30" s="844"/>
      <c r="Z30" s="845"/>
      <c r="AA30" s="1578"/>
      <c r="AB30" s="1668"/>
      <c r="AC30" s="1667"/>
      <c r="AD30" s="1578"/>
      <c r="AE30" s="1157"/>
      <c r="AF30" s="1125"/>
      <c r="AG30" s="1141"/>
      <c r="AH30" s="1131"/>
      <c r="AI30" s="1130"/>
    </row>
    <row r="31" spans="1:35" s="388" customFormat="1" ht="19.399999999999999" customHeight="1">
      <c r="A31" s="146" t="s">
        <v>181</v>
      </c>
      <c r="B31" s="852">
        <v>0</v>
      </c>
      <c r="C31" s="234"/>
      <c r="D31" s="852">
        <v>0</v>
      </c>
      <c r="E31" s="234"/>
      <c r="F31" s="1687">
        <v>0</v>
      </c>
      <c r="G31" s="234"/>
      <c r="H31" s="852">
        <v>0</v>
      </c>
      <c r="I31" s="1667"/>
      <c r="J31" s="1687">
        <v>0</v>
      </c>
      <c r="K31" s="1578"/>
      <c r="L31" s="852">
        <v>0</v>
      </c>
      <c r="M31" s="1667"/>
      <c r="N31" s="1687">
        <f t="shared" ref="N31:N32" si="1">$AA31-$B31-$D31-$F31-$H31-$J31-$L31</f>
        <v>0</v>
      </c>
      <c r="O31" s="1667"/>
      <c r="P31" s="1687"/>
      <c r="Q31" s="1667"/>
      <c r="R31" s="1687"/>
      <c r="S31" s="1667"/>
      <c r="T31" s="1687"/>
      <c r="U31" s="1667"/>
      <c r="V31" s="1687"/>
      <c r="W31" s="1667"/>
      <c r="X31" s="1687"/>
      <c r="Y31" s="1668"/>
      <c r="Z31" s="1669"/>
      <c r="AA31" s="1687">
        <v>0</v>
      </c>
      <c r="AB31" s="1668"/>
      <c r="AC31" s="1667"/>
      <c r="AD31" s="1687">
        <v>0</v>
      </c>
      <c r="AE31" s="1158"/>
      <c r="AF31" s="1126"/>
      <c r="AG31" s="238">
        <f>ROUND(SUM(AA31-AD31),1)</f>
        <v>0</v>
      </c>
      <c r="AH31" s="1145"/>
      <c r="AI31" s="1146">
        <f>ROUND(IF(AG31=0,0,AG31/ABS(AD31)),3)</f>
        <v>0</v>
      </c>
    </row>
    <row r="32" spans="1:35" s="388" customFormat="1" ht="19.399999999999999" customHeight="1">
      <c r="A32" s="146" t="s">
        <v>182</v>
      </c>
      <c r="B32" s="2160">
        <v>0</v>
      </c>
      <c r="C32" s="234"/>
      <c r="D32" s="852">
        <v>0</v>
      </c>
      <c r="E32" s="234"/>
      <c r="F32" s="1687">
        <v>0</v>
      </c>
      <c r="G32" s="234"/>
      <c r="H32" s="852">
        <v>0</v>
      </c>
      <c r="I32" s="1667"/>
      <c r="J32" s="1687">
        <v>0</v>
      </c>
      <c r="K32" s="1578"/>
      <c r="L32" s="852">
        <v>0</v>
      </c>
      <c r="M32" s="1667"/>
      <c r="N32" s="1687">
        <f t="shared" si="1"/>
        <v>0</v>
      </c>
      <c r="O32" s="1667"/>
      <c r="P32" s="1687"/>
      <c r="Q32" s="1667"/>
      <c r="R32" s="1687"/>
      <c r="S32" s="1667"/>
      <c r="T32" s="1687"/>
      <c r="U32" s="1667"/>
      <c r="V32" s="1687"/>
      <c r="W32" s="1667"/>
      <c r="X32" s="1687"/>
      <c r="Y32" s="1668"/>
      <c r="Z32" s="1669"/>
      <c r="AA32" s="3757">
        <v>0</v>
      </c>
      <c r="AB32" s="1668"/>
      <c r="AC32" s="1667"/>
      <c r="AD32" s="3757">
        <v>0</v>
      </c>
      <c r="AE32" s="1158"/>
      <c r="AF32" s="1125"/>
      <c r="AG32" s="238">
        <f>ROUND(SUM(AA32-AD32),1)</f>
        <v>0</v>
      </c>
      <c r="AH32" s="1145"/>
      <c r="AI32" s="1146">
        <f>ROUND(IF(AG32=0,0,AG32/ABS(AD32)),3)</f>
        <v>0</v>
      </c>
    </row>
    <row r="33" spans="1:35" s="388" customFormat="1" ht="22.5" customHeight="1">
      <c r="A33" s="246" t="s">
        <v>207</v>
      </c>
      <c r="B33" s="856">
        <f>ROUND(SUM(B31:B32),1)</f>
        <v>0</v>
      </c>
      <c r="C33" s="379"/>
      <c r="D33" s="856">
        <f>ROUND(SUM(D31:D32),1)</f>
        <v>0</v>
      </c>
      <c r="E33" s="381"/>
      <c r="F33" s="3734">
        <f>ROUND(SUM(F31:F32),1)</f>
        <v>0</v>
      </c>
      <c r="G33" s="381"/>
      <c r="H33" s="856">
        <f>ROUND(SUM(H31:H32),1)</f>
        <v>0</v>
      </c>
      <c r="I33" s="857"/>
      <c r="J33" s="856">
        <f>ROUND(SUM(J31:J32),1)</f>
        <v>0</v>
      </c>
      <c r="K33" s="381"/>
      <c r="L33" s="856">
        <f>ROUND(SUM(L31:L32),1)</f>
        <v>0</v>
      </c>
      <c r="M33" s="857"/>
      <c r="N33" s="856">
        <f>ROUND(SUM(N31:N32),1)</f>
        <v>0</v>
      </c>
      <c r="O33" s="857"/>
      <c r="P33" s="856">
        <f>ROUND(SUM(P31:P32),1)</f>
        <v>0</v>
      </c>
      <c r="Q33" s="857"/>
      <c r="R33" s="856">
        <f>ROUND(SUM(R31:R32),1)</f>
        <v>0</v>
      </c>
      <c r="S33" s="857"/>
      <c r="T33" s="856">
        <f>ROUND(SUM(T31:T32),1)</f>
        <v>0</v>
      </c>
      <c r="U33" s="857"/>
      <c r="V33" s="856">
        <f>ROUND(SUM(V31:V32),1)</f>
        <v>0</v>
      </c>
      <c r="W33" s="857"/>
      <c r="X33" s="856">
        <f>ROUND(SUM(X31:X32),1)</f>
        <v>0</v>
      </c>
      <c r="Y33" s="849"/>
      <c r="Z33" s="850"/>
      <c r="AA33" s="3280">
        <f>ROUND(SUM(AA31:AA32),1)</f>
        <v>0</v>
      </c>
      <c r="AB33" s="3759"/>
      <c r="AC33" s="3760"/>
      <c r="AD33" s="3280">
        <f>ROUND(SUM(AD31:AD32),1)</f>
        <v>0</v>
      </c>
      <c r="AE33" s="1161"/>
      <c r="AF33" s="1126"/>
      <c r="AG33" s="1163">
        <f>ROUND(SUM(AG31-AG32),1)</f>
        <v>0</v>
      </c>
      <c r="AH33" s="1149"/>
      <c r="AI33" s="1165">
        <f>ROUND(IF(AG33=0,0,AG33/ABS(AD33)),3)</f>
        <v>0</v>
      </c>
    </row>
    <row r="34" spans="1:35" s="388" customFormat="1" ht="19.399999999999999" customHeight="1">
      <c r="A34" s="146"/>
      <c r="B34" s="378"/>
      <c r="C34" s="234"/>
      <c r="D34" s="378" t="s">
        <v>15</v>
      </c>
      <c r="E34" s="234"/>
      <c r="F34" s="2199"/>
      <c r="G34" s="234"/>
      <c r="H34" s="851"/>
      <c r="I34" s="843"/>
      <c r="J34" s="851"/>
      <c r="K34" s="234"/>
      <c r="L34" s="851"/>
      <c r="M34" s="843"/>
      <c r="N34" s="851"/>
      <c r="O34" s="843"/>
      <c r="P34" s="851"/>
      <c r="Q34" s="843"/>
      <c r="R34" s="851"/>
      <c r="S34" s="843"/>
      <c r="T34" s="851"/>
      <c r="U34" s="843"/>
      <c r="V34" s="851"/>
      <c r="W34" s="843"/>
      <c r="X34" s="851"/>
      <c r="Y34" s="844"/>
      <c r="Z34" s="845"/>
      <c r="AA34" s="2199"/>
      <c r="AB34" s="1668"/>
      <c r="AC34" s="1666"/>
      <c r="AD34" s="2199"/>
      <c r="AE34" s="1141"/>
      <c r="AF34" s="1123"/>
      <c r="AG34" s="1141"/>
      <c r="AH34" s="1131"/>
      <c r="AI34" s="1130"/>
    </row>
    <row r="35" spans="1:35" s="388" customFormat="1" ht="19.399999999999999" customHeight="1">
      <c r="A35" s="246" t="s">
        <v>165</v>
      </c>
      <c r="B35" s="234"/>
      <c r="C35" s="234"/>
      <c r="D35" s="234" t="s">
        <v>15</v>
      </c>
      <c r="E35" s="234"/>
      <c r="F35" s="1578"/>
      <c r="G35" s="234"/>
      <c r="H35" s="843"/>
      <c r="I35" s="843"/>
      <c r="J35" s="843"/>
      <c r="K35" s="234"/>
      <c r="L35" s="843"/>
      <c r="M35" s="843"/>
      <c r="N35" s="843"/>
      <c r="O35" s="843"/>
      <c r="P35" s="843"/>
      <c r="Q35" s="843"/>
      <c r="R35" s="843"/>
      <c r="S35" s="843"/>
      <c r="T35" s="843"/>
      <c r="U35" s="843"/>
      <c r="V35" s="843"/>
      <c r="W35" s="843"/>
      <c r="X35" s="843"/>
      <c r="Y35" s="844"/>
      <c r="Z35" s="845"/>
      <c r="AA35" s="1578"/>
      <c r="AB35" s="1668"/>
      <c r="AC35" s="1667"/>
      <c r="AD35" s="1578"/>
      <c r="AE35" s="1157"/>
      <c r="AF35" s="1123"/>
      <c r="AG35" s="1141"/>
      <c r="AH35" s="1131"/>
      <c r="AI35" s="1130"/>
    </row>
    <row r="36" spans="1:35" s="388" customFormat="1" ht="19.399999999999999" customHeight="1">
      <c r="A36" s="246" t="s">
        <v>226</v>
      </c>
      <c r="B36" s="234"/>
      <c r="C36" s="234"/>
      <c r="D36" s="234"/>
      <c r="E36" s="234"/>
      <c r="F36" s="1578"/>
      <c r="G36" s="234"/>
      <c r="H36" s="843"/>
      <c r="I36" s="843"/>
      <c r="J36" s="843"/>
      <c r="K36" s="234"/>
      <c r="L36" s="843"/>
      <c r="M36" s="843"/>
      <c r="N36" s="843"/>
      <c r="O36" s="843"/>
      <c r="P36" s="843"/>
      <c r="Q36" s="843"/>
      <c r="R36" s="843"/>
      <c r="S36" s="843"/>
      <c r="T36" s="864"/>
      <c r="U36" s="843"/>
      <c r="V36" s="864"/>
      <c r="W36" s="843"/>
      <c r="X36" s="843"/>
      <c r="Y36" s="844"/>
      <c r="Z36" s="845"/>
      <c r="AA36" s="1578"/>
      <c r="AB36" s="1668"/>
      <c r="AC36" s="1667"/>
      <c r="AD36" s="2204"/>
      <c r="AE36" s="1162"/>
      <c r="AF36" s="1127"/>
      <c r="AG36" s="1141"/>
      <c r="AH36" s="1131"/>
      <c r="AI36" s="1130"/>
    </row>
    <row r="37" spans="1:35" s="390" customFormat="1" ht="19.399999999999999" customHeight="1">
      <c r="A37" s="246" t="s">
        <v>935</v>
      </c>
      <c r="B37" s="853">
        <f>ROUND(+B28+B33,1)</f>
        <v>-4.2</v>
      </c>
      <c r="C37" s="379"/>
      <c r="D37" s="853">
        <f>ROUND(+D28+D33,1)</f>
        <v>-4</v>
      </c>
      <c r="E37" s="381"/>
      <c r="F37" s="1699">
        <f>ROUND(+F28+F33,1)</f>
        <v>-6</v>
      </c>
      <c r="G37" s="381"/>
      <c r="H37" s="853">
        <f>ROUND(+H28+H33,1)</f>
        <v>13.6</v>
      </c>
      <c r="I37" s="857"/>
      <c r="J37" s="853">
        <f>ROUND(+J28+J33,1)</f>
        <v>-4.2</v>
      </c>
      <c r="K37" s="381"/>
      <c r="L37" s="853">
        <f>ROUND(+L28+L33,1)</f>
        <v>1.7</v>
      </c>
      <c r="M37" s="858"/>
      <c r="N37" s="853">
        <f>ROUND(+N28+N33,1)</f>
        <v>1.3</v>
      </c>
      <c r="O37" s="858"/>
      <c r="P37" s="853">
        <f>ROUND(+P28+P33,1)</f>
        <v>0</v>
      </c>
      <c r="Q37" s="858"/>
      <c r="R37" s="853">
        <f>ROUND(+R28+R33,1)</f>
        <v>0</v>
      </c>
      <c r="S37" s="857"/>
      <c r="T37" s="853">
        <f>ROUND(+T28+T33,1)</f>
        <v>0</v>
      </c>
      <c r="U37" s="857"/>
      <c r="V37" s="853">
        <f>ROUND(+V28+V33,1)</f>
        <v>0</v>
      </c>
      <c r="W37" s="857"/>
      <c r="X37" s="853">
        <f>ROUND(+X28+X33,1)</f>
        <v>0</v>
      </c>
      <c r="Y37" s="849"/>
      <c r="Z37" s="850"/>
      <c r="AA37" s="2200">
        <f>ROUND(AA28+AA33,1)</f>
        <v>-1.8</v>
      </c>
      <c r="AB37" s="3266"/>
      <c r="AC37" s="3761"/>
      <c r="AD37" s="2200">
        <f>ROUND(AD28+AD33,1)</f>
        <v>-0.2</v>
      </c>
      <c r="AE37" s="1160"/>
      <c r="AF37" s="1128"/>
      <c r="AG37" s="1410">
        <f>ROUND(SUM(AA37-AD37),1)</f>
        <v>-1.6</v>
      </c>
      <c r="AH37" s="1131"/>
      <c r="AI37" s="1584">
        <f>ROUND(IF(AG37=0,0,AG37/ABS(AD37)),3)</f>
        <v>-8</v>
      </c>
    </row>
    <row r="38" spans="1:35" s="388" customFormat="1" ht="22.5" customHeight="1" thickBot="1">
      <c r="A38" s="246" t="s">
        <v>141</v>
      </c>
      <c r="B38" s="859">
        <f>ROUND(B13+B37,1)</f>
        <v>-5.3</v>
      </c>
      <c r="C38" s="374"/>
      <c r="D38" s="859">
        <f>ROUND(D13+D37,1)</f>
        <v>-9.3000000000000007</v>
      </c>
      <c r="E38" s="374"/>
      <c r="F38" s="3281">
        <f>ROUND(F13+F37,1)</f>
        <v>-15.3</v>
      </c>
      <c r="G38" s="374"/>
      <c r="H38" s="859">
        <f>ROUND(H13+H37,1)</f>
        <v>-1.7</v>
      </c>
      <c r="I38" s="860"/>
      <c r="J38" s="859">
        <f>ROUND(J13+J37,1)</f>
        <v>-5.9</v>
      </c>
      <c r="K38" s="374"/>
      <c r="L38" s="859">
        <f>ROUND(L13+L37,1)</f>
        <v>-4.2</v>
      </c>
      <c r="M38" s="375"/>
      <c r="N38" s="859">
        <f>ROUND(N13+N37,1)</f>
        <v>-2.9</v>
      </c>
      <c r="O38" s="375"/>
      <c r="P38" s="859">
        <f>ROUND(P13+P37,1)</f>
        <v>0</v>
      </c>
      <c r="Q38" s="375"/>
      <c r="R38" s="859">
        <f>ROUND(R13+R37,1)</f>
        <v>0</v>
      </c>
      <c r="S38" s="860"/>
      <c r="T38" s="859">
        <f>ROUND(T13+T37,1)</f>
        <v>0</v>
      </c>
      <c r="U38" s="860"/>
      <c r="V38" s="859">
        <f>ROUND(V13+V37,1)</f>
        <v>0</v>
      </c>
      <c r="W38" s="860"/>
      <c r="X38" s="859">
        <f>ROUND(X13+X37,1)</f>
        <v>0</v>
      </c>
      <c r="Y38" s="834"/>
      <c r="Z38" s="835"/>
      <c r="AA38" s="3281">
        <f>ROUND(SUM(AA13,AA37),1)</f>
        <v>-2.9</v>
      </c>
      <c r="AB38" s="2206"/>
      <c r="AC38" s="3762"/>
      <c r="AD38" s="3763">
        <f>ROUND(SUM(AD13,AD37),1)</f>
        <v>-3.2</v>
      </c>
      <c r="AE38" s="1138"/>
      <c r="AF38" s="1129"/>
      <c r="AG38" s="1166">
        <f>ROUND(SUM(AA38-AD38),1)</f>
        <v>0.3</v>
      </c>
      <c r="AH38" s="1148"/>
      <c r="AI38" s="1475">
        <f>ROUND(IF(AG38=0,0,AG38/ABS(AD38)),3)</f>
        <v>9.4E-2</v>
      </c>
    </row>
    <row r="39" spans="1:35" s="388" customFormat="1" ht="19.399999999999999" customHeight="1" thickTop="1">
      <c r="A39" s="146" t="s">
        <v>15</v>
      </c>
      <c r="B39" s="861"/>
      <c r="C39" s="862"/>
      <c r="D39" s="861"/>
      <c r="E39" s="862"/>
      <c r="F39" s="3282"/>
      <c r="G39" s="862"/>
      <c r="H39" s="861"/>
      <c r="I39" s="862"/>
      <c r="J39" s="861"/>
      <c r="K39" s="862"/>
      <c r="L39" s="861"/>
      <c r="M39" s="862"/>
      <c r="N39" s="861"/>
      <c r="O39" s="862"/>
      <c r="P39" s="861"/>
      <c r="Q39" s="862"/>
      <c r="R39" s="861"/>
      <c r="S39" s="862"/>
      <c r="T39" s="861"/>
      <c r="U39" s="862"/>
      <c r="V39" s="861"/>
      <c r="W39" s="862"/>
      <c r="X39" s="861"/>
      <c r="Y39" s="862"/>
      <c r="Z39" s="862"/>
      <c r="AA39" s="3282"/>
      <c r="AB39" s="2208"/>
      <c r="AC39" s="2208"/>
      <c r="AD39" s="2208"/>
      <c r="AE39" s="1147"/>
      <c r="AF39" s="1147"/>
      <c r="AG39" s="1139"/>
      <c r="AH39" s="1131"/>
      <c r="AI39" s="1130"/>
    </row>
    <row r="40" spans="1:35" s="388" customFormat="1" ht="19.399999999999999" customHeight="1">
      <c r="B40" s="666"/>
      <c r="C40" s="813"/>
      <c r="D40" s="666"/>
      <c r="E40" s="666"/>
      <c r="F40" s="647"/>
      <c r="G40" s="666"/>
      <c r="H40" s="666"/>
      <c r="I40" s="666"/>
      <c r="J40" s="666"/>
      <c r="K40" s="666"/>
      <c r="L40" s="666"/>
      <c r="M40" s="666"/>
      <c r="N40" s="666"/>
      <c r="O40" s="666"/>
      <c r="P40" s="666"/>
      <c r="Q40" s="666"/>
      <c r="R40" s="666"/>
      <c r="S40" s="666"/>
      <c r="T40" s="666"/>
      <c r="U40" s="666"/>
      <c r="V40" s="666"/>
      <c r="W40" s="666"/>
      <c r="X40" s="666"/>
      <c r="Y40" s="666"/>
      <c r="Z40" s="863"/>
      <c r="AA40" s="2208"/>
      <c r="AB40" s="2208"/>
      <c r="AC40" s="2208"/>
      <c r="AD40" s="2208"/>
      <c r="AE40" s="1147"/>
      <c r="AF40" s="1147"/>
      <c r="AG40" s="1139"/>
      <c r="AH40" s="1131"/>
      <c r="AI40" s="1130"/>
    </row>
    <row r="41" spans="1:35" ht="15.75" customHeight="1">
      <c r="A41" s="391"/>
      <c r="B41" s="813"/>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137"/>
      <c r="AB41" s="137"/>
      <c r="AC41" s="137"/>
      <c r="AD41" s="3284"/>
      <c r="AE41" s="1133"/>
      <c r="AF41" s="1133"/>
      <c r="AG41" s="1139"/>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88"/>
      <c r="B43" s="813"/>
      <c r="C43" s="813"/>
      <c r="D43" s="813"/>
      <c r="E43" s="813"/>
      <c r="F43" s="813"/>
      <c r="G43" s="813"/>
      <c r="H43" s="813"/>
      <c r="I43" s="813"/>
      <c r="J43" s="813"/>
      <c r="K43" s="813"/>
      <c r="L43" s="813"/>
      <c r="M43" s="813"/>
      <c r="N43" s="813"/>
      <c r="O43" s="813"/>
      <c r="P43" s="813"/>
      <c r="Q43" s="813"/>
      <c r="R43" s="813"/>
      <c r="S43" s="813"/>
      <c r="T43" s="813"/>
      <c r="U43" s="813"/>
      <c r="V43" s="813"/>
      <c r="W43" s="813"/>
      <c r="X43" s="813"/>
      <c r="Y43" s="813"/>
      <c r="Z43" s="813"/>
      <c r="AA43" s="137"/>
      <c r="AB43" s="137"/>
      <c r="AC43" s="137"/>
      <c r="AD43" s="3284"/>
      <c r="AE43" s="1133"/>
      <c r="AF43" s="1133"/>
      <c r="AG43" s="1139"/>
    </row>
    <row r="44" spans="1:35">
      <c r="A44" s="688"/>
      <c r="B44" s="813"/>
      <c r="C44" s="813"/>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137"/>
      <c r="AB44" s="137"/>
      <c r="AC44" s="137"/>
      <c r="AD44" s="3284"/>
      <c r="AE44" s="1133"/>
      <c r="AF44" s="1133"/>
      <c r="AG44" s="1139"/>
    </row>
    <row r="45" spans="1:35">
      <c r="A45" s="688"/>
      <c r="B45" s="813"/>
      <c r="C45" s="813"/>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137"/>
      <c r="AB45" s="137"/>
      <c r="AC45" s="137"/>
      <c r="AD45" s="3284"/>
      <c r="AE45" s="1133"/>
      <c r="AF45" s="1133"/>
    </row>
    <row r="46" spans="1:35">
      <c r="A46" s="688"/>
      <c r="B46" s="813"/>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137"/>
      <c r="AB46" s="137"/>
      <c r="AC46" s="137"/>
      <c r="AD46" s="3284"/>
      <c r="AE46" s="1133"/>
      <c r="AF46" s="1133"/>
    </row>
    <row r="47" spans="1:35">
      <c r="A47" s="688"/>
      <c r="B47" s="688"/>
      <c r="C47" s="688"/>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104"/>
      <c r="AB47" s="104"/>
      <c r="AC47" s="104"/>
      <c r="AD47" s="190"/>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69140625" defaultRowHeight="12.5"/>
  <cols>
    <col min="1" max="1" width="46.69140625" style="386" customWidth="1"/>
    <col min="2" max="2" width="10" style="386" customWidth="1"/>
    <col min="3" max="3" width="1.69140625" style="386" customWidth="1"/>
    <col min="4" max="4" width="10.69140625" style="386" customWidth="1"/>
    <col min="5" max="5" width="1.69140625" style="386" customWidth="1"/>
    <col min="6" max="6" width="10" style="386" customWidth="1"/>
    <col min="7" max="7" width="1.69140625" style="386" customWidth="1"/>
    <col min="8" max="8" width="10" style="386" customWidth="1"/>
    <col min="9" max="9" width="1.69140625" style="386" customWidth="1"/>
    <col min="10" max="10" width="10.69140625" style="386" customWidth="1"/>
    <col min="11" max="11" width="1.69140625" style="386" customWidth="1"/>
    <col min="12" max="12" width="14.07421875" style="386" customWidth="1"/>
    <col min="13" max="13" width="1.69140625" style="386" customWidth="1"/>
    <col min="14" max="14" width="15.4609375" style="386" bestFit="1" customWidth="1"/>
    <col min="15" max="15" width="1.69140625" style="386" customWidth="1"/>
    <col min="16" max="16" width="13.53515625" style="386" bestFit="1" customWidth="1"/>
    <col min="17" max="17" width="1.69140625" style="386" customWidth="1"/>
    <col min="18" max="18" width="13.53515625" style="386" bestFit="1" customWidth="1"/>
    <col min="19" max="19" width="1.69140625" style="386" customWidth="1"/>
    <col min="20" max="20" width="11" style="386" bestFit="1" customWidth="1"/>
    <col min="21" max="21" width="1.69140625" style="386" customWidth="1"/>
    <col min="22" max="22" width="12.69140625" style="386" bestFit="1" customWidth="1"/>
    <col min="23" max="23" width="1.69140625" style="386" customWidth="1"/>
    <col min="24" max="24" width="8.69140625" style="2209" customWidth="1"/>
    <col min="25" max="26" width="1.69140625" style="2209" customWidth="1"/>
    <col min="27" max="27" width="10.07421875" style="2209" customWidth="1"/>
    <col min="28" max="29" width="1.69140625" style="2209" customWidth="1"/>
    <col min="30" max="30" width="10.07421875" style="2209" customWidth="1"/>
    <col min="31" max="31" width="1.69140625" style="2209" customWidth="1"/>
    <col min="32" max="32" width="2.4609375" style="2209" customWidth="1"/>
    <col min="33" max="33" width="10.07421875" style="3305" bestFit="1" customWidth="1"/>
    <col min="34" max="34" width="1.69140625" style="393" customWidth="1"/>
    <col min="35" max="35" width="11.07421875" style="386" customWidth="1"/>
    <col min="36" max="16384" width="8.69140625" style="386"/>
  </cols>
  <sheetData>
    <row r="1" spans="1:35" ht="15.5">
      <c r="A1" s="642" t="s">
        <v>963</v>
      </c>
    </row>
    <row r="2" spans="1:35" ht="15.5">
      <c r="A2" s="822"/>
    </row>
    <row r="3" spans="1:35" ht="20.25" customHeight="1">
      <c r="A3" s="3551" t="s">
        <v>0</v>
      </c>
      <c r="B3" s="31"/>
      <c r="C3" s="31"/>
      <c r="D3" s="31"/>
      <c r="E3" s="31"/>
      <c r="F3" s="31"/>
      <c r="G3" s="31"/>
      <c r="H3" s="31"/>
      <c r="I3" s="31"/>
      <c r="J3" s="31"/>
      <c r="K3" s="29"/>
      <c r="L3" s="29"/>
      <c r="M3" s="31"/>
      <c r="N3" s="31"/>
      <c r="O3" s="31"/>
      <c r="P3" s="31"/>
      <c r="Q3" s="31"/>
      <c r="R3" s="31"/>
      <c r="S3" s="31"/>
      <c r="T3" s="31"/>
      <c r="U3" s="31"/>
      <c r="V3" s="31"/>
      <c r="W3" s="31"/>
      <c r="X3" s="104"/>
      <c r="Y3" s="104"/>
      <c r="Z3" s="104"/>
      <c r="AA3" s="104"/>
      <c r="AB3" s="104"/>
      <c r="AC3" s="104"/>
      <c r="AD3" s="104"/>
      <c r="AE3" s="104"/>
      <c r="AF3" s="104"/>
      <c r="AG3" s="3306"/>
      <c r="AI3" s="828" t="s">
        <v>228</v>
      </c>
    </row>
    <row r="4" spans="1:35" ht="20.25" customHeight="1">
      <c r="A4" s="1533" t="s">
        <v>227</v>
      </c>
      <c r="B4" s="31"/>
      <c r="C4" s="31"/>
      <c r="D4" s="31"/>
      <c r="E4" s="31"/>
      <c r="F4" s="31"/>
      <c r="G4" s="31"/>
      <c r="H4" s="29" t="s">
        <v>15</v>
      </c>
      <c r="I4" s="31"/>
      <c r="J4" s="31"/>
      <c r="K4" s="29"/>
      <c r="L4" s="29"/>
      <c r="M4" s="31"/>
      <c r="N4" s="31"/>
      <c r="O4" s="31"/>
      <c r="P4" s="31"/>
      <c r="Q4" s="31"/>
      <c r="R4" s="31"/>
      <c r="S4" s="31"/>
      <c r="T4" s="31"/>
      <c r="U4" s="31"/>
      <c r="V4" s="31"/>
      <c r="W4" s="31"/>
      <c r="X4" s="104" t="s">
        <v>15</v>
      </c>
      <c r="Y4" s="104"/>
      <c r="Z4" s="104"/>
      <c r="AA4" s="104"/>
      <c r="AB4" s="104"/>
      <c r="AC4" s="104"/>
      <c r="AD4" s="104"/>
      <c r="AE4" s="104"/>
      <c r="AF4" s="104"/>
      <c r="AG4" s="3306"/>
    </row>
    <row r="5" spans="1:35" ht="20.25" customHeight="1">
      <c r="A5" s="1533" t="s">
        <v>123</v>
      </c>
      <c r="B5" s="31"/>
      <c r="C5" s="31"/>
      <c r="D5" s="31"/>
      <c r="E5" s="31"/>
      <c r="F5" s="31"/>
      <c r="G5" s="31"/>
      <c r="H5" s="31"/>
      <c r="I5" s="31"/>
      <c r="J5" s="31"/>
      <c r="K5" s="29"/>
      <c r="L5" s="29"/>
      <c r="M5" s="31"/>
      <c r="N5" s="31"/>
      <c r="O5" s="31"/>
      <c r="P5" s="31"/>
      <c r="Q5" s="31"/>
      <c r="R5" s="31"/>
      <c r="S5" s="31"/>
      <c r="T5" s="31"/>
      <c r="U5" s="31"/>
      <c r="V5" s="31"/>
      <c r="W5" s="31"/>
      <c r="X5" s="104"/>
      <c r="Y5" s="104"/>
      <c r="Z5" s="104"/>
      <c r="AB5" s="3273"/>
      <c r="AC5" s="3273"/>
      <c r="AE5" s="3228"/>
      <c r="AG5" s="3306"/>
    </row>
    <row r="6" spans="1:35" ht="20.25" customHeight="1">
      <c r="A6" s="1533"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4"/>
      <c r="Y6" s="104"/>
      <c r="Z6" s="104"/>
      <c r="AA6" s="104"/>
      <c r="AB6" s="104"/>
      <c r="AC6" s="104"/>
      <c r="AD6" s="104"/>
      <c r="AE6" s="104"/>
      <c r="AF6" s="104"/>
      <c r="AG6" s="3306"/>
    </row>
    <row r="7" spans="1:35" ht="20.25" customHeight="1">
      <c r="A7" s="3551" t="s">
        <v>1365</v>
      </c>
      <c r="B7" s="31"/>
      <c r="C7" s="31"/>
      <c r="D7" s="31"/>
      <c r="E7" s="31"/>
      <c r="F7" s="31"/>
      <c r="G7" s="31"/>
      <c r="H7" s="31"/>
      <c r="I7" s="31"/>
      <c r="J7" s="31"/>
      <c r="K7" s="29"/>
      <c r="L7" s="31"/>
      <c r="M7" s="31"/>
      <c r="N7" s="31"/>
      <c r="O7" s="31"/>
      <c r="P7" s="31"/>
      <c r="Q7" s="31"/>
      <c r="R7" s="31"/>
      <c r="S7" s="31"/>
      <c r="T7" s="31"/>
      <c r="U7" s="31"/>
      <c r="V7" s="31"/>
      <c r="W7" s="31"/>
      <c r="X7" s="104"/>
      <c r="Y7" s="104"/>
      <c r="Z7" s="104"/>
      <c r="AA7" s="3227"/>
      <c r="AB7" s="3227"/>
      <c r="AC7" s="3227"/>
      <c r="AD7" s="3227"/>
      <c r="AE7" s="3227"/>
      <c r="AF7" s="3227"/>
      <c r="AG7" s="1661"/>
      <c r="AH7" s="1131"/>
      <c r="AI7" s="1130"/>
    </row>
    <row r="8" spans="1:35" s="388" customFormat="1" ht="19.399999999999999" customHeight="1">
      <c r="A8" s="317"/>
      <c r="B8" s="31"/>
      <c r="C8" s="31"/>
      <c r="D8" s="31"/>
      <c r="E8" s="31"/>
      <c r="F8" s="31"/>
      <c r="G8" s="31"/>
      <c r="H8" s="31"/>
      <c r="I8" s="31"/>
      <c r="J8" s="31"/>
      <c r="K8" s="31"/>
      <c r="L8" s="31"/>
      <c r="M8" s="31"/>
      <c r="N8" s="31"/>
      <c r="O8" s="31"/>
      <c r="P8" s="31"/>
      <c r="Q8" s="31"/>
      <c r="R8" s="31"/>
      <c r="S8" s="31"/>
      <c r="T8" s="31"/>
      <c r="U8" s="31"/>
      <c r="V8" s="31"/>
      <c r="W8" s="31"/>
      <c r="X8" s="104"/>
      <c r="Y8" s="104"/>
      <c r="Z8" s="104"/>
      <c r="AA8" s="3227"/>
      <c r="AB8" s="3227"/>
      <c r="AC8" s="3227"/>
      <c r="AD8" s="3227"/>
      <c r="AE8" s="3227"/>
      <c r="AF8" s="3227"/>
      <c r="AG8" s="1661"/>
      <c r="AH8" s="1131"/>
      <c r="AI8" s="1130"/>
    </row>
    <row r="9" spans="1:35" s="388"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4"/>
      <c r="Y9" s="104"/>
      <c r="Z9" s="104"/>
      <c r="AA9" s="3227"/>
      <c r="AB9" s="3227"/>
      <c r="AC9" s="3949"/>
      <c r="AD9" s="3950"/>
      <c r="AE9" s="3950"/>
      <c r="AF9" s="3950"/>
      <c r="AG9" s="3950"/>
      <c r="AH9" s="3950"/>
      <c r="AI9" s="3950"/>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114"/>
      <c r="W10" s="829"/>
      <c r="X10" s="3285"/>
      <c r="Y10" s="3283"/>
      <c r="Z10" s="1663"/>
      <c r="AA10" s="3948" t="s">
        <v>1546</v>
      </c>
      <c r="AB10" s="3951"/>
      <c r="AC10" s="3951"/>
      <c r="AD10" s="3951"/>
      <c r="AE10" s="3951"/>
      <c r="AF10" s="3951"/>
      <c r="AG10" s="3951"/>
      <c r="AH10" s="3951"/>
      <c r="AI10" s="3951"/>
    </row>
    <row r="11" spans="1:35" s="388" customFormat="1" ht="19.399999999999999" customHeight="1">
      <c r="A11" s="146"/>
      <c r="B11" s="767" t="str">
        <f>'Cashflow Governmental'!C13</f>
        <v>2020</v>
      </c>
      <c r="C11" s="246"/>
      <c r="D11" s="246"/>
      <c r="E11" s="246"/>
      <c r="F11" s="246"/>
      <c r="G11" s="246"/>
      <c r="H11" s="246"/>
      <c r="I11" s="246"/>
      <c r="J11" s="246"/>
      <c r="K11" s="246"/>
      <c r="L11" s="246"/>
      <c r="M11" s="246"/>
      <c r="N11" s="246"/>
      <c r="O11" s="246"/>
      <c r="P11" s="246"/>
      <c r="Q11" s="246"/>
      <c r="R11" s="246"/>
      <c r="S11" s="246"/>
      <c r="T11" s="767" t="str">
        <f>'Cashflow Governmental'!U13</f>
        <v>2021</v>
      </c>
      <c r="U11" s="246"/>
      <c r="V11" s="769"/>
      <c r="W11" s="246"/>
      <c r="X11" s="1652"/>
      <c r="Y11" s="1652"/>
      <c r="Z11" s="3253"/>
      <c r="AA11" s="3232"/>
      <c r="AB11" s="3232"/>
      <c r="AC11" s="3232"/>
      <c r="AD11" s="3307"/>
      <c r="AE11" s="3307"/>
      <c r="AF11" s="3232"/>
      <c r="AG11" s="3235" t="s">
        <v>8</v>
      </c>
      <c r="AH11" s="1134"/>
      <c r="AI11" s="1135" t="s">
        <v>9</v>
      </c>
    </row>
    <row r="12" spans="1:35" s="388" customFormat="1" ht="19.399999999999999" customHeight="1">
      <c r="A12" s="146"/>
      <c r="B12" s="769" t="s">
        <v>124</v>
      </c>
      <c r="C12" s="246"/>
      <c r="D12" s="832" t="s">
        <v>125</v>
      </c>
      <c r="E12" s="246"/>
      <c r="F12" s="832" t="s">
        <v>126</v>
      </c>
      <c r="G12" s="246"/>
      <c r="H12" s="832" t="s">
        <v>127</v>
      </c>
      <c r="I12" s="246"/>
      <c r="J12" s="833" t="s">
        <v>225</v>
      </c>
      <c r="K12" s="246"/>
      <c r="L12" s="833" t="s">
        <v>143</v>
      </c>
      <c r="M12" s="246"/>
      <c r="N12" s="833" t="s">
        <v>144</v>
      </c>
      <c r="O12" s="246"/>
      <c r="P12" s="832" t="s">
        <v>131</v>
      </c>
      <c r="Q12" s="246"/>
      <c r="R12" s="832" t="s">
        <v>132</v>
      </c>
      <c r="S12" s="246"/>
      <c r="T12" s="833" t="s">
        <v>133</v>
      </c>
      <c r="U12" s="246"/>
      <c r="V12" s="832" t="s">
        <v>134</v>
      </c>
      <c r="W12" s="246"/>
      <c r="X12" s="3286" t="s">
        <v>185</v>
      </c>
      <c r="Y12" s="1652"/>
      <c r="Z12" s="1652"/>
      <c r="AA12" s="3287">
        <f>'Cashflow Governmental'!AB14</f>
        <v>2020</v>
      </c>
      <c r="AB12" s="3287"/>
      <c r="AC12" s="3271"/>
      <c r="AD12" s="3458">
        <f>'Cashflow Governmental'!AE14</f>
        <v>2019</v>
      </c>
      <c r="AE12" s="3271"/>
      <c r="AF12" s="3271"/>
      <c r="AG12" s="3238" t="s">
        <v>12</v>
      </c>
      <c r="AH12" s="1137"/>
      <c r="AI12" s="1136" t="s">
        <v>13</v>
      </c>
    </row>
    <row r="13" spans="1:35" s="1663" customFormat="1" ht="19.399999999999999" customHeight="1">
      <c r="A13" s="1652" t="s">
        <v>136</v>
      </c>
      <c r="B13" s="1653">
        <v>14.3</v>
      </c>
      <c r="C13" s="1654"/>
      <c r="D13" s="1653">
        <f>B38</f>
        <v>14.4</v>
      </c>
      <c r="E13" s="1654"/>
      <c r="F13" s="1653">
        <f>D38</f>
        <v>14.5</v>
      </c>
      <c r="G13" s="1654" t="s">
        <v>15</v>
      </c>
      <c r="H13" s="1653">
        <f>F38</f>
        <v>14.6</v>
      </c>
      <c r="I13" s="1655" t="s">
        <v>15</v>
      </c>
      <c r="J13" s="1653">
        <f>H38</f>
        <v>14.7</v>
      </c>
      <c r="K13" s="1654"/>
      <c r="L13" s="1653">
        <f>J38</f>
        <v>14.1</v>
      </c>
      <c r="M13" s="1655"/>
      <c r="N13" s="1653">
        <f>L38</f>
        <v>14.1</v>
      </c>
      <c r="O13" s="1655"/>
      <c r="P13" s="1653" t="s">
        <v>15</v>
      </c>
      <c r="Q13" s="1655" t="s">
        <v>15</v>
      </c>
      <c r="R13" s="1653" t="s">
        <v>15</v>
      </c>
      <c r="S13" s="1655" t="s">
        <v>15</v>
      </c>
      <c r="T13" s="1653" t="s">
        <v>15</v>
      </c>
      <c r="U13" s="1655" t="s">
        <v>15</v>
      </c>
      <c r="V13" s="1653" t="s">
        <v>15</v>
      </c>
      <c r="W13" s="1655"/>
      <c r="X13" s="1653" t="s">
        <v>15</v>
      </c>
      <c r="Y13" s="1656"/>
      <c r="Z13" s="1657"/>
      <c r="AA13" s="3288">
        <f>+B13</f>
        <v>14.3</v>
      </c>
      <c r="AB13" s="3289"/>
      <c r="AC13" s="3290"/>
      <c r="AD13" s="1653">
        <v>13.2</v>
      </c>
      <c r="AE13" s="1658"/>
      <c r="AF13" s="1659"/>
      <c r="AG13" s="1660">
        <f>ROUND(SUM(AA13-AD13),1)</f>
        <v>1.1000000000000001</v>
      </c>
      <c r="AH13" s="1661"/>
      <c r="AI13" s="1662">
        <f>ROUND(IF(AG13=0,0,AG13/(AD13)),3)</f>
        <v>8.3000000000000004E-2</v>
      </c>
    </row>
    <row r="14" spans="1:35" s="388" customFormat="1" ht="19.399999999999999" customHeight="1">
      <c r="A14" s="146"/>
      <c r="B14" s="376"/>
      <c r="C14" s="376"/>
      <c r="D14" s="376"/>
      <c r="E14" s="376"/>
      <c r="F14" s="3236"/>
      <c r="G14" s="376"/>
      <c r="H14" s="840"/>
      <c r="I14" s="840"/>
      <c r="J14" s="840"/>
      <c r="K14" s="376"/>
      <c r="L14" s="840"/>
      <c r="M14" s="840"/>
      <c r="N14" s="840"/>
      <c r="O14" s="840"/>
      <c r="P14" s="840"/>
      <c r="Q14" s="840"/>
      <c r="R14" s="840"/>
      <c r="S14" s="840"/>
      <c r="T14" s="840"/>
      <c r="U14" s="840"/>
      <c r="V14" s="840"/>
      <c r="W14" s="840"/>
      <c r="X14" s="3276"/>
      <c r="Y14" s="3275"/>
      <c r="Z14" s="3291"/>
      <c r="AA14" s="3292"/>
      <c r="AB14" s="3293"/>
      <c r="AC14" s="3294"/>
      <c r="AD14" s="3292"/>
      <c r="AE14" s="3292"/>
      <c r="AF14" s="3272"/>
      <c r="AG14" s="3241"/>
      <c r="AH14" s="1131"/>
      <c r="AI14" s="1130"/>
    </row>
    <row r="15" spans="1:35" s="388" customFormat="1" ht="19.399999999999999" customHeight="1">
      <c r="A15" s="246" t="s">
        <v>14</v>
      </c>
      <c r="B15" s="376"/>
      <c r="C15" s="376"/>
      <c r="D15" s="376"/>
      <c r="E15" s="376"/>
      <c r="F15" s="3236"/>
      <c r="G15" s="376"/>
      <c r="H15" s="840"/>
      <c r="I15" s="840"/>
      <c r="J15" s="840"/>
      <c r="K15" s="376"/>
      <c r="L15" s="840"/>
      <c r="M15" s="840"/>
      <c r="N15" s="840"/>
      <c r="O15" s="840"/>
      <c r="P15" s="840"/>
      <c r="Q15" s="840"/>
      <c r="R15" s="840"/>
      <c r="S15" s="840"/>
      <c r="T15" s="840"/>
      <c r="U15" s="840"/>
      <c r="V15" s="840"/>
      <c r="W15" s="840"/>
      <c r="X15" s="3276"/>
      <c r="Y15" s="3275"/>
      <c r="Z15" s="3291"/>
      <c r="AA15" s="3292"/>
      <c r="AB15" s="3293"/>
      <c r="AC15" s="3294"/>
      <c r="AD15" s="3292"/>
      <c r="AE15" s="3292"/>
      <c r="AF15" s="3272"/>
      <c r="AG15" s="3241"/>
      <c r="AH15" s="1131"/>
      <c r="AI15" s="1130"/>
    </row>
    <row r="16" spans="1:35" s="1663" customFormat="1" ht="19.399999999999999" customHeight="1">
      <c r="A16" s="1664" t="s">
        <v>178</v>
      </c>
      <c r="B16" s="1845">
        <v>0.2</v>
      </c>
      <c r="C16" s="234"/>
      <c r="D16" s="1845">
        <v>9.9999999999999978E-2</v>
      </c>
      <c r="E16" s="234"/>
      <c r="F16" s="1665">
        <v>0.10000000000000003</v>
      </c>
      <c r="G16" s="1665">
        <f>$AA16-$B16-$D16</f>
        <v>-9.9999999999999978E-2</v>
      </c>
      <c r="H16" s="1665">
        <v>0.19999999999999996</v>
      </c>
      <c r="I16" s="1666"/>
      <c r="J16" s="1665">
        <v>-0.6</v>
      </c>
      <c r="K16" s="1578"/>
      <c r="L16" s="1665">
        <v>0</v>
      </c>
      <c r="M16" s="1667"/>
      <c r="N16" s="1665">
        <f>$AA16-$B16-$D16-$F16-$H16-$J16-$L16</f>
        <v>0.2</v>
      </c>
      <c r="O16" s="1667"/>
      <c r="P16" s="1665"/>
      <c r="Q16" s="1667"/>
      <c r="R16" s="1665"/>
      <c r="S16" s="1667"/>
      <c r="T16" s="1665"/>
      <c r="U16" s="1667"/>
      <c r="V16" s="1665"/>
      <c r="W16" s="1667"/>
      <c r="X16" s="1665"/>
      <c r="Y16" s="1668"/>
      <c r="Z16" s="1669"/>
      <c r="AA16" s="1665">
        <v>0.2</v>
      </c>
      <c r="AB16" s="3736"/>
      <c r="AC16" s="3737"/>
      <c r="AD16" s="1665">
        <v>0.9</v>
      </c>
      <c r="AE16" s="1670"/>
      <c r="AF16" s="1671"/>
      <c r="AG16" s="1672">
        <f>ROUND(SUM(AA16-AD16),1)</f>
        <v>-0.7</v>
      </c>
      <c r="AH16" s="1661"/>
      <c r="AI16" s="1929">
        <f>ROUND(IF(AD16=0,-1,AG16/ABS(AD16)),3)</f>
        <v>-0.77800000000000002</v>
      </c>
    </row>
    <row r="17" spans="1:35" s="388" customFormat="1" ht="24" customHeight="1">
      <c r="A17" s="246" t="s">
        <v>150</v>
      </c>
      <c r="B17" s="853">
        <f>ROUND(SUM(B16),1)</f>
        <v>0.2</v>
      </c>
      <c r="C17" s="379"/>
      <c r="D17" s="853">
        <f>ROUND(SUM(D16),1)</f>
        <v>0.1</v>
      </c>
      <c r="E17" s="379"/>
      <c r="F17" s="1699">
        <f>ROUND(SUM(F16),1)</f>
        <v>0.1</v>
      </c>
      <c r="G17" s="379"/>
      <c r="H17" s="853">
        <f>ROUND(SUM(H16),1)</f>
        <v>0.2</v>
      </c>
      <c r="I17" s="847"/>
      <c r="J17" s="3041">
        <f>ROUND(SUM(J16),1)</f>
        <v>-0.6</v>
      </c>
      <c r="K17" s="379"/>
      <c r="L17" s="853">
        <f>ROUND(SUM(L16),1)</f>
        <v>0</v>
      </c>
      <c r="M17" s="848"/>
      <c r="N17" s="853">
        <f>ROUND(SUM(N16),1)</f>
        <v>0.2</v>
      </c>
      <c r="O17" s="848"/>
      <c r="P17" s="853">
        <f>ROUND(SUM(P16),1)</f>
        <v>0</v>
      </c>
      <c r="Q17" s="848"/>
      <c r="R17" s="2110">
        <f>ROUND(SUM(R16),1)</f>
        <v>0</v>
      </c>
      <c r="S17" s="848"/>
      <c r="T17" s="853">
        <f>ROUND(SUM(T16),1)</f>
        <v>0</v>
      </c>
      <c r="U17" s="848"/>
      <c r="V17" s="2116">
        <f>ROUND(SUM(V16),1)</f>
        <v>0</v>
      </c>
      <c r="W17" s="848"/>
      <c r="X17" s="3295">
        <f>ROUND(SUM(X16),1)</f>
        <v>0</v>
      </c>
      <c r="Y17" s="3277"/>
      <c r="Z17" s="3278"/>
      <c r="AA17" s="3296">
        <f>ROUND(SUM(AA16),1)</f>
        <v>0.2</v>
      </c>
      <c r="AB17" s="3738"/>
      <c r="AC17" s="3739"/>
      <c r="AD17" s="1699">
        <f>ROUND(SUM(AD16),1)</f>
        <v>0.9</v>
      </c>
      <c r="AE17" s="3296"/>
      <c r="AF17" s="1671"/>
      <c r="AG17" s="3308">
        <f>ROUND(SUM(AG16),1)</f>
        <v>-0.7</v>
      </c>
      <c r="AH17" s="1164"/>
      <c r="AI17" s="1930">
        <f>ROUND(IF(AD17=0,-1,AG17/ABS(AD17)),3)</f>
        <v>-0.77800000000000002</v>
      </c>
    </row>
    <row r="18" spans="1:35" s="388" customFormat="1" ht="19.399999999999999" customHeight="1">
      <c r="A18" s="146"/>
      <c r="B18" s="378"/>
      <c r="C18" s="234"/>
      <c r="D18" s="378" t="s">
        <v>15</v>
      </c>
      <c r="E18" s="234"/>
      <c r="F18" s="2199"/>
      <c r="G18" s="234"/>
      <c r="H18" s="851"/>
      <c r="I18" s="843"/>
      <c r="J18" s="851"/>
      <c r="K18" s="234"/>
      <c r="L18" s="851"/>
      <c r="M18" s="843"/>
      <c r="N18" s="851"/>
      <c r="O18" s="843"/>
      <c r="P18" s="851"/>
      <c r="Q18" s="843"/>
      <c r="R18" s="851"/>
      <c r="S18" s="843"/>
      <c r="T18" s="851"/>
      <c r="U18" s="843"/>
      <c r="V18" s="851"/>
      <c r="W18" s="843"/>
      <c r="X18" s="3297"/>
      <c r="Y18" s="1668"/>
      <c r="Z18" s="1669"/>
      <c r="AA18" s="3740"/>
      <c r="AB18" s="3736"/>
      <c r="AC18" s="3741"/>
      <c r="AD18" s="3297"/>
      <c r="AE18" s="1688"/>
      <c r="AF18" s="1671"/>
      <c r="AG18" s="1688"/>
      <c r="AH18" s="1131"/>
      <c r="AI18" s="1130"/>
    </row>
    <row r="19" spans="1:35" s="388" customFormat="1" ht="19.399999999999999" customHeight="1">
      <c r="A19" s="146"/>
      <c r="B19" s="234"/>
      <c r="C19" s="234"/>
      <c r="D19" s="234" t="s">
        <v>15</v>
      </c>
      <c r="E19" s="234"/>
      <c r="F19" s="1578"/>
      <c r="G19" s="234"/>
      <c r="H19" s="843"/>
      <c r="I19" s="843"/>
      <c r="J19" s="843"/>
      <c r="K19" s="234"/>
      <c r="L19" s="843"/>
      <c r="M19" s="843"/>
      <c r="N19" s="843"/>
      <c r="O19" s="843"/>
      <c r="P19" s="843"/>
      <c r="Q19" s="843"/>
      <c r="R19" s="843"/>
      <c r="S19" s="843"/>
      <c r="T19" s="843"/>
      <c r="U19" s="843"/>
      <c r="V19" s="843"/>
      <c r="W19" s="843"/>
      <c r="X19" s="1667"/>
      <c r="Y19" s="1668"/>
      <c r="Z19" s="1669"/>
      <c r="AA19" s="3298"/>
      <c r="AB19" s="3736"/>
      <c r="AC19" s="3737"/>
      <c r="AD19" s="1667"/>
      <c r="AE19" s="3298"/>
      <c r="AF19" s="1671"/>
      <c r="AG19" s="1688"/>
      <c r="AH19" s="1131"/>
      <c r="AI19" s="1130"/>
    </row>
    <row r="20" spans="1:35" s="388" customFormat="1" ht="19.399999999999999" customHeight="1">
      <c r="A20" s="246" t="s">
        <v>23</v>
      </c>
      <c r="B20" s="234"/>
      <c r="C20" s="234"/>
      <c r="D20" s="234" t="s">
        <v>15</v>
      </c>
      <c r="E20" s="234"/>
      <c r="F20" s="1578"/>
      <c r="G20" s="234"/>
      <c r="H20" s="843"/>
      <c r="I20" s="843"/>
      <c r="J20" s="843"/>
      <c r="K20" s="234"/>
      <c r="L20" s="843"/>
      <c r="M20" s="843"/>
      <c r="N20" s="843"/>
      <c r="O20" s="843"/>
      <c r="P20" s="843"/>
      <c r="Q20" s="843"/>
      <c r="R20" s="843"/>
      <c r="S20" s="843"/>
      <c r="T20" s="843"/>
      <c r="U20" s="843"/>
      <c r="V20" s="843"/>
      <c r="W20" s="843"/>
      <c r="X20" s="1667"/>
      <c r="Y20" s="1668"/>
      <c r="Z20" s="1669"/>
      <c r="AA20" s="3298"/>
      <c r="AB20" s="3736"/>
      <c r="AC20" s="3737"/>
      <c r="AD20" s="1667"/>
      <c r="AE20" s="3298"/>
      <c r="AF20" s="1671"/>
      <c r="AG20" s="1688"/>
      <c r="AH20" s="1131"/>
      <c r="AI20" s="1130"/>
    </row>
    <row r="21" spans="1:35" s="388" customFormat="1" ht="19.399999999999999" customHeight="1">
      <c r="A21" s="146" t="s">
        <v>152</v>
      </c>
      <c r="B21" s="235"/>
      <c r="C21" s="234"/>
      <c r="D21" s="234"/>
      <c r="E21" s="234"/>
      <c r="F21" s="1578"/>
      <c r="G21" s="234"/>
      <c r="H21" s="843"/>
      <c r="I21" s="843"/>
      <c r="J21" s="843"/>
      <c r="K21" s="234"/>
      <c r="L21" s="843"/>
      <c r="M21" s="843"/>
      <c r="N21" s="843"/>
      <c r="O21" s="843"/>
      <c r="P21" s="843"/>
      <c r="Q21" s="843"/>
      <c r="R21" s="843"/>
      <c r="S21" s="843"/>
      <c r="T21" s="843"/>
      <c r="U21" s="843"/>
      <c r="V21" s="843"/>
      <c r="W21" s="843"/>
      <c r="X21" s="1667"/>
      <c r="Y21" s="1668"/>
      <c r="Z21" s="1669"/>
      <c r="AA21" s="1679"/>
      <c r="AB21" s="3742"/>
      <c r="AC21" s="3743"/>
      <c r="AD21" s="1667"/>
      <c r="AE21" s="1679"/>
      <c r="AF21" s="1677"/>
      <c r="AG21" s="1688"/>
      <c r="AH21" s="1131"/>
      <c r="AI21" s="1130"/>
    </row>
    <row r="22" spans="1:35" s="1663" customFormat="1" ht="19.399999999999999" customHeight="1">
      <c r="A22" s="190" t="s">
        <v>218</v>
      </c>
      <c r="B22" s="852">
        <v>0</v>
      </c>
      <c r="C22" s="234"/>
      <c r="D22" s="852">
        <v>0</v>
      </c>
      <c r="E22" s="234"/>
      <c r="F22" s="1687">
        <v>0</v>
      </c>
      <c r="G22" s="234"/>
      <c r="H22" s="852">
        <v>0.1</v>
      </c>
      <c r="I22" s="1667"/>
      <c r="J22" s="1687">
        <v>0</v>
      </c>
      <c r="K22" s="1578"/>
      <c r="L22" s="852">
        <v>0</v>
      </c>
      <c r="M22" s="1667"/>
      <c r="N22" s="1687">
        <f t="shared" ref="N22:N24" si="0">$AA22-$B22-$D22-$F22-$H22-$J22-$L22</f>
        <v>0.1</v>
      </c>
      <c r="O22" s="1667"/>
      <c r="P22" s="1687"/>
      <c r="Q22" s="1667"/>
      <c r="R22" s="1687"/>
      <c r="S22" s="1667"/>
      <c r="T22" s="1687"/>
      <c r="U22" s="1667"/>
      <c r="V22" s="1687"/>
      <c r="W22" s="1667"/>
      <c r="X22" s="1687"/>
      <c r="Y22" s="1668"/>
      <c r="Z22" s="1669"/>
      <c r="AA22" s="1674">
        <v>0.2</v>
      </c>
      <c r="AB22" s="3736"/>
      <c r="AC22" s="3737"/>
      <c r="AD22" s="1674">
        <v>0.1</v>
      </c>
      <c r="AE22" s="1676"/>
      <c r="AF22" s="1677"/>
      <c r="AG22" s="1672">
        <f>ROUND(SUM(AA22-AD22),1)</f>
        <v>0.1</v>
      </c>
      <c r="AH22" s="1661"/>
      <c r="AI22" s="1678">
        <f>ROUND(IF(AD22=0,0,AG22/ABS(AD22)),3)</f>
        <v>1</v>
      </c>
    </row>
    <row r="23" spans="1:35" s="1663" customFormat="1" ht="19.399999999999999" customHeight="1">
      <c r="A23" s="1664" t="s">
        <v>170</v>
      </c>
      <c r="B23" s="852">
        <v>0</v>
      </c>
      <c r="C23" s="234"/>
      <c r="D23" s="852">
        <v>0</v>
      </c>
      <c r="E23" s="234"/>
      <c r="F23" s="1687">
        <v>0</v>
      </c>
      <c r="G23" s="234"/>
      <c r="H23" s="852">
        <v>0</v>
      </c>
      <c r="I23" s="1667"/>
      <c r="J23" s="1687">
        <v>0</v>
      </c>
      <c r="K23" s="1578"/>
      <c r="L23" s="852">
        <v>0</v>
      </c>
      <c r="M23" s="1667"/>
      <c r="N23" s="1687">
        <f t="shared" si="0"/>
        <v>0</v>
      </c>
      <c r="O23" s="1674"/>
      <c r="P23" s="1687"/>
      <c r="Q23" s="1667"/>
      <c r="R23" s="1687"/>
      <c r="S23" s="1667"/>
      <c r="T23" s="1687"/>
      <c r="U23" s="1667"/>
      <c r="V23" s="1687"/>
      <c r="W23" s="1667"/>
      <c r="X23" s="1687"/>
      <c r="Y23" s="1668"/>
      <c r="Z23" s="1669"/>
      <c r="AA23" s="1674">
        <v>0</v>
      </c>
      <c r="AB23" s="3736"/>
      <c r="AC23" s="3737"/>
      <c r="AD23" s="1674">
        <v>0</v>
      </c>
      <c r="AE23" s="1679"/>
      <c r="AF23" s="1677"/>
      <c r="AG23" s="1672">
        <f>ROUND(SUM(AA23-AD23),1)</f>
        <v>0</v>
      </c>
      <c r="AH23" s="1680"/>
      <c r="AI23" s="1673">
        <f>ROUND(IF(AG23=0,0,AG23/ABS(AD23)),3)</f>
        <v>0</v>
      </c>
    </row>
    <row r="24" spans="1:35" s="1663" customFormat="1" ht="19.399999999999999" customHeight="1">
      <c r="A24" s="190" t="s">
        <v>155</v>
      </c>
      <c r="B24" s="852">
        <v>0.1</v>
      </c>
      <c r="C24" s="234"/>
      <c r="D24" s="852">
        <v>0</v>
      </c>
      <c r="E24" s="234"/>
      <c r="F24" s="1687">
        <v>0</v>
      </c>
      <c r="G24" s="234"/>
      <c r="H24" s="1845">
        <v>0</v>
      </c>
      <c r="I24" s="1667"/>
      <c r="J24" s="1665">
        <v>0</v>
      </c>
      <c r="K24" s="1578"/>
      <c r="L24" s="1845">
        <v>0</v>
      </c>
      <c r="M24" s="1667"/>
      <c r="N24" s="1687">
        <f t="shared" si="0"/>
        <v>0</v>
      </c>
      <c r="O24" s="1667"/>
      <c r="P24" s="1665"/>
      <c r="Q24" s="1667"/>
      <c r="R24" s="1687"/>
      <c r="S24" s="1667"/>
      <c r="T24" s="1687"/>
      <c r="U24" s="1667"/>
      <c r="V24" s="1687"/>
      <c r="W24" s="1667"/>
      <c r="X24" s="1687"/>
      <c r="Y24" s="1668"/>
      <c r="Z24" s="1669"/>
      <c r="AA24" s="3744">
        <v>0.1</v>
      </c>
      <c r="AB24" s="3736"/>
      <c r="AC24" s="3737"/>
      <c r="AD24" s="3744">
        <v>0.1</v>
      </c>
      <c r="AE24" s="1675"/>
      <c r="AF24" s="1677"/>
      <c r="AG24" s="1672">
        <f>ROUND(SUM(AA24-AD24),1)</f>
        <v>0</v>
      </c>
      <c r="AH24" s="1661"/>
      <c r="AI24" s="1673">
        <f>ROUND(IF(AG24=0,0,AG24/ABS(AD24)),3)</f>
        <v>0</v>
      </c>
    </row>
    <row r="25" spans="1:35" s="388" customFormat="1" ht="22.5" customHeight="1">
      <c r="A25" s="246" t="s">
        <v>156</v>
      </c>
      <c r="B25" s="2117">
        <f>ROUND(SUM(B22:B24),1)</f>
        <v>0.1</v>
      </c>
      <c r="C25" s="379"/>
      <c r="D25" s="2134">
        <f>ROUND(SUM(D22:D24),1)</f>
        <v>0</v>
      </c>
      <c r="E25" s="379"/>
      <c r="F25" s="3735">
        <f>ROUND(SUM(F22:F24),1)</f>
        <v>0</v>
      </c>
      <c r="G25" s="379"/>
      <c r="H25" s="865">
        <f>ROUND(SUM(H22:H24),1)</f>
        <v>0.1</v>
      </c>
      <c r="I25" s="848"/>
      <c r="J25" s="2117">
        <f>ROUND(SUM(J22:J24),1)</f>
        <v>0</v>
      </c>
      <c r="K25" s="379"/>
      <c r="L25" s="2117">
        <f>ROUND(SUM(L22:L24),1)</f>
        <v>0</v>
      </c>
      <c r="M25" s="848"/>
      <c r="N25" s="1974">
        <f>ROUND(SUM(N22:N24),1)</f>
        <v>0.1</v>
      </c>
      <c r="O25" s="857"/>
      <c r="P25" s="865">
        <f>ROUND(SUM(P22:P24),1)</f>
        <v>0</v>
      </c>
      <c r="Q25" s="848"/>
      <c r="R25" s="2117">
        <f>ROUND(SUM(R22:R24),1)</f>
        <v>0</v>
      </c>
      <c r="S25" s="848"/>
      <c r="T25" s="2134">
        <f>ROUND(SUM(T22:T24),1)</f>
        <v>0</v>
      </c>
      <c r="U25" s="857"/>
      <c r="V25" s="2117">
        <f>ROUND(SUM(V22:V24),1)</f>
        <v>0</v>
      </c>
      <c r="W25" s="857"/>
      <c r="X25" s="3299">
        <f>ROUND(SUM(X22:X24),1)</f>
        <v>0</v>
      </c>
      <c r="Y25" s="3277"/>
      <c r="Z25" s="3278"/>
      <c r="AA25" s="3300">
        <f>ROUND(SUM(AA22:AA24),1)</f>
        <v>0.3</v>
      </c>
      <c r="AB25" s="3738"/>
      <c r="AC25" s="3739"/>
      <c r="AD25" s="2198">
        <f>ROUND(SUM(AD22:AD24),1)</f>
        <v>0.2</v>
      </c>
      <c r="AE25" s="3300"/>
      <c r="AF25" s="1677"/>
      <c r="AG25" s="3308">
        <f>ROUND(SUM(AG22:AG24),1)</f>
        <v>0.1</v>
      </c>
      <c r="AH25" s="1142"/>
      <c r="AI25" s="1165">
        <f>ROUND(IF(AD25=0,0,AG25/ABS(AD25)),3)</f>
        <v>0.5</v>
      </c>
    </row>
    <row r="26" spans="1:35" s="388" customFormat="1" ht="19.399999999999999" customHeight="1">
      <c r="A26" s="146"/>
      <c r="B26" s="378"/>
      <c r="C26" s="234"/>
      <c r="D26" s="378" t="s">
        <v>15</v>
      </c>
      <c r="E26" s="234"/>
      <c r="F26" s="2199"/>
      <c r="G26" s="234"/>
      <c r="H26" s="851"/>
      <c r="I26" s="843"/>
      <c r="J26" s="851"/>
      <c r="K26" s="234"/>
      <c r="L26" s="851"/>
      <c r="M26" s="843"/>
      <c r="N26" s="851"/>
      <c r="O26" s="843"/>
      <c r="P26" s="851"/>
      <c r="Q26" s="843"/>
      <c r="R26" s="851"/>
      <c r="S26" s="843"/>
      <c r="T26" s="851"/>
      <c r="U26" s="843"/>
      <c r="V26" s="851"/>
      <c r="W26" s="843"/>
      <c r="X26" s="3297"/>
      <c r="Y26" s="1668"/>
      <c r="Z26" s="1669"/>
      <c r="AA26" s="3740"/>
      <c r="AB26" s="3736"/>
      <c r="AC26" s="3741"/>
      <c r="AD26" s="3297"/>
      <c r="AE26" s="1688"/>
      <c r="AF26" s="1671"/>
      <c r="AG26" s="1688"/>
      <c r="AH26" s="1131"/>
      <c r="AI26" s="1130"/>
    </row>
    <row r="27" spans="1:35" s="388" customFormat="1" ht="19.399999999999999" customHeight="1">
      <c r="A27" s="246" t="s">
        <v>157</v>
      </c>
      <c r="B27" s="234"/>
      <c r="C27" s="234"/>
      <c r="D27" s="238" t="s">
        <v>15</v>
      </c>
      <c r="E27" s="234"/>
      <c r="F27" s="1578"/>
      <c r="G27" s="234"/>
      <c r="H27" s="843"/>
      <c r="I27" s="843"/>
      <c r="J27" s="843"/>
      <c r="K27" s="234"/>
      <c r="L27" s="843"/>
      <c r="M27" s="843"/>
      <c r="N27" s="843"/>
      <c r="O27" s="843"/>
      <c r="P27" s="843"/>
      <c r="Q27" s="843"/>
      <c r="R27" s="843"/>
      <c r="S27" s="843"/>
      <c r="T27" s="843"/>
      <c r="U27" s="843"/>
      <c r="V27" s="843"/>
      <c r="W27" s="843"/>
      <c r="X27" s="1667"/>
      <c r="Y27" s="1668"/>
      <c r="Z27" s="1669"/>
      <c r="AA27" s="3298"/>
      <c r="AB27" s="3736"/>
      <c r="AC27" s="3737"/>
      <c r="AD27" s="1667"/>
      <c r="AE27" s="3298"/>
      <c r="AF27" s="1671"/>
      <c r="AG27" s="1688"/>
      <c r="AH27" s="1131"/>
      <c r="AI27" s="1131"/>
    </row>
    <row r="28" spans="1:35" s="388" customFormat="1" ht="18.75" customHeight="1">
      <c r="A28" s="246" t="s">
        <v>45</v>
      </c>
      <c r="B28" s="855">
        <f>ROUND(B17-B25,1)</f>
        <v>0.1</v>
      </c>
      <c r="C28" s="379"/>
      <c r="D28" s="855">
        <f>ROUND(D17-D25,1)</f>
        <v>0.1</v>
      </c>
      <c r="E28" s="866"/>
      <c r="F28" s="3279">
        <f>ROUND(F17-F25,1)</f>
        <v>0.1</v>
      </c>
      <c r="G28" s="866"/>
      <c r="H28" s="855">
        <f>ROUND(H17-H25,1)</f>
        <v>0.1</v>
      </c>
      <c r="I28" s="867"/>
      <c r="J28" s="855">
        <f>ROUND(J17-J25,1)</f>
        <v>-0.6</v>
      </c>
      <c r="K28" s="866"/>
      <c r="L28" s="855">
        <f>ROUND(L17-L25,1)</f>
        <v>0</v>
      </c>
      <c r="M28" s="868"/>
      <c r="N28" s="855">
        <f>ROUND(N17-N25,1)</f>
        <v>0.1</v>
      </c>
      <c r="O28" s="868"/>
      <c r="P28" s="855">
        <f>ROUND(P17-P25,1)</f>
        <v>0</v>
      </c>
      <c r="Q28" s="868"/>
      <c r="R28" s="855">
        <f>ROUND(R17-R25,1)</f>
        <v>0</v>
      </c>
      <c r="S28" s="868"/>
      <c r="T28" s="855">
        <f>ROUND(T17-T25,1)</f>
        <v>0</v>
      </c>
      <c r="U28" s="868"/>
      <c r="V28" s="855">
        <f>ROUND(V17-V25,1)</f>
        <v>0</v>
      </c>
      <c r="W28" s="868"/>
      <c r="X28" s="3279">
        <f>ROUND(X17-X25,1)</f>
        <v>0</v>
      </c>
      <c r="Y28" s="3277"/>
      <c r="Z28" s="3278"/>
      <c r="AA28" s="3745">
        <f>ROUND(AA17-AA25,1)</f>
        <v>-0.1</v>
      </c>
      <c r="AB28" s="3738"/>
      <c r="AC28" s="3746"/>
      <c r="AD28" s="3279">
        <f>ROUND(AD17-AD25,1)</f>
        <v>0.7</v>
      </c>
      <c r="AE28" s="3301"/>
      <c r="AF28" s="1677"/>
      <c r="AG28" s="3245">
        <f>ROUND(SUM(AG17-AG25),1)</f>
        <v>-0.8</v>
      </c>
      <c r="AH28" s="1142"/>
      <c r="AI28" s="2121">
        <f>ROUND(IF(AD28=0,-1,AG28/ABS(AD28)),3)</f>
        <v>-1.143</v>
      </c>
    </row>
    <row r="29" spans="1:35" s="388" customFormat="1" ht="19.399999999999999" customHeight="1">
      <c r="A29" s="146"/>
      <c r="B29" s="238"/>
      <c r="C29" s="234"/>
      <c r="D29" s="238" t="s">
        <v>15</v>
      </c>
      <c r="E29" s="234"/>
      <c r="F29" s="1672"/>
      <c r="G29" s="234"/>
      <c r="H29" s="842"/>
      <c r="I29" s="843"/>
      <c r="J29" s="842"/>
      <c r="K29" s="234"/>
      <c r="L29" s="842"/>
      <c r="M29" s="843"/>
      <c r="N29" s="851"/>
      <c r="O29" s="843"/>
      <c r="P29" s="842"/>
      <c r="Q29" s="843"/>
      <c r="R29" s="842"/>
      <c r="S29" s="843"/>
      <c r="T29" s="842"/>
      <c r="U29" s="843"/>
      <c r="V29" s="842"/>
      <c r="W29" s="843"/>
      <c r="X29" s="3297"/>
      <c r="Y29" s="1668"/>
      <c r="Z29" s="1669"/>
      <c r="AA29" s="1688"/>
      <c r="AB29" s="3736"/>
      <c r="AC29" s="3741"/>
      <c r="AD29" s="1666"/>
      <c r="AE29" s="1688"/>
      <c r="AF29" s="1682"/>
      <c r="AG29" s="1688"/>
      <c r="AH29" s="1131"/>
      <c r="AI29" s="1130"/>
    </row>
    <row r="30" spans="1:35" s="388" customFormat="1" ht="19.399999999999999" customHeight="1">
      <c r="A30" s="246" t="s">
        <v>46</v>
      </c>
      <c r="B30" s="234"/>
      <c r="C30" s="234"/>
      <c r="D30" s="234"/>
      <c r="E30" s="234"/>
      <c r="F30" s="1578"/>
      <c r="G30" s="234"/>
      <c r="H30" s="843"/>
      <c r="I30" s="843"/>
      <c r="J30" s="843"/>
      <c r="K30" s="234"/>
      <c r="L30" s="843"/>
      <c r="M30" s="843"/>
      <c r="N30" s="843"/>
      <c r="O30" s="843"/>
      <c r="P30" s="843"/>
      <c r="Q30" s="843"/>
      <c r="R30" s="843"/>
      <c r="S30" s="843"/>
      <c r="T30" s="843"/>
      <c r="U30" s="843"/>
      <c r="V30" s="843"/>
      <c r="W30" s="843"/>
      <c r="X30" s="1667"/>
      <c r="Y30" s="1668"/>
      <c r="Z30" s="1669"/>
      <c r="AA30" s="3298"/>
      <c r="AB30" s="3736"/>
      <c r="AC30" s="3737"/>
      <c r="AD30" s="1667"/>
      <c r="AE30" s="3298"/>
      <c r="AF30" s="1682"/>
      <c r="AG30" s="1688"/>
      <c r="AH30" s="1131"/>
      <c r="AI30" s="1130"/>
    </row>
    <row r="31" spans="1:35" s="1663" customFormat="1" ht="19.399999999999999" customHeight="1">
      <c r="A31" s="190" t="s">
        <v>181</v>
      </c>
      <c r="B31" s="852">
        <v>0</v>
      </c>
      <c r="C31" s="234"/>
      <c r="D31" s="852">
        <v>0</v>
      </c>
      <c r="E31" s="234"/>
      <c r="F31" s="1687">
        <v>0</v>
      </c>
      <c r="G31" s="234"/>
      <c r="H31" s="852">
        <v>0</v>
      </c>
      <c r="I31" s="1667"/>
      <c r="J31" s="1687">
        <v>0</v>
      </c>
      <c r="K31" s="1578"/>
      <c r="L31" s="852">
        <v>0</v>
      </c>
      <c r="M31" s="1667"/>
      <c r="N31" s="1687">
        <f t="shared" ref="N31:N32" si="1">$AA31-$B31-$D31-$F31-$H31-$J31-$L31</f>
        <v>0</v>
      </c>
      <c r="O31" s="1667"/>
      <c r="P31" s="1687"/>
      <c r="Q31" s="1667"/>
      <c r="R31" s="1687"/>
      <c r="S31" s="1667"/>
      <c r="T31" s="1687"/>
      <c r="U31" s="1667"/>
      <c r="V31" s="1687"/>
      <c r="W31" s="1667"/>
      <c r="X31" s="1687"/>
      <c r="Y31" s="1668"/>
      <c r="Z31" s="1669"/>
      <c r="AA31" s="1674">
        <v>0</v>
      </c>
      <c r="AB31" s="3736"/>
      <c r="AC31" s="3737"/>
      <c r="AD31" s="1674">
        <v>0</v>
      </c>
      <c r="AE31" s="1679"/>
      <c r="AF31" s="1681"/>
      <c r="AG31" s="1672">
        <f>ROUND(SUM(AA31-AD31),1)</f>
        <v>0</v>
      </c>
      <c r="AH31" s="1680"/>
      <c r="AI31" s="1673">
        <f>ROUND(IF(AG31=0,0,AG31/ABS(AD31)),3)</f>
        <v>0</v>
      </c>
    </row>
    <row r="32" spans="1:35" s="1663" customFormat="1" ht="19.399999999999999" customHeight="1">
      <c r="A32" s="190" t="s">
        <v>182</v>
      </c>
      <c r="B32" s="852">
        <v>0</v>
      </c>
      <c r="C32" s="234"/>
      <c r="D32" s="852">
        <v>0</v>
      </c>
      <c r="E32" s="234"/>
      <c r="F32" s="1687">
        <v>0</v>
      </c>
      <c r="G32" s="234"/>
      <c r="H32" s="852">
        <v>0</v>
      </c>
      <c r="I32" s="1667"/>
      <c r="J32" s="1665">
        <v>0</v>
      </c>
      <c r="K32" s="1578"/>
      <c r="L32" s="852">
        <v>0</v>
      </c>
      <c r="M32" s="1666"/>
      <c r="N32" s="1687">
        <f t="shared" si="1"/>
        <v>0</v>
      </c>
      <c r="O32" s="1665"/>
      <c r="P32" s="1687"/>
      <c r="Q32" s="1666"/>
      <c r="R32" s="1687"/>
      <c r="S32" s="1666"/>
      <c r="T32" s="1687"/>
      <c r="U32" s="1666"/>
      <c r="V32" s="1687"/>
      <c r="W32" s="1666"/>
      <c r="X32" s="1687"/>
      <c r="Y32" s="1668"/>
      <c r="Z32" s="1669"/>
      <c r="AA32" s="1674">
        <v>0</v>
      </c>
      <c r="AB32" s="3747"/>
      <c r="AC32" s="3748"/>
      <c r="AD32" s="1674">
        <v>0</v>
      </c>
      <c r="AE32" s="1679"/>
      <c r="AF32" s="1682"/>
      <c r="AG32" s="1672">
        <f>ROUND(SUM(AA32-AD32),1)</f>
        <v>0</v>
      </c>
      <c r="AH32" s="1680"/>
      <c r="AI32" s="1673">
        <f>ROUND(IF(AG32=0,0,AG32/ABS(AD32)),3)</f>
        <v>0</v>
      </c>
    </row>
    <row r="33" spans="1:35" s="388" customFormat="1" ht="22.5" customHeight="1">
      <c r="A33" s="246" t="s">
        <v>207</v>
      </c>
      <c r="B33" s="869">
        <f>ROUND(SUM(B31:B32),1)</f>
        <v>0</v>
      </c>
      <c r="C33" s="379"/>
      <c r="D33" s="869">
        <f>ROUND(SUM(D31:D32),1)</f>
        <v>0</v>
      </c>
      <c r="E33" s="379"/>
      <c r="F33" s="3280">
        <f>ROUND(SUM(F31:F32),1)</f>
        <v>0</v>
      </c>
      <c r="G33" s="379"/>
      <c r="H33" s="869">
        <f>ROUND(SUM(H31:H32),1)</f>
        <v>0</v>
      </c>
      <c r="I33" s="848"/>
      <c r="J33" s="869">
        <f>ROUND(SUM(J31:J32),1)</f>
        <v>0</v>
      </c>
      <c r="K33" s="379"/>
      <c r="L33" s="869">
        <f>ROUND(SUM(L31:L32),1)</f>
        <v>0</v>
      </c>
      <c r="M33" s="848"/>
      <c r="N33" s="869">
        <f>ROUND(SUM(N31:N32),1)</f>
        <v>0</v>
      </c>
      <c r="O33" s="848"/>
      <c r="P33" s="869">
        <f>ROUND(SUM(P31:P32),1)</f>
        <v>0</v>
      </c>
      <c r="Q33" s="870"/>
      <c r="R33" s="869">
        <f>ROUND(SUM(R31:R32),1)</f>
        <v>0</v>
      </c>
      <c r="S33" s="848"/>
      <c r="T33" s="869">
        <f>ROUND(SUM(T31:T32),1)</f>
        <v>0</v>
      </c>
      <c r="U33" s="848"/>
      <c r="V33" s="869">
        <f>ROUND(SUM(V31:V32),1)</f>
        <v>0</v>
      </c>
      <c r="W33" s="848"/>
      <c r="X33" s="3280">
        <f>ROUND(SUM(X31:X32),1)</f>
        <v>0</v>
      </c>
      <c r="Y33" s="3277"/>
      <c r="Z33" s="3278"/>
      <c r="AA33" s="3749">
        <f>ROUND(SUM(AA31:AA32),1)</f>
        <v>0</v>
      </c>
      <c r="AB33" s="3750"/>
      <c r="AC33" s="3751"/>
      <c r="AD33" s="3280">
        <f>ROUND(SUM(AD31:AD32),1)</f>
        <v>0</v>
      </c>
      <c r="AE33" s="3309"/>
      <c r="AF33" s="1681"/>
      <c r="AG33" s="3308">
        <f>ROUND(SUM(AG31-AG32),1)</f>
        <v>0</v>
      </c>
      <c r="AH33" s="1149"/>
      <c r="AI33" s="1165">
        <f>ROUND(IF(AG33=0,0,AG33/ABS(AD33)),3)</f>
        <v>0</v>
      </c>
    </row>
    <row r="34" spans="1:35" s="388" customFormat="1" ht="19.399999999999999" customHeight="1">
      <c r="A34" s="146"/>
      <c r="B34" s="378"/>
      <c r="C34" s="234"/>
      <c r="D34" s="378" t="s">
        <v>15</v>
      </c>
      <c r="E34" s="234"/>
      <c r="F34" s="2199"/>
      <c r="G34" s="234"/>
      <c r="H34" s="851"/>
      <c r="I34" s="843"/>
      <c r="J34" s="851"/>
      <c r="K34" s="234"/>
      <c r="L34" s="851"/>
      <c r="M34" s="843"/>
      <c r="N34" s="851"/>
      <c r="O34" s="843"/>
      <c r="P34" s="851"/>
      <c r="Q34" s="843"/>
      <c r="R34" s="851"/>
      <c r="S34" s="843"/>
      <c r="T34" s="851"/>
      <c r="U34" s="843"/>
      <c r="V34" s="851"/>
      <c r="W34" s="843"/>
      <c r="X34" s="3297"/>
      <c r="Y34" s="1668"/>
      <c r="Z34" s="1669"/>
      <c r="AA34" s="3740"/>
      <c r="AB34" s="3736"/>
      <c r="AC34" s="3741"/>
      <c r="AD34" s="3297"/>
      <c r="AE34" s="1688"/>
      <c r="AF34" s="1671"/>
      <c r="AG34" s="1688"/>
      <c r="AH34" s="1131"/>
      <c r="AI34" s="1130"/>
    </row>
    <row r="35" spans="1:35" s="388" customFormat="1" ht="19.399999999999999" customHeight="1">
      <c r="A35" s="246" t="s">
        <v>165</v>
      </c>
      <c r="B35" s="234"/>
      <c r="C35" s="234"/>
      <c r="D35" s="234" t="s">
        <v>15</v>
      </c>
      <c r="E35" s="234"/>
      <c r="F35" s="1578"/>
      <c r="G35" s="234"/>
      <c r="H35" s="843"/>
      <c r="I35" s="843"/>
      <c r="J35" s="843"/>
      <c r="K35" s="234"/>
      <c r="L35" s="843"/>
      <c r="M35" s="843"/>
      <c r="N35" s="843"/>
      <c r="O35" s="843"/>
      <c r="P35" s="843"/>
      <c r="Q35" s="843"/>
      <c r="R35" s="843"/>
      <c r="S35" s="843"/>
      <c r="T35" s="843"/>
      <c r="U35" s="843"/>
      <c r="V35" s="843"/>
      <c r="W35" s="843"/>
      <c r="X35" s="1667"/>
      <c r="Y35" s="1668"/>
      <c r="Z35" s="1669"/>
      <c r="AA35" s="3298"/>
      <c r="AB35" s="3736"/>
      <c r="AC35" s="3737"/>
      <c r="AD35" s="1667"/>
      <c r="AE35" s="3298"/>
      <c r="AF35" s="1671"/>
      <c r="AG35" s="1688"/>
      <c r="AH35" s="1131"/>
      <c r="AI35" s="1130"/>
    </row>
    <row r="36" spans="1:35" s="388" customFormat="1" ht="19.399999999999999" customHeight="1">
      <c r="A36" s="246" t="s">
        <v>226</v>
      </c>
      <c r="B36" s="234"/>
      <c r="C36" s="234"/>
      <c r="D36" s="234"/>
      <c r="E36" s="234"/>
      <c r="F36" s="1578"/>
      <c r="G36" s="234"/>
      <c r="H36" s="843"/>
      <c r="I36" s="843"/>
      <c r="J36" s="843"/>
      <c r="K36" s="234"/>
      <c r="L36" s="843"/>
      <c r="M36" s="843"/>
      <c r="N36" s="843"/>
      <c r="O36" s="843"/>
      <c r="P36" s="843"/>
      <c r="Q36" s="843"/>
      <c r="R36" s="843"/>
      <c r="S36" s="843"/>
      <c r="T36" s="843"/>
      <c r="U36" s="843"/>
      <c r="V36" s="842"/>
      <c r="W36" s="843"/>
      <c r="X36" s="1667"/>
      <c r="Y36" s="1668"/>
      <c r="Z36" s="1669"/>
      <c r="AA36" s="3298"/>
      <c r="AB36" s="3736"/>
      <c r="AC36" s="3737"/>
      <c r="AD36" s="1667"/>
      <c r="AE36" s="3310"/>
      <c r="AF36" s="1709"/>
      <c r="AG36" s="1688"/>
      <c r="AH36" s="1131"/>
      <c r="AI36" s="1131"/>
    </row>
    <row r="37" spans="1:35" s="390" customFormat="1" ht="19.399999999999999" customHeight="1">
      <c r="A37" s="246" t="s">
        <v>167</v>
      </c>
      <c r="B37" s="853">
        <f>ROUND(B28+B33,1)</f>
        <v>0.1</v>
      </c>
      <c r="C37" s="379"/>
      <c r="D37" s="853">
        <f>ROUND(D28+D33,1)</f>
        <v>0.1</v>
      </c>
      <c r="E37" s="381"/>
      <c r="F37" s="1699">
        <f>ROUND(F28+F33,1)</f>
        <v>0.1</v>
      </c>
      <c r="G37" s="381"/>
      <c r="H37" s="853">
        <f>ROUND(H28+H33,1)</f>
        <v>0.1</v>
      </c>
      <c r="I37" s="857"/>
      <c r="J37" s="853">
        <f>ROUND(J28+J33,1)</f>
        <v>-0.6</v>
      </c>
      <c r="K37" s="381"/>
      <c r="L37" s="853">
        <f>ROUND(L28+L33,1)</f>
        <v>0</v>
      </c>
      <c r="M37" s="858"/>
      <c r="N37" s="853">
        <f>ROUND(N28+N33,1)</f>
        <v>0.1</v>
      </c>
      <c r="O37" s="858"/>
      <c r="P37" s="853">
        <f>ROUND(P28+P33,1)</f>
        <v>0</v>
      </c>
      <c r="Q37" s="858"/>
      <c r="R37" s="853">
        <f>ROUND(R28+R33,1)</f>
        <v>0</v>
      </c>
      <c r="S37" s="857"/>
      <c r="T37" s="853">
        <f>ROUND(T28+T33,1)</f>
        <v>0</v>
      </c>
      <c r="U37" s="857"/>
      <c r="V37" s="853">
        <f>ROUND(V28+V33,1)</f>
        <v>0</v>
      </c>
      <c r="W37" s="857"/>
      <c r="X37" s="1699">
        <f>ROUND(X28+X33,1)</f>
        <v>0</v>
      </c>
      <c r="Y37" s="3277"/>
      <c r="Z37" s="3278"/>
      <c r="AA37" s="3301">
        <f>ROUND(AA28+AA33,1)</f>
        <v>-0.1</v>
      </c>
      <c r="AB37" s="3302"/>
      <c r="AC37" s="3752"/>
      <c r="AD37" s="1699">
        <f>ROUND(AD28+AD33,1)</f>
        <v>0.7</v>
      </c>
      <c r="AE37" s="3301"/>
      <c r="AF37" s="2205"/>
      <c r="AG37" s="3302">
        <f>ROUND(SUM(AG28+AG33),1)</f>
        <v>-0.8</v>
      </c>
      <c r="AH37" s="1122"/>
      <c r="AI37" s="2121">
        <f>ROUND(IF(AD37=0,-1,AG37/ABS(AD37)),3)</f>
        <v>-1.143</v>
      </c>
    </row>
    <row r="38" spans="1:35" s="388" customFormat="1" ht="22.5" customHeight="1" thickBot="1">
      <c r="A38" s="246" t="s">
        <v>141</v>
      </c>
      <c r="B38" s="859">
        <f>ROUND(SUM(B13,B37),1)</f>
        <v>14.4</v>
      </c>
      <c r="C38" s="374"/>
      <c r="D38" s="859">
        <f>ROUND(SUM(D13,D37),1)</f>
        <v>14.5</v>
      </c>
      <c r="E38" s="374"/>
      <c r="F38" s="3281">
        <f>ROUND(SUM(F13,F37),1)</f>
        <v>14.6</v>
      </c>
      <c r="G38" s="374"/>
      <c r="H38" s="859">
        <f>ROUND(SUM(H13,H37),1)</f>
        <v>14.7</v>
      </c>
      <c r="I38" s="860"/>
      <c r="J38" s="859">
        <f>ROUND(SUM(J13,J37),1)</f>
        <v>14.1</v>
      </c>
      <c r="K38" s="374"/>
      <c r="L38" s="859">
        <f>ROUND(SUM(L13,L37),1)</f>
        <v>14.1</v>
      </c>
      <c r="M38" s="375"/>
      <c r="N38" s="859">
        <f>ROUND(SUM(N13,N37),1)</f>
        <v>14.2</v>
      </c>
      <c r="O38" s="375"/>
      <c r="P38" s="859">
        <f>ROUND(SUM(P13,P37),1)</f>
        <v>0</v>
      </c>
      <c r="Q38" s="375"/>
      <c r="R38" s="859">
        <f>ROUND(SUM(R13,R37),1)</f>
        <v>0</v>
      </c>
      <c r="S38" s="860"/>
      <c r="T38" s="859">
        <f>ROUND(SUM(T13,T37),1)</f>
        <v>0</v>
      </c>
      <c r="U38" s="860"/>
      <c r="V38" s="859">
        <f>ROUND(SUM(V13,V37),1)</f>
        <v>0</v>
      </c>
      <c r="W38" s="860"/>
      <c r="X38" s="3281">
        <f>ROUND(SUM(X13,X37),1)</f>
        <v>0</v>
      </c>
      <c r="Y38" s="1656"/>
      <c r="Z38" s="1657"/>
      <c r="AA38" s="3753">
        <f>ROUND(SUM(AA13,AA37),1)</f>
        <v>14.2</v>
      </c>
      <c r="AB38" s="1660"/>
      <c r="AC38" s="3754"/>
      <c r="AD38" s="3311">
        <f>ROUND(SUM(AD13,AD37),1)</f>
        <v>13.9</v>
      </c>
      <c r="AE38" s="1660"/>
      <c r="AF38" s="2207"/>
      <c r="AG38" s="3311">
        <f>ROUND(SUM(AA38-AD38),1)</f>
        <v>0.3</v>
      </c>
      <c r="AH38" s="1148"/>
      <c r="AI38" s="1167">
        <f>ROUND(IF(AG38=0,0,AG38/ABS(AD38)),3)</f>
        <v>2.1999999999999999E-2</v>
      </c>
    </row>
    <row r="39" spans="1:35" s="388" customFormat="1" ht="19.399999999999999" customHeight="1" thickTop="1">
      <c r="A39" s="146" t="s">
        <v>15</v>
      </c>
      <c r="B39" s="861"/>
      <c r="C39" s="862"/>
      <c r="D39" s="861"/>
      <c r="E39" s="862"/>
      <c r="F39" s="3282"/>
      <c r="G39" s="862"/>
      <c r="H39" s="861"/>
      <c r="I39" s="862"/>
      <c r="J39" s="861"/>
      <c r="K39" s="862"/>
      <c r="L39" s="861"/>
      <c r="M39" s="862"/>
      <c r="N39" s="861"/>
      <c r="O39" s="862"/>
      <c r="P39" s="861"/>
      <c r="Q39" s="862"/>
      <c r="R39" s="861"/>
      <c r="S39" s="862"/>
      <c r="T39" s="861"/>
      <c r="U39" s="862"/>
      <c r="V39" s="861"/>
      <c r="W39" s="862"/>
      <c r="X39" s="3282"/>
      <c r="Y39" s="3284"/>
      <c r="Z39" s="3284"/>
      <c r="AA39" s="3303"/>
      <c r="AB39" s="3304"/>
      <c r="AC39" s="3304"/>
      <c r="AD39" s="3304"/>
      <c r="AE39" s="3304"/>
      <c r="AF39" s="3304"/>
      <c r="AG39" s="3241"/>
      <c r="AH39" s="1131"/>
      <c r="AI39" s="1130"/>
    </row>
    <row r="40" spans="1:35" s="388" customFormat="1" ht="19.399999999999999" customHeight="1">
      <c r="B40" s="57"/>
      <c r="C40" s="162"/>
      <c r="D40" s="57"/>
      <c r="E40" s="57"/>
      <c r="F40" s="57"/>
      <c r="G40" s="57"/>
      <c r="H40" s="57"/>
      <c r="I40" s="57"/>
      <c r="J40" s="57"/>
      <c r="K40" s="57"/>
      <c r="L40" s="57"/>
      <c r="M40" s="57"/>
      <c r="N40" s="57"/>
      <c r="O40" s="57"/>
      <c r="P40" s="57"/>
      <c r="Q40" s="57"/>
      <c r="R40" s="57"/>
      <c r="S40" s="57"/>
      <c r="T40" s="57"/>
      <c r="U40" s="57"/>
      <c r="V40" s="57"/>
      <c r="W40" s="57"/>
      <c r="X40" s="114"/>
      <c r="Y40" s="114"/>
      <c r="Z40" s="114"/>
      <c r="AA40" s="114"/>
      <c r="AB40" s="114"/>
      <c r="AC40" s="114"/>
      <c r="AD40" s="114"/>
      <c r="AE40" s="114"/>
      <c r="AF40" s="114"/>
      <c r="AG40" s="3312"/>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313"/>
    </row>
    <row r="42" spans="1:35" ht="15.5">
      <c r="A42" s="388"/>
    </row>
    <row r="43" spans="1:35" ht="13.5" customHeight="1">
      <c r="A43" s="688"/>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313"/>
    </row>
    <row r="44" spans="1:35" ht="15.5">
      <c r="A44" s="31"/>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313"/>
    </row>
    <row r="45" spans="1:35" ht="15.5">
      <c r="A45" s="31"/>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5">
      <c r="A46" s="31"/>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4"/>
      <c r="Y47" s="104"/>
      <c r="Z47" s="104"/>
      <c r="AA47" s="104"/>
      <c r="AB47" s="104"/>
      <c r="AC47" s="104"/>
      <c r="AD47" s="104"/>
      <c r="AE47" s="104"/>
      <c r="AF47" s="104"/>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34" customWidth="1"/>
    <col min="2" max="2" width="6.69140625" style="2234" customWidth="1"/>
    <col min="3" max="3" width="4.07421875" style="2234" customWidth="1"/>
    <col min="4" max="4" width="14" style="2234" customWidth="1"/>
    <col min="5" max="5" width="1.07421875" style="2234" customWidth="1"/>
    <col min="6" max="6" width="13.4609375" style="2234" customWidth="1"/>
    <col min="7" max="7" width="1.07421875" style="2234" customWidth="1"/>
    <col min="8" max="8" width="13.4609375" style="2235" customWidth="1"/>
    <col min="9" max="9" width="1.69140625" style="2234" customWidth="1"/>
    <col min="10" max="10" width="13.4609375" style="2234" customWidth="1"/>
    <col min="11" max="11" width="1.07421875" style="2234" customWidth="1"/>
    <col min="12" max="12" width="11.69140625" style="2234" customWidth="1"/>
    <col min="13" max="13" width="1.07421875" style="2234" customWidth="1"/>
    <col min="14" max="14" width="13.53515625" style="2234" customWidth="1"/>
    <col min="15" max="15" width="1.07421875" style="2234" customWidth="1"/>
    <col min="16" max="16" width="0.69140625" style="2234" customWidth="1"/>
    <col min="17" max="17" width="1.07421875" style="2234" customWidth="1"/>
    <col min="18" max="18" width="14.4609375" style="2234" customWidth="1"/>
    <col min="19" max="19" width="1.07421875" style="2234" customWidth="1"/>
    <col min="20" max="20" width="14.4609375" style="2234" customWidth="1"/>
    <col min="21" max="21" width="1.07421875" style="2236" customWidth="1"/>
    <col min="22" max="22" width="0.69140625" style="2236" customWidth="1"/>
    <col min="23" max="24" width="1.07421875" style="2236" customWidth="1"/>
    <col min="25" max="25" width="12.69140625" style="2236" customWidth="1"/>
    <col min="26" max="26" width="1.07421875" style="2236" customWidth="1"/>
    <col min="27" max="27" width="16.69140625" style="2236" bestFit="1" customWidth="1"/>
    <col min="28" max="28" width="1.69140625" style="2236" customWidth="1"/>
    <col min="29" max="29" width="1.07421875" style="2342" customWidth="1"/>
    <col min="30" max="30" width="13.07421875" style="2236" customWidth="1"/>
    <col min="31" max="31" width="3" style="2236" customWidth="1"/>
    <col min="32" max="32" width="12" style="2236" customWidth="1"/>
    <col min="33" max="16384" width="8.69140625" style="2236"/>
  </cols>
  <sheetData>
    <row r="1" spans="1:33" ht="15.5">
      <c r="A1" s="2233" t="s">
        <v>963</v>
      </c>
    </row>
    <row r="2" spans="1:33" ht="15" customHeight="1">
      <c r="A2" s="2233"/>
    </row>
    <row r="3" spans="1:33" ht="21" customHeight="1">
      <c r="A3" s="3914" t="s">
        <v>0</v>
      </c>
      <c r="B3" s="3915"/>
      <c r="C3" s="3915"/>
      <c r="D3" s="3915"/>
      <c r="E3" s="3915"/>
      <c r="F3" s="3915"/>
      <c r="G3" s="3915"/>
      <c r="H3" s="3915"/>
      <c r="I3" s="3915"/>
      <c r="J3" s="3915"/>
      <c r="K3" s="3915"/>
      <c r="L3" s="3915"/>
      <c r="M3" s="3915"/>
      <c r="N3" s="3915"/>
      <c r="O3" s="3915"/>
      <c r="P3" s="3915"/>
      <c r="Q3" s="3915"/>
      <c r="R3" s="3915"/>
      <c r="S3" s="3915"/>
      <c r="T3" s="3915"/>
      <c r="U3" s="3915"/>
      <c r="V3" s="3915"/>
      <c r="W3" s="3915"/>
      <c r="X3" s="3915"/>
      <c r="Y3" s="3915"/>
      <c r="Z3" s="3915"/>
      <c r="AA3" s="3915"/>
      <c r="AB3" s="3915"/>
      <c r="AC3" s="2343"/>
      <c r="AF3" s="2240" t="s">
        <v>54</v>
      </c>
    </row>
    <row r="4" spans="1:33" ht="20">
      <c r="A4" s="3916" t="s">
        <v>1163</v>
      </c>
      <c r="B4" s="3915"/>
      <c r="C4" s="3915"/>
      <c r="D4" s="3915"/>
      <c r="E4" s="3915"/>
      <c r="F4" s="3915"/>
      <c r="G4" s="3915"/>
      <c r="H4" s="3915"/>
      <c r="I4" s="3915"/>
      <c r="J4" s="3915"/>
      <c r="K4" s="3915"/>
      <c r="L4" s="3915"/>
      <c r="M4" s="3915"/>
      <c r="N4" s="3915"/>
      <c r="O4" s="3915"/>
      <c r="P4" s="3915"/>
      <c r="Q4" s="3915"/>
      <c r="R4" s="3915"/>
      <c r="S4" s="3915"/>
      <c r="T4" s="3915"/>
      <c r="U4" s="3915"/>
      <c r="V4" s="3915"/>
      <c r="W4" s="3915"/>
      <c r="X4" s="3915"/>
      <c r="Y4" s="3915"/>
      <c r="Z4" s="3915"/>
      <c r="AA4" s="3915"/>
      <c r="AB4" s="3915"/>
      <c r="AC4" s="2343"/>
      <c r="AF4" s="2240" t="s">
        <v>55</v>
      </c>
    </row>
    <row r="5" spans="1:33" ht="21" customHeight="1">
      <c r="A5" s="3916" t="s">
        <v>871</v>
      </c>
      <c r="B5" s="3915"/>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2343"/>
    </row>
    <row r="6" spans="1:33" ht="21" customHeight="1">
      <c r="A6" s="2344" t="s">
        <v>1365</v>
      </c>
      <c r="B6" s="2345"/>
      <c r="C6" s="2345"/>
      <c r="D6" s="2345"/>
      <c r="E6" s="2345"/>
      <c r="F6" s="2345"/>
      <c r="G6" s="2345"/>
      <c r="H6" s="2345"/>
      <c r="I6" s="2345"/>
      <c r="J6" s="2345"/>
      <c r="K6" s="2345"/>
      <c r="L6" s="2345"/>
      <c r="M6" s="2345"/>
      <c r="N6" s="2345"/>
      <c r="O6" s="2345"/>
      <c r="P6" s="2345"/>
      <c r="Q6" s="2345"/>
      <c r="R6" s="2345"/>
      <c r="S6" s="2345"/>
      <c r="T6" s="2345"/>
      <c r="U6" s="2345"/>
      <c r="V6" s="2345"/>
      <c r="W6" s="2345"/>
      <c r="X6" s="2345"/>
      <c r="Y6" s="3475"/>
      <c r="Z6" s="3437"/>
      <c r="AA6" s="3875"/>
      <c r="AB6" s="2345"/>
      <c r="AC6" s="2343"/>
    </row>
    <row r="7" spans="1:33" ht="15.75" customHeight="1">
      <c r="A7" s="3916"/>
      <c r="B7" s="3915"/>
      <c r="C7" s="3915"/>
      <c r="D7" s="3915"/>
      <c r="E7" s="3915"/>
      <c r="F7" s="3915"/>
      <c r="G7" s="3915"/>
      <c r="H7" s="3915"/>
      <c r="I7" s="3915"/>
      <c r="J7" s="3915"/>
      <c r="K7" s="3915"/>
      <c r="L7" s="3915"/>
      <c r="M7" s="3915"/>
      <c r="N7" s="3915"/>
      <c r="O7" s="3915"/>
      <c r="P7" s="3915"/>
      <c r="Q7" s="3915"/>
      <c r="R7" s="3915"/>
      <c r="S7" s="3915"/>
      <c r="T7" s="3915"/>
      <c r="U7" s="3915"/>
      <c r="V7" s="3915"/>
      <c r="W7" s="3915"/>
      <c r="X7" s="3915"/>
      <c r="Y7" s="3915"/>
      <c r="Z7" s="3915"/>
      <c r="AA7" s="3915"/>
      <c r="AB7" s="3915"/>
      <c r="AC7" s="2343"/>
    </row>
    <row r="8" spans="1:33" ht="15.75" customHeight="1">
      <c r="A8" s="1"/>
      <c r="B8" s="1"/>
      <c r="C8" s="1"/>
      <c r="D8" s="1"/>
      <c r="E8" s="1"/>
      <c r="F8" s="1"/>
      <c r="G8" s="1"/>
      <c r="H8" s="2243"/>
      <c r="I8" s="2"/>
      <c r="J8" s="2"/>
      <c r="K8" s="2"/>
      <c r="L8" s="2"/>
      <c r="M8" s="1"/>
      <c r="N8" s="2"/>
      <c r="O8" s="2"/>
      <c r="P8" s="2"/>
      <c r="Q8" s="2"/>
      <c r="R8" s="2"/>
      <c r="S8" s="2"/>
      <c r="T8" s="2"/>
      <c r="U8" s="2346"/>
      <c r="V8" s="2346"/>
      <c r="W8" s="2346"/>
      <c r="X8" s="2346"/>
      <c r="Y8" s="2347"/>
      <c r="Z8" s="2347"/>
      <c r="AA8" s="2240"/>
      <c r="AB8" s="2347"/>
      <c r="AC8" s="2348"/>
    </row>
    <row r="9" spans="1:33" ht="15.75" customHeight="1">
      <c r="A9" s="1"/>
      <c r="B9" s="1"/>
      <c r="C9" s="1"/>
      <c r="D9" s="1"/>
      <c r="E9" s="1"/>
      <c r="F9" s="1"/>
      <c r="G9" s="1"/>
      <c r="H9" s="2243"/>
      <c r="I9" s="2"/>
      <c r="J9" s="2"/>
      <c r="K9" s="2"/>
      <c r="L9" s="2"/>
      <c r="M9" s="1"/>
      <c r="N9" s="2"/>
      <c r="O9" s="2349"/>
      <c r="P9" s="2349"/>
      <c r="Q9" s="2349"/>
      <c r="R9" s="2349"/>
      <c r="S9" s="2303"/>
      <c r="T9" s="2303"/>
      <c r="U9" s="2342"/>
      <c r="V9" s="2342"/>
      <c r="W9" s="2342"/>
      <c r="X9" s="2350"/>
      <c r="Y9" s="2347"/>
      <c r="Z9" s="2347"/>
      <c r="AA9" s="2240"/>
      <c r="AB9" s="2347"/>
      <c r="AC9" s="2348"/>
    </row>
    <row r="10" spans="1:33" ht="16.399999999999999" customHeight="1">
      <c r="A10" s="1"/>
      <c r="B10" s="1"/>
      <c r="C10" s="2248"/>
      <c r="D10" s="3911"/>
      <c r="E10" s="3912"/>
      <c r="F10" s="3912"/>
      <c r="G10" s="3912"/>
      <c r="H10" s="3912"/>
      <c r="I10" s="3912"/>
      <c r="J10" s="3912"/>
      <c r="K10" s="3912"/>
      <c r="L10" s="3912"/>
      <c r="M10" s="3912"/>
      <c r="N10" s="3912"/>
      <c r="O10" s="2350"/>
      <c r="P10" s="2351"/>
      <c r="Q10" s="2350"/>
      <c r="R10" s="3910"/>
      <c r="S10" s="3910"/>
      <c r="T10" s="3910"/>
      <c r="U10" s="3910"/>
      <c r="V10" s="3910"/>
      <c r="W10" s="3910"/>
      <c r="X10" s="3910"/>
      <c r="Y10" s="3910"/>
      <c r="Z10" s="3910"/>
      <c r="AA10" s="3910"/>
      <c r="AB10" s="3910"/>
      <c r="AC10" s="2352"/>
      <c r="AD10" s="2342"/>
      <c r="AE10" s="2342"/>
      <c r="AF10" s="2342"/>
      <c r="AG10" s="2342"/>
    </row>
    <row r="11" spans="1:33" ht="16.399999999999999" customHeight="1">
      <c r="A11" s="2259"/>
      <c r="B11" s="612"/>
      <c r="C11" s="612"/>
      <c r="D11" s="3" t="s">
        <v>3</v>
      </c>
      <c r="E11" s="3"/>
      <c r="F11" s="3"/>
      <c r="G11" s="2253"/>
      <c r="H11" s="2353" t="s">
        <v>1145</v>
      </c>
      <c r="I11" s="3"/>
      <c r="J11" s="3"/>
      <c r="K11" s="2303"/>
      <c r="L11" s="3913" t="s">
        <v>5</v>
      </c>
      <c r="M11" s="3913"/>
      <c r="N11" s="3913"/>
      <c r="O11" s="5"/>
      <c r="P11" s="2255"/>
      <c r="Q11" s="2255"/>
      <c r="R11" s="2354" t="s">
        <v>1522</v>
      </c>
      <c r="S11" s="2354"/>
      <c r="T11" s="2354"/>
      <c r="U11" s="2354"/>
      <c r="V11" s="2354"/>
      <c r="W11" s="2354"/>
      <c r="X11" s="2354"/>
      <c r="Y11" s="2354"/>
      <c r="Z11" s="2354"/>
      <c r="AA11" s="2354"/>
      <c r="AB11" s="2354"/>
      <c r="AC11" s="2355"/>
      <c r="AD11" s="2356"/>
      <c r="AE11" s="2356"/>
      <c r="AF11" s="2356"/>
    </row>
    <row r="12" spans="1:33" ht="15.75" customHeight="1">
      <c r="A12" s="2252"/>
      <c r="B12" s="2252"/>
      <c r="C12" s="7"/>
      <c r="D12" s="5" t="s">
        <v>7</v>
      </c>
      <c r="E12" s="5"/>
      <c r="F12" s="4" t="str">
        <f>'Exhibit A'!F11</f>
        <v>7 MOS. ENDED</v>
      </c>
      <c r="G12" s="2247"/>
      <c r="H12" s="5" t="s">
        <v>7</v>
      </c>
      <c r="I12" s="5"/>
      <c r="J12" s="5" t="str">
        <f>F12</f>
        <v>7 MOS. ENDED</v>
      </c>
      <c r="K12" s="2247"/>
      <c r="L12" s="5" t="s">
        <v>7</v>
      </c>
      <c r="M12" s="5"/>
      <c r="N12" s="5" t="str">
        <f>F12</f>
        <v>7 MOS. ENDED</v>
      </c>
      <c r="O12" s="5"/>
      <c r="P12" s="2357"/>
      <c r="Q12" s="5"/>
      <c r="R12" s="5" t="s">
        <v>7</v>
      </c>
      <c r="S12" s="5"/>
      <c r="T12" s="5" t="str">
        <f>F12</f>
        <v>7 MOS. ENDED</v>
      </c>
      <c r="U12" s="2255"/>
      <c r="V12" s="2255"/>
      <c r="W12" s="2255"/>
      <c r="X12" s="2255"/>
      <c r="Y12" s="3474" t="s">
        <v>7</v>
      </c>
      <c r="Z12" s="3436"/>
      <c r="AA12" s="3874" t="str">
        <f>'Exhibit A'!AD11</f>
        <v>7 MOS. ENDED</v>
      </c>
      <c r="AB12" s="2255"/>
      <c r="AC12" s="2358"/>
      <c r="AD12" s="2255" t="s">
        <v>8</v>
      </c>
      <c r="AE12" s="2256"/>
      <c r="AF12" s="5" t="s">
        <v>9</v>
      </c>
    </row>
    <row r="13" spans="1:33" ht="16.399999999999999" customHeight="1">
      <c r="A13" s="2252"/>
      <c r="B13" s="2252"/>
      <c r="C13" s="2252"/>
      <c r="D13" s="902" t="str">
        <f>'Exhibit A'!D12</f>
        <v>OCT. 2020</v>
      </c>
      <c r="E13" s="2247"/>
      <c r="F13" s="902" t="str">
        <f>'Exhibit A'!F12</f>
        <v>OCT. 31, 2020</v>
      </c>
      <c r="G13" s="2247"/>
      <c r="H13" s="6" t="str">
        <f>D13</f>
        <v>OCT. 2020</v>
      </c>
      <c r="I13" s="2247"/>
      <c r="J13" s="6" t="str">
        <f>F13</f>
        <v>OCT. 31, 2020</v>
      </c>
      <c r="K13" s="2247"/>
      <c r="L13" s="6" t="str">
        <f>D13</f>
        <v>OCT. 2020</v>
      </c>
      <c r="M13" s="2247"/>
      <c r="N13" s="6" t="str">
        <f>F13</f>
        <v>OCT. 31, 2020</v>
      </c>
      <c r="O13" s="5"/>
      <c r="P13" s="2357"/>
      <c r="Q13" s="5"/>
      <c r="R13" s="6" t="str">
        <f>D13</f>
        <v>OCT. 2020</v>
      </c>
      <c r="S13" s="2247"/>
      <c r="T13" s="6" t="str">
        <f>F13</f>
        <v>OCT. 31, 2020</v>
      </c>
      <c r="U13" s="2255"/>
      <c r="V13" s="2255"/>
      <c r="W13" s="2255"/>
      <c r="X13" s="2359"/>
      <c r="Y13" s="3424" t="str">
        <f>'Exhibit A'!AB12</f>
        <v>OCT. 2019</v>
      </c>
      <c r="Z13" s="2359"/>
      <c r="AA13" s="3424" t="str">
        <f>'Exhibit A'!AD12</f>
        <v>OCT. 31, 2019</v>
      </c>
      <c r="AB13" s="2359"/>
      <c r="AC13" s="2358"/>
      <c r="AD13" s="2360" t="s">
        <v>12</v>
      </c>
      <c r="AE13" s="2233"/>
      <c r="AF13" s="902" t="s">
        <v>13</v>
      </c>
    </row>
    <row r="14" spans="1:33" ht="16.399999999999999" customHeight="1">
      <c r="A14" s="2251" t="s">
        <v>14</v>
      </c>
      <c r="B14" s="2252"/>
      <c r="C14" s="2252"/>
      <c r="D14" s="2361" t="s">
        <v>15</v>
      </c>
      <c r="E14" s="2252"/>
      <c r="F14" s="7"/>
      <c r="G14" s="2252"/>
      <c r="H14" s="612" t="s">
        <v>15</v>
      </c>
      <c r="I14" s="2252"/>
      <c r="J14" s="7"/>
      <c r="K14" s="2252"/>
      <c r="L14" s="612" t="s">
        <v>15</v>
      </c>
      <c r="M14" s="2252"/>
      <c r="N14" s="7"/>
      <c r="O14" s="7"/>
      <c r="P14" s="2362"/>
      <c r="Q14" s="2363"/>
      <c r="R14" s="7"/>
      <c r="S14" s="7"/>
      <c r="T14" s="7"/>
      <c r="U14" s="2262"/>
      <c r="V14" s="2262"/>
      <c r="W14" s="2364"/>
      <c r="X14" s="2262"/>
      <c r="Y14" s="2262"/>
      <c r="Z14" s="2301"/>
      <c r="AA14" s="2262"/>
      <c r="AB14" s="2262"/>
      <c r="AC14" s="2365"/>
      <c r="AD14" s="2262"/>
      <c r="AE14" s="2234"/>
      <c r="AF14" s="1427"/>
    </row>
    <row r="15" spans="1:33" ht="18" customHeight="1">
      <c r="A15" s="2252" t="s">
        <v>16</v>
      </c>
      <c r="B15" s="2275">
        <v>-3</v>
      </c>
      <c r="C15" s="2252"/>
      <c r="D15" s="1360">
        <f>+'Exhibit A'!D14</f>
        <v>1265.7</v>
      </c>
      <c r="E15" s="654" t="s">
        <v>15</v>
      </c>
      <c r="F15" s="654">
        <f>+'Exhibit A'!F14</f>
        <v>14695.1</v>
      </c>
      <c r="G15" s="654"/>
      <c r="H15" s="2366">
        <f>+'Exhibit G State'!P17</f>
        <v>0.1</v>
      </c>
      <c r="I15" s="654"/>
      <c r="J15" s="2367">
        <f>'Exhibit G State'!AD17</f>
        <v>0.2</v>
      </c>
      <c r="K15" s="654"/>
      <c r="L15" s="1420">
        <f>+'Exhibit A'!L14</f>
        <v>1265.7999999999993</v>
      </c>
      <c r="M15" s="654"/>
      <c r="N15" s="654">
        <f>+'Exhibit A'!N14</f>
        <v>14695.3</v>
      </c>
      <c r="O15" s="2268"/>
      <c r="P15" s="2368"/>
      <c r="Q15" s="2369"/>
      <c r="R15" s="654">
        <f t="shared" ref="R15:R20" si="0">ROUND(SUM(D15+H15+L15),1)</f>
        <v>2531.6</v>
      </c>
      <c r="S15" s="654"/>
      <c r="T15" s="2370">
        <f t="shared" ref="T15:T20" si="1">ROUND(SUM(F15+J15+N15),1)</f>
        <v>29390.6</v>
      </c>
      <c r="U15" s="2371"/>
      <c r="V15" s="2371"/>
      <c r="W15" s="2372"/>
      <c r="X15" s="2371"/>
      <c r="Y15" s="2371">
        <v>2578.3999999999996</v>
      </c>
      <c r="Z15" s="2371" t="s">
        <v>15</v>
      </c>
      <c r="AA15" s="2371">
        <f>'Exhibit F'!AF26+'Exhibit G State'!AG17+'Exhibit H'!AD16</f>
        <v>30559.800000000003</v>
      </c>
      <c r="AB15" s="2373"/>
      <c r="AC15" s="2374"/>
      <c r="AD15" s="2371">
        <f t="shared" ref="AD15:AD20" si="2">ROUND(SUM(T15-AA15),1)</f>
        <v>-1169.2</v>
      </c>
      <c r="AE15" s="2273"/>
      <c r="AF15" s="1424">
        <f>ROUND(+AD15/AA15,3)</f>
        <v>-3.7999999999999999E-2</v>
      </c>
    </row>
    <row r="16" spans="1:33" ht="18" customHeight="1">
      <c r="A16" s="2252" t="s">
        <v>17</v>
      </c>
      <c r="B16" s="2275" t="s">
        <v>15</v>
      </c>
      <c r="C16" s="2252"/>
      <c r="D16" s="614">
        <f>+'Exhibit A'!D15</f>
        <v>566.6</v>
      </c>
      <c r="E16" s="9"/>
      <c r="F16" s="9">
        <f>+'Exhibit A'!F15</f>
        <v>4044.6</v>
      </c>
      <c r="G16" s="9"/>
      <c r="H16" s="2375">
        <f>+'Exhibit G State'!P28</f>
        <v>144</v>
      </c>
      <c r="I16" s="9"/>
      <c r="J16" s="2376">
        <f>'Exhibit G State'!AD28</f>
        <v>1023.2</v>
      </c>
      <c r="K16" s="9"/>
      <c r="L16" s="614">
        <f>+'Exhibit A'!L15</f>
        <v>549.9</v>
      </c>
      <c r="M16" s="9"/>
      <c r="N16" s="9">
        <f>+'Exhibit A'!N15</f>
        <v>3660.7</v>
      </c>
      <c r="O16" s="14"/>
      <c r="P16" s="2377"/>
      <c r="Q16" s="2378"/>
      <c r="R16" s="9">
        <f t="shared" si="0"/>
        <v>1260.5</v>
      </c>
      <c r="S16" s="9"/>
      <c r="T16" s="2379">
        <f t="shared" si="1"/>
        <v>8728.5</v>
      </c>
      <c r="U16" s="22"/>
      <c r="V16" s="22"/>
      <c r="W16" s="2307"/>
      <c r="X16" s="22"/>
      <c r="Y16" s="22">
        <v>1361.6</v>
      </c>
      <c r="Z16" s="22" t="s">
        <v>15</v>
      </c>
      <c r="AA16" s="22">
        <f>'Exhibit F'!AF36+'Exhibit G State'!AG28+'Exhibit H'!AD20</f>
        <v>10188.799999999999</v>
      </c>
      <c r="AB16" s="2262"/>
      <c r="AC16" s="2365"/>
      <c r="AD16" s="22">
        <f t="shared" si="2"/>
        <v>-1460.3</v>
      </c>
      <c r="AE16" s="2234"/>
      <c r="AF16" s="1424">
        <f t="shared" ref="AF16:AF21" si="3">ROUND(+AD16/AA16,3)</f>
        <v>-0.14299999999999999</v>
      </c>
    </row>
    <row r="17" spans="1:32" ht="18" customHeight="1">
      <c r="A17" s="2252" t="s">
        <v>18</v>
      </c>
      <c r="B17" s="2279"/>
      <c r="C17" s="2252"/>
      <c r="D17" s="614">
        <f>+'Exhibit A'!D16</f>
        <v>101.5</v>
      </c>
      <c r="E17" s="9"/>
      <c r="F17" s="9">
        <f>+'Exhibit A'!F16</f>
        <v>3032.2</v>
      </c>
      <c r="G17" s="9"/>
      <c r="H17" s="2375">
        <f>+'Exhibit G State'!P35</f>
        <v>86.1</v>
      </c>
      <c r="I17" s="9"/>
      <c r="J17" s="2376">
        <f>'Exhibit G State'!AD35</f>
        <v>914.8</v>
      </c>
      <c r="K17" s="9"/>
      <c r="L17" s="614">
        <f>+'Exhibit A'!L16</f>
        <v>0</v>
      </c>
      <c r="M17" s="9"/>
      <c r="N17" s="9">
        <f>+'Exhibit A'!N16</f>
        <v>0</v>
      </c>
      <c r="O17" s="17"/>
      <c r="P17" s="2380"/>
      <c r="Q17" s="2381"/>
      <c r="R17" s="9">
        <f t="shared" si="0"/>
        <v>187.6</v>
      </c>
      <c r="S17" s="9"/>
      <c r="T17" s="2379">
        <f t="shared" si="1"/>
        <v>3947</v>
      </c>
      <c r="U17" s="22"/>
      <c r="V17" s="22"/>
      <c r="W17" s="2382"/>
      <c r="X17" s="21"/>
      <c r="Y17" s="22">
        <v>147.1</v>
      </c>
      <c r="Z17" s="22" t="s">
        <v>15</v>
      </c>
      <c r="AA17" s="22">
        <f>'Exhibit F'!AF43+'Exhibit G State'!AG35</f>
        <v>4037.7000000000003</v>
      </c>
      <c r="AB17" s="2262"/>
      <c r="AC17" s="2365"/>
      <c r="AD17" s="22">
        <f t="shared" si="2"/>
        <v>-90.7</v>
      </c>
      <c r="AE17" s="2234"/>
      <c r="AF17" s="1424">
        <f t="shared" si="3"/>
        <v>-2.1999999999999999E-2</v>
      </c>
    </row>
    <row r="18" spans="1:32" ht="18" customHeight="1">
      <c r="A18" s="2252" t="s">
        <v>19</v>
      </c>
      <c r="B18" s="2275" t="s">
        <v>15</v>
      </c>
      <c r="C18" s="2252"/>
      <c r="D18" s="614">
        <f>+'Exhibit A'!D17</f>
        <v>136.80000000000001</v>
      </c>
      <c r="E18" s="9"/>
      <c r="F18" s="9">
        <f>+'Exhibit A'!F17</f>
        <v>708.9</v>
      </c>
      <c r="G18" s="9"/>
      <c r="H18" s="2375">
        <v>0</v>
      </c>
      <c r="I18" s="9"/>
      <c r="J18" s="2376">
        <v>0</v>
      </c>
      <c r="K18" s="9"/>
      <c r="L18" s="614">
        <f>+'Exhibit A'!L17</f>
        <v>66</v>
      </c>
      <c r="M18" s="9"/>
      <c r="N18" s="9">
        <f>+'Exhibit A'!N17</f>
        <v>389.6</v>
      </c>
      <c r="O18" s="14"/>
      <c r="P18" s="2377"/>
      <c r="Q18" s="2378"/>
      <c r="R18" s="9">
        <f t="shared" si="0"/>
        <v>202.8</v>
      </c>
      <c r="S18" s="9"/>
      <c r="T18" s="2379">
        <f t="shared" si="1"/>
        <v>1098.5</v>
      </c>
      <c r="U18" s="22"/>
      <c r="V18" s="22"/>
      <c r="W18" s="2307"/>
      <c r="X18" s="22"/>
      <c r="Y18" s="22">
        <v>238</v>
      </c>
      <c r="Z18" s="22" t="s">
        <v>15</v>
      </c>
      <c r="AA18" s="22">
        <f>'Exhibit F'!AF51+'Exhibit H'!AD24</f>
        <v>1206.8</v>
      </c>
      <c r="AB18" s="2262"/>
      <c r="AC18" s="2365"/>
      <c r="AD18" s="22">
        <f t="shared" si="2"/>
        <v>-108.3</v>
      </c>
      <c r="AE18" s="2234"/>
      <c r="AF18" s="1424">
        <f t="shared" si="3"/>
        <v>-0.09</v>
      </c>
    </row>
    <row r="19" spans="1:32" ht="18" customHeight="1">
      <c r="A19" s="2252" t="s">
        <v>20</v>
      </c>
      <c r="B19" s="2275" t="s">
        <v>15</v>
      </c>
      <c r="C19" s="2252"/>
      <c r="D19" s="614">
        <f>+'Exhibit A'!D18</f>
        <v>190.2</v>
      </c>
      <c r="E19" s="614" t="s">
        <v>1379</v>
      </c>
      <c r="F19" s="9">
        <f>+'Exhibit A'!F18</f>
        <v>5870.4</v>
      </c>
      <c r="G19" s="9"/>
      <c r="H19" s="2375">
        <f>+'Exhibit G State'!P80</f>
        <v>1632.5</v>
      </c>
      <c r="I19" s="9"/>
      <c r="J19" s="2376">
        <f>'Exhibit G State'!AD80</f>
        <v>9563.1</v>
      </c>
      <c r="K19" s="9"/>
      <c r="L19" s="614">
        <f>+'Exhibit A'!L18</f>
        <v>20.9</v>
      </c>
      <c r="M19" s="9"/>
      <c r="N19" s="9">
        <f>+'Exhibit A'!N18</f>
        <v>253</v>
      </c>
      <c r="O19" s="14"/>
      <c r="P19" s="2377"/>
      <c r="Q19" s="2378"/>
      <c r="R19" s="9">
        <f t="shared" si="0"/>
        <v>1843.6</v>
      </c>
      <c r="S19" s="9"/>
      <c r="T19" s="2379">
        <f t="shared" si="1"/>
        <v>15686.5</v>
      </c>
      <c r="U19" s="22"/>
      <c r="V19" s="22"/>
      <c r="W19" s="2307"/>
      <c r="X19" s="22"/>
      <c r="Y19" s="22">
        <v>1878.8</v>
      </c>
      <c r="Z19" s="22" t="s">
        <v>15</v>
      </c>
      <c r="AA19" s="22">
        <f>+'Exhibit F'!AF92+'Exhibit G State'!AG80+'Exhibit H'!AD45</f>
        <v>13163.2</v>
      </c>
      <c r="AB19" s="2262"/>
      <c r="AC19" s="2365"/>
      <c r="AD19" s="22">
        <f t="shared" si="2"/>
        <v>2523.3000000000002</v>
      </c>
      <c r="AE19" s="2234"/>
      <c r="AF19" s="1424">
        <f t="shared" si="3"/>
        <v>0.192</v>
      </c>
    </row>
    <row r="20" spans="1:32" ht="18" customHeight="1">
      <c r="A20" s="2252" t="s">
        <v>21</v>
      </c>
      <c r="B20" s="2295"/>
      <c r="C20" s="2252"/>
      <c r="D20" s="614">
        <f>+'Exhibit A'!D19</f>
        <v>0</v>
      </c>
      <c r="E20" s="9"/>
      <c r="F20" s="9">
        <f>+'Exhibit A'!F19</f>
        <v>0.1</v>
      </c>
      <c r="G20" s="9"/>
      <c r="H20" s="2375">
        <f>+'Exhibit G State'!P82</f>
        <v>12.899999999999999</v>
      </c>
      <c r="I20" s="9"/>
      <c r="J20" s="2376">
        <f>'Exhibit G State'!AD82</f>
        <v>40.799999999999997</v>
      </c>
      <c r="K20" s="9"/>
      <c r="L20" s="614">
        <f>+'Exhibit A'!L19</f>
        <v>0</v>
      </c>
      <c r="M20" s="10"/>
      <c r="N20" s="9">
        <f>+'Exhibit A'!N19</f>
        <v>24.4</v>
      </c>
      <c r="O20" s="17"/>
      <c r="P20" s="2380"/>
      <c r="Q20" s="2381"/>
      <c r="R20" s="10">
        <f t="shared" si="0"/>
        <v>12.9</v>
      </c>
      <c r="S20" s="17"/>
      <c r="T20" s="2379">
        <f t="shared" si="1"/>
        <v>65.3</v>
      </c>
      <c r="U20" s="22"/>
      <c r="V20" s="22"/>
      <c r="W20" s="2382"/>
      <c r="X20" s="2383"/>
      <c r="Y20" s="22">
        <v>0.1</v>
      </c>
      <c r="Z20" s="22" t="s">
        <v>15</v>
      </c>
      <c r="AA20" s="22">
        <f>+'Exhibit F'!AF94+'Exhibit G State'!AG82+'Exhibit H'!AD47</f>
        <v>54.8</v>
      </c>
      <c r="AB20" s="2262"/>
      <c r="AC20" s="2365"/>
      <c r="AD20" s="22">
        <f t="shared" si="2"/>
        <v>10.5</v>
      </c>
      <c r="AE20" s="2234"/>
      <c r="AF20" s="1463">
        <f>ROUND(IF(AA20=0,0,AD20/ABS(AA20)),3)</f>
        <v>0.192</v>
      </c>
    </row>
    <row r="21" spans="1:32" ht="18" customHeight="1">
      <c r="A21" s="2251" t="s">
        <v>22</v>
      </c>
      <c r="B21" s="2252"/>
      <c r="C21" s="2252"/>
      <c r="D21" s="12">
        <f>ROUND(SUM(D15:D20),1)</f>
        <v>2260.8000000000002</v>
      </c>
      <c r="E21" s="1362"/>
      <c r="F21" s="11">
        <f>ROUND(SUM(F15:F20),1)</f>
        <v>28351.3</v>
      </c>
      <c r="G21" s="1362"/>
      <c r="H21" s="12">
        <f>ROUND(SUM(H15:H20),1)</f>
        <v>1875.6</v>
      </c>
      <c r="I21" s="1362"/>
      <c r="J21" s="12">
        <f>ROUND(SUM(J15:J20),1)</f>
        <v>11542.1</v>
      </c>
      <c r="K21" s="1362"/>
      <c r="L21" s="12">
        <f>ROUND(SUM(L15:L20),1)</f>
        <v>1902.6</v>
      </c>
      <c r="M21" s="1362"/>
      <c r="N21" s="12">
        <f>ROUND(SUM(N15:N20),1)</f>
        <v>19023</v>
      </c>
      <c r="O21" s="2283"/>
      <c r="P21" s="2384"/>
      <c r="Q21" s="2385"/>
      <c r="R21" s="12">
        <f>ROUND(SUM(R15:R20),1)</f>
        <v>6039</v>
      </c>
      <c r="S21" s="2283"/>
      <c r="T21" s="12">
        <f>ROUND(SUM(T15:T20),1)</f>
        <v>58916.4</v>
      </c>
      <c r="U21" s="1476"/>
      <c r="V21" s="1476"/>
      <c r="W21" s="2313"/>
      <c r="X21" s="1476"/>
      <c r="Y21" s="1557">
        <f>ROUND(SUM(Y15:Y20),1)</f>
        <v>6204</v>
      </c>
      <c r="Z21" s="23"/>
      <c r="AA21" s="1557">
        <f>ROUND(SUM(AA15:AA20),1)</f>
        <v>59211.1</v>
      </c>
      <c r="AB21" s="2314"/>
      <c r="AC21" s="2386"/>
      <c r="AD21" s="1557">
        <f>ROUND(SUM(AD15:AD20),1)</f>
        <v>-294.7</v>
      </c>
      <c r="AE21" s="2286"/>
      <c r="AF21" s="1440">
        <f t="shared" si="3"/>
        <v>-5.0000000000000001E-3</v>
      </c>
    </row>
    <row r="22" spans="1:32" ht="16.399999999999999" customHeight="1">
      <c r="A22" s="2251"/>
      <c r="B22" s="2252"/>
      <c r="C22" s="2252"/>
      <c r="D22" s="615"/>
      <c r="E22" s="9"/>
      <c r="F22" s="14"/>
      <c r="G22" s="9"/>
      <c r="H22" s="615"/>
      <c r="I22" s="9"/>
      <c r="J22" s="14"/>
      <c r="K22" s="9"/>
      <c r="L22" s="615"/>
      <c r="M22" s="9"/>
      <c r="N22" s="14"/>
      <c r="O22" s="14"/>
      <c r="P22" s="2377"/>
      <c r="Q22" s="2378"/>
      <c r="R22" s="14"/>
      <c r="S22" s="14"/>
      <c r="T22" s="14"/>
      <c r="U22" s="1423"/>
      <c r="V22" s="1423"/>
      <c r="W22" s="2307"/>
      <c r="X22" s="1423"/>
      <c r="Y22" s="1423"/>
      <c r="Z22" s="22"/>
      <c r="AA22" s="1423"/>
      <c r="AB22" s="2262"/>
      <c r="AC22" s="2365"/>
      <c r="AD22" s="1423"/>
      <c r="AE22" s="2234"/>
      <c r="AF22" s="1427"/>
    </row>
    <row r="23" spans="1:32" ht="16.399999999999999" customHeight="1">
      <c r="A23" s="2251" t="s">
        <v>23</v>
      </c>
      <c r="B23" s="2252"/>
      <c r="C23" s="2252"/>
      <c r="D23" s="614"/>
      <c r="E23" s="9"/>
      <c r="F23" s="9"/>
      <c r="G23" s="9"/>
      <c r="H23" s="614"/>
      <c r="I23" s="9"/>
      <c r="J23" s="9"/>
      <c r="K23" s="9"/>
      <c r="L23" s="614"/>
      <c r="M23" s="9"/>
      <c r="N23" s="9"/>
      <c r="O23" s="14"/>
      <c r="P23" s="2377"/>
      <c r="Q23" s="2378"/>
      <c r="R23" s="9"/>
      <c r="S23" s="9"/>
      <c r="T23" s="9"/>
      <c r="U23" s="22"/>
      <c r="V23" s="22"/>
      <c r="W23" s="2307"/>
      <c r="X23" s="22"/>
      <c r="Y23" s="22"/>
      <c r="Z23" s="22"/>
      <c r="AA23" s="22"/>
      <c r="AB23" s="2262"/>
      <c r="AC23" s="2365"/>
      <c r="AD23" s="22"/>
      <c r="AE23" s="2234"/>
      <c r="AF23" s="1427"/>
    </row>
    <row r="24" spans="1:32" ht="16.399999999999999" customHeight="1">
      <c r="A24" s="2252" t="s">
        <v>24</v>
      </c>
      <c r="B24" s="2387" t="s">
        <v>15</v>
      </c>
      <c r="C24" s="2252"/>
      <c r="D24" s="616"/>
      <c r="E24" s="10"/>
      <c r="F24" s="15"/>
      <c r="G24" s="9"/>
      <c r="H24" s="616"/>
      <c r="I24" s="10"/>
      <c r="J24" s="15"/>
      <c r="K24" s="9"/>
      <c r="L24" s="616"/>
      <c r="M24" s="9"/>
      <c r="N24" s="10"/>
      <c r="O24" s="14"/>
      <c r="P24" s="2377"/>
      <c r="Q24" s="2378"/>
      <c r="R24" s="10"/>
      <c r="S24" s="10"/>
      <c r="T24" s="10"/>
      <c r="U24" s="22"/>
      <c r="V24" s="22"/>
      <c r="W24" s="2307"/>
      <c r="X24" s="21"/>
      <c r="Y24" s="22"/>
      <c r="Z24" s="22"/>
      <c r="AA24" s="22"/>
      <c r="AB24" s="2262"/>
      <c r="AC24" s="2365"/>
      <c r="AD24" s="2388"/>
      <c r="AE24" s="2234"/>
      <c r="AF24" s="2289"/>
    </row>
    <row r="25" spans="1:32" ht="18" customHeight="1">
      <c r="A25" s="2290" t="s">
        <v>25</v>
      </c>
      <c r="B25" s="2252"/>
      <c r="C25" s="2252"/>
      <c r="D25" s="1363">
        <f>+'Exhibit A'!D24</f>
        <v>1051.2000000000005</v>
      </c>
      <c r="E25" s="9"/>
      <c r="F25" s="2389">
        <f>+'Exhibit A'!F24</f>
        <v>11938.7</v>
      </c>
      <c r="G25" s="9"/>
      <c r="H25" s="1363">
        <f>+'Exhibit G State'!P88</f>
        <v>149</v>
      </c>
      <c r="I25" s="9"/>
      <c r="J25" s="2389">
        <f>+'Exhibit G State'!AD88</f>
        <v>2771.6</v>
      </c>
      <c r="K25" s="9"/>
      <c r="L25" s="616">
        <f>+'Exhibit A'!L24</f>
        <v>0</v>
      </c>
      <c r="M25" s="9"/>
      <c r="N25" s="10">
        <f>+'Exhibit A'!N24</f>
        <v>0</v>
      </c>
      <c r="O25" s="17"/>
      <c r="P25" s="2380"/>
      <c r="Q25" s="2381"/>
      <c r="R25" s="2379">
        <f>ROUND(SUM(D25+H25+L25),1)</f>
        <v>1200.2</v>
      </c>
      <c r="S25" s="2379"/>
      <c r="T25" s="2379">
        <f>ROUND(SUM(F25+J25+N25),1)</f>
        <v>14710.3</v>
      </c>
      <c r="U25" s="22"/>
      <c r="V25" s="22"/>
      <c r="W25" s="2382"/>
      <c r="X25" s="21"/>
      <c r="Y25" s="22">
        <v>1230.2</v>
      </c>
      <c r="Z25" s="22" t="s">
        <v>15</v>
      </c>
      <c r="AA25" s="22">
        <f>+'Exhibit F'!AF100+'Exhibit G State'!AG88</f>
        <v>15813.4</v>
      </c>
      <c r="AB25" s="2262"/>
      <c r="AC25" s="2365"/>
      <c r="AD25" s="22">
        <f>ROUND(SUM(T25-AA25),1)</f>
        <v>-1103.0999999999999</v>
      </c>
      <c r="AE25" s="2234"/>
      <c r="AF25" s="1424">
        <f>ROUND(+AD25/AA25,3)</f>
        <v>-7.0000000000000007E-2</v>
      </c>
    </row>
    <row r="26" spans="1:32" ht="18" customHeight="1">
      <c r="A26" s="2290" t="s">
        <v>26</v>
      </c>
      <c r="B26" s="2293"/>
      <c r="C26" s="2252"/>
      <c r="D26" s="1363">
        <f>+'Exhibit A'!D25</f>
        <v>0</v>
      </c>
      <c r="E26" s="9"/>
      <c r="F26" s="2389">
        <f>+'Exhibit A'!F25</f>
        <v>0</v>
      </c>
      <c r="G26" s="9"/>
      <c r="H26" s="1363">
        <f>+'Exhibit G State'!P89</f>
        <v>0.7</v>
      </c>
      <c r="I26" s="2379"/>
      <c r="J26" s="2389">
        <f>+'Exhibit G State'!AD89</f>
        <v>1.6</v>
      </c>
      <c r="K26" s="9"/>
      <c r="L26" s="616">
        <f>+'Exhibit A'!L25</f>
        <v>0</v>
      </c>
      <c r="M26" s="9"/>
      <c r="N26" s="10">
        <f>+'Exhibit A'!N25</f>
        <v>0</v>
      </c>
      <c r="O26" s="17"/>
      <c r="P26" s="2380"/>
      <c r="Q26" s="2381"/>
      <c r="R26" s="2379">
        <f t="shared" ref="R26:R33" si="4">ROUND(SUM(D26+H26+L26),1)</f>
        <v>0.7</v>
      </c>
      <c r="S26" s="2379"/>
      <c r="T26" s="2379">
        <f t="shared" ref="T26:T33" si="5">ROUND(SUM(F26+J26+N26),1)</f>
        <v>1.6</v>
      </c>
      <c r="U26" s="22"/>
      <c r="V26" s="22"/>
      <c r="W26" s="2382"/>
      <c r="X26" s="21"/>
      <c r="Y26" s="22">
        <v>0.7</v>
      </c>
      <c r="Z26" s="22" t="s">
        <v>15</v>
      </c>
      <c r="AA26" s="22">
        <f>+'Exhibit F'!AF101+'Exhibit G State'!AG89</f>
        <v>2.8</v>
      </c>
      <c r="AB26" s="2262"/>
      <c r="AC26" s="2365"/>
      <c r="AD26" s="22">
        <f>ROUND(SUM(T26-AA26),1)</f>
        <v>-1.2</v>
      </c>
      <c r="AE26" s="2234"/>
      <c r="AF26" s="1424">
        <f>ROUND(IF(AA26=0,1,AD26/ABS(AA26)),3)</f>
        <v>-0.42899999999999999</v>
      </c>
    </row>
    <row r="27" spans="1:32" ht="18" customHeight="1">
      <c r="A27" s="2290" t="s">
        <v>27</v>
      </c>
      <c r="B27" s="2294"/>
      <c r="C27" s="2252"/>
      <c r="D27" s="1363">
        <f>+'Exhibit A'!D26</f>
        <v>62.399999999999984</v>
      </c>
      <c r="E27" s="9"/>
      <c r="F27" s="2389">
        <f>+'Exhibit A'!F26</f>
        <v>628.29999999999995</v>
      </c>
      <c r="G27" s="9"/>
      <c r="H27" s="1363">
        <f>+'Exhibit G State'!P90</f>
        <v>15.300000000000011</v>
      </c>
      <c r="I27" s="9"/>
      <c r="J27" s="2389">
        <f>+'Exhibit G State'!AD90</f>
        <v>86.6</v>
      </c>
      <c r="K27" s="9"/>
      <c r="L27" s="616">
        <f>+'Exhibit A'!L26</f>
        <v>0</v>
      </c>
      <c r="M27" s="9"/>
      <c r="N27" s="10">
        <f>+'Exhibit A'!N26</f>
        <v>0</v>
      </c>
      <c r="O27" s="17"/>
      <c r="P27" s="2380"/>
      <c r="Q27" s="2381"/>
      <c r="R27" s="2379">
        <f t="shared" si="4"/>
        <v>77.7</v>
      </c>
      <c r="S27" s="2379"/>
      <c r="T27" s="2379">
        <f t="shared" si="5"/>
        <v>714.9</v>
      </c>
      <c r="U27" s="22"/>
      <c r="V27" s="22"/>
      <c r="W27" s="2382"/>
      <c r="X27" s="21"/>
      <c r="Y27" s="22">
        <v>33.199999999999996</v>
      </c>
      <c r="Z27" s="22" t="s">
        <v>15</v>
      </c>
      <c r="AA27" s="22">
        <f>+'Exhibit F'!AF102+'Exhibit G State'!AG90</f>
        <v>823</v>
      </c>
      <c r="AB27" s="2262"/>
      <c r="AC27" s="2365"/>
      <c r="AD27" s="22">
        <f>ROUND(SUM(T27-AA27),1)</f>
        <v>-108.1</v>
      </c>
      <c r="AE27" s="2234"/>
      <c r="AF27" s="1424">
        <f>ROUND(+AD27/AA27,3)</f>
        <v>-0.13100000000000001</v>
      </c>
    </row>
    <row r="28" spans="1:32" ht="18" customHeight="1">
      <c r="A28" s="2290" t="s">
        <v>28</v>
      </c>
      <c r="B28" s="2294"/>
      <c r="C28" s="2252"/>
      <c r="D28" s="1363"/>
      <c r="E28" s="9"/>
      <c r="F28" s="2389"/>
      <c r="G28" s="9"/>
      <c r="H28" s="1363"/>
      <c r="I28" s="9"/>
      <c r="J28" s="2389"/>
      <c r="K28" s="9"/>
      <c r="L28" s="616"/>
      <c r="M28" s="9"/>
      <c r="N28" s="10"/>
      <c r="O28" s="17"/>
      <c r="P28" s="2380"/>
      <c r="Q28" s="2381"/>
      <c r="R28" s="1419" t="s">
        <v>15</v>
      </c>
      <c r="S28" s="2379"/>
      <c r="T28" s="1419" t="s">
        <v>15</v>
      </c>
      <c r="U28" s="22"/>
      <c r="V28" s="22"/>
      <c r="W28" s="2382"/>
      <c r="X28" s="21"/>
      <c r="Y28" s="619"/>
      <c r="Z28" s="22" t="s">
        <v>15</v>
      </c>
      <c r="AA28" s="619" t="s">
        <v>15</v>
      </c>
      <c r="AB28" s="2262"/>
      <c r="AC28" s="2365"/>
      <c r="AD28" s="22"/>
      <c r="AE28" s="2234"/>
      <c r="AF28" s="1424"/>
    </row>
    <row r="29" spans="1:32" ht="18" customHeight="1">
      <c r="A29" s="2390" t="s">
        <v>29</v>
      </c>
      <c r="B29" s="2295"/>
      <c r="C29" s="2252"/>
      <c r="D29" s="1363">
        <f>+'Exhibit A'!D28</f>
        <v>999.5</v>
      </c>
      <c r="E29" s="9"/>
      <c r="F29" s="2389">
        <f>+'Exhibit A'!F28</f>
        <v>9246.5</v>
      </c>
      <c r="G29" s="9"/>
      <c r="H29" s="1363">
        <f>+'Exhibit G State'!P92</f>
        <v>417.00000000000023</v>
      </c>
      <c r="I29" s="9"/>
      <c r="J29" s="2389">
        <f>+'Exhibit G State'!AD92</f>
        <v>3218.8</v>
      </c>
      <c r="K29" s="9"/>
      <c r="L29" s="616">
        <f>+'Exhibit A'!L28</f>
        <v>0</v>
      </c>
      <c r="M29" s="9"/>
      <c r="N29" s="10">
        <f>+'Exhibit A'!N28</f>
        <v>0</v>
      </c>
      <c r="O29" s="17"/>
      <c r="P29" s="2380"/>
      <c r="Q29" s="2381"/>
      <c r="R29" s="2379">
        <f t="shared" si="4"/>
        <v>1416.5</v>
      </c>
      <c r="S29" s="2379"/>
      <c r="T29" s="2379">
        <f t="shared" si="5"/>
        <v>12465.3</v>
      </c>
      <c r="U29" s="22"/>
      <c r="V29" s="22"/>
      <c r="W29" s="2382"/>
      <c r="X29" s="21"/>
      <c r="Y29" s="22">
        <v>2120.1999999999998</v>
      </c>
      <c r="Z29" s="22" t="s">
        <v>15</v>
      </c>
      <c r="AA29" s="22">
        <f>+'Exhibit F'!AF104+'Exhibit G State'!AG92</f>
        <v>15223.7</v>
      </c>
      <c r="AB29" s="2262"/>
      <c r="AC29" s="2365"/>
      <c r="AD29" s="22">
        <f t="shared" ref="AD29:AD34" si="6">ROUND(SUM(T29-AA29),1)</f>
        <v>-2758.4</v>
      </c>
      <c r="AE29" s="2234"/>
      <c r="AF29" s="1424">
        <f t="shared" ref="AF29:AF34" si="7">ROUND(+AD29/AA29,3)</f>
        <v>-0.18099999999999999</v>
      </c>
    </row>
    <row r="30" spans="1:32" ht="18" customHeight="1">
      <c r="A30" s="2290" t="s">
        <v>30</v>
      </c>
      <c r="B30" s="2294"/>
      <c r="C30" s="2252"/>
      <c r="D30" s="1363">
        <f>+'Exhibit A'!D29</f>
        <v>193.60000000000031</v>
      </c>
      <c r="E30" s="9"/>
      <c r="F30" s="2389">
        <f>+'Exhibit A'!F29</f>
        <v>1298.5000000000002</v>
      </c>
      <c r="G30" s="9"/>
      <c r="H30" s="1363">
        <f>+'Exhibit G State'!P93</f>
        <v>55.399999999999949</v>
      </c>
      <c r="I30" s="9"/>
      <c r="J30" s="2389">
        <f>+'Exhibit G State'!AD93</f>
        <v>466.2</v>
      </c>
      <c r="K30" s="9"/>
      <c r="L30" s="616">
        <f>+'Exhibit A'!L29</f>
        <v>0</v>
      </c>
      <c r="M30" s="9"/>
      <c r="N30" s="10">
        <f>+'Exhibit A'!N29</f>
        <v>0</v>
      </c>
      <c r="O30" s="17"/>
      <c r="P30" s="2380"/>
      <c r="Q30" s="2381"/>
      <c r="R30" s="2379">
        <f t="shared" si="4"/>
        <v>249</v>
      </c>
      <c r="S30" s="2379"/>
      <c r="T30" s="2379">
        <f t="shared" si="5"/>
        <v>1764.7</v>
      </c>
      <c r="U30" s="22"/>
      <c r="V30" s="22"/>
      <c r="W30" s="2382"/>
      <c r="X30" s="21"/>
      <c r="Y30" s="22">
        <v>277.2</v>
      </c>
      <c r="Z30" s="22" t="s">
        <v>15</v>
      </c>
      <c r="AA30" s="22">
        <f>+'Exhibit F'!AF105+'Exhibit G State'!AG93</f>
        <v>1886.5</v>
      </c>
      <c r="AB30" s="2262"/>
      <c r="AC30" s="2365"/>
      <c r="AD30" s="22">
        <f t="shared" si="6"/>
        <v>-121.8</v>
      </c>
      <c r="AE30" s="2234"/>
      <c r="AF30" s="1424">
        <f t="shared" si="7"/>
        <v>-6.5000000000000002E-2</v>
      </c>
    </row>
    <row r="31" spans="1:32" ht="18" customHeight="1">
      <c r="A31" s="2290" t="s">
        <v>31</v>
      </c>
      <c r="B31" s="2252"/>
      <c r="C31" s="2252"/>
      <c r="D31" s="1363">
        <f>+'Exhibit A'!D30</f>
        <v>7.300000000000006</v>
      </c>
      <c r="E31" s="9"/>
      <c r="F31" s="2389">
        <f>+'Exhibit A'!F30</f>
        <v>36.6</v>
      </c>
      <c r="G31" s="9"/>
      <c r="H31" s="1363">
        <f>+'Exhibit G State'!P94</f>
        <v>10</v>
      </c>
      <c r="I31" s="9"/>
      <c r="J31" s="2389">
        <f>+'Exhibit G State'!AD94</f>
        <v>98.1</v>
      </c>
      <c r="K31" s="9"/>
      <c r="L31" s="616">
        <f>+'Exhibit A'!L30</f>
        <v>0</v>
      </c>
      <c r="M31" s="9"/>
      <c r="N31" s="10">
        <f>+'Exhibit A'!N30</f>
        <v>0</v>
      </c>
      <c r="O31" s="17"/>
      <c r="P31" s="2380"/>
      <c r="Q31" s="2381"/>
      <c r="R31" s="2379">
        <f t="shared" si="4"/>
        <v>17.3</v>
      </c>
      <c r="S31" s="2379"/>
      <c r="T31" s="2379">
        <f t="shared" si="5"/>
        <v>134.69999999999999</v>
      </c>
      <c r="U31" s="22"/>
      <c r="V31" s="22"/>
      <c r="W31" s="2382"/>
      <c r="X31" s="21"/>
      <c r="Y31" s="22">
        <v>28.5</v>
      </c>
      <c r="Z31" s="22" t="s">
        <v>15</v>
      </c>
      <c r="AA31" s="22">
        <f>+'Exhibit F'!AF106+'Exhibit G State'!AG94</f>
        <v>218.4</v>
      </c>
      <c r="AB31" s="2262"/>
      <c r="AC31" s="2365"/>
      <c r="AD31" s="22">
        <f t="shared" si="6"/>
        <v>-83.7</v>
      </c>
      <c r="AE31" s="2234"/>
      <c r="AF31" s="1424">
        <f t="shared" si="7"/>
        <v>-0.38300000000000001</v>
      </c>
    </row>
    <row r="32" spans="1:32" ht="18" customHeight="1">
      <c r="A32" s="2290" t="s">
        <v>32</v>
      </c>
      <c r="B32" s="2252"/>
      <c r="C32" s="2252"/>
      <c r="D32" s="1363">
        <f>+'Exhibit A'!D31</f>
        <v>70.300000000000182</v>
      </c>
      <c r="E32" s="9"/>
      <c r="F32" s="2389">
        <f>+'Exhibit A'!F31</f>
        <v>1427.9</v>
      </c>
      <c r="G32" s="9"/>
      <c r="H32" s="1363">
        <f>+'Exhibit G State'!P95</f>
        <v>0</v>
      </c>
      <c r="I32" s="9"/>
      <c r="J32" s="2389">
        <f>+'Exhibit G State'!AD95</f>
        <v>1</v>
      </c>
      <c r="K32" s="9"/>
      <c r="L32" s="616">
        <f>+'Exhibit A'!L31</f>
        <v>0</v>
      </c>
      <c r="M32" s="9"/>
      <c r="N32" s="10">
        <f>+'Exhibit A'!N31</f>
        <v>0</v>
      </c>
      <c r="O32" s="17"/>
      <c r="P32" s="2380"/>
      <c r="Q32" s="2381"/>
      <c r="R32" s="2379">
        <f t="shared" si="4"/>
        <v>70.3</v>
      </c>
      <c r="S32" s="2379"/>
      <c r="T32" s="2379">
        <f t="shared" si="5"/>
        <v>1428.9</v>
      </c>
      <c r="U32" s="22"/>
      <c r="V32" s="22"/>
      <c r="W32" s="2382"/>
      <c r="X32" s="21"/>
      <c r="Y32" s="22">
        <v>424.8</v>
      </c>
      <c r="Z32" s="22" t="s">
        <v>15</v>
      </c>
      <c r="AA32" s="22">
        <f>+'Exhibit F'!AF107+'Exhibit G State'!AG95</f>
        <v>1259.8</v>
      </c>
      <c r="AB32" s="2262"/>
      <c r="AC32" s="2365"/>
      <c r="AD32" s="22">
        <f t="shared" si="6"/>
        <v>169.1</v>
      </c>
      <c r="AE32" s="2234"/>
      <c r="AF32" s="1424">
        <f t="shared" si="7"/>
        <v>0.13400000000000001</v>
      </c>
    </row>
    <row r="33" spans="1:32" ht="18" customHeight="1">
      <c r="A33" s="2290" t="s">
        <v>33</v>
      </c>
      <c r="B33" s="2252"/>
      <c r="C33" s="2252"/>
      <c r="D33" s="1363">
        <f>+'Exhibit A'!D32</f>
        <v>9</v>
      </c>
      <c r="E33" s="9"/>
      <c r="F33" s="2389">
        <f>+'Exhibit A'!F32</f>
        <v>39.6</v>
      </c>
      <c r="G33" s="9"/>
      <c r="H33" s="1363">
        <f>+'Exhibit G State'!P96</f>
        <v>0.70000000000000284</v>
      </c>
      <c r="I33" s="9"/>
      <c r="J33" s="2389">
        <f>+'Exhibit G State'!AD96</f>
        <v>18.100000000000001</v>
      </c>
      <c r="K33" s="9"/>
      <c r="L33" s="616">
        <f>+'Exhibit A'!L32</f>
        <v>0</v>
      </c>
      <c r="M33" s="9"/>
      <c r="N33" s="10">
        <f>+'Exhibit A'!N32</f>
        <v>0</v>
      </c>
      <c r="O33" s="17"/>
      <c r="P33" s="2380"/>
      <c r="Q33" s="2381"/>
      <c r="R33" s="2379">
        <f t="shared" si="4"/>
        <v>9.6999999999999993</v>
      </c>
      <c r="S33" s="2379"/>
      <c r="T33" s="2379">
        <f t="shared" si="5"/>
        <v>57.7</v>
      </c>
      <c r="U33" s="22"/>
      <c r="V33" s="22"/>
      <c r="W33" s="2382"/>
      <c r="X33" s="21"/>
      <c r="Y33" s="22">
        <v>22.4</v>
      </c>
      <c r="Z33" s="22" t="s">
        <v>15</v>
      </c>
      <c r="AA33" s="22">
        <f>+'Exhibit F'!AF108+'Exhibit G State'!AG96</f>
        <v>114.9</v>
      </c>
      <c r="AB33" s="2262"/>
      <c r="AC33" s="2365"/>
      <c r="AD33" s="22">
        <f t="shared" si="6"/>
        <v>-57.2</v>
      </c>
      <c r="AE33" s="2234"/>
      <c r="AF33" s="1424">
        <f t="shared" si="7"/>
        <v>-0.498</v>
      </c>
    </row>
    <row r="34" spans="1:32" ht="18" customHeight="1">
      <c r="A34" s="2290" t="s">
        <v>34</v>
      </c>
      <c r="B34" s="2252"/>
      <c r="C34" s="2252"/>
      <c r="D34" s="1363">
        <f>+'Exhibit A'!D33</f>
        <v>2.9000000000000057</v>
      </c>
      <c r="E34" s="9"/>
      <c r="F34" s="2389">
        <f>+'Exhibit A'!F33</f>
        <v>42.2</v>
      </c>
      <c r="G34" s="9"/>
      <c r="H34" s="1363">
        <f>+'Exhibit G State'!P97</f>
        <v>253.5</v>
      </c>
      <c r="I34" s="9"/>
      <c r="J34" s="2389">
        <f>+'Exhibit G State'!AD97</f>
        <v>1663.4</v>
      </c>
      <c r="K34" s="9"/>
      <c r="L34" s="616">
        <f>+'Exhibit A'!L33</f>
        <v>0</v>
      </c>
      <c r="M34" s="9"/>
      <c r="N34" s="10">
        <f>+'Exhibit A'!N33</f>
        <v>0</v>
      </c>
      <c r="O34" s="17"/>
      <c r="P34" s="2380"/>
      <c r="Q34" s="2381"/>
      <c r="R34" s="2391">
        <f>ROUND(SUM(D34+H34+L34),1)</f>
        <v>256.39999999999998</v>
      </c>
      <c r="S34" s="2379"/>
      <c r="T34" s="2391">
        <f>ROUND(SUM(F34+J34+N34),1)</f>
        <v>1705.6</v>
      </c>
      <c r="U34" s="22"/>
      <c r="V34" s="22"/>
      <c r="W34" s="2382"/>
      <c r="X34" s="21"/>
      <c r="Y34" s="22">
        <v>279.8</v>
      </c>
      <c r="Z34" s="22" t="s">
        <v>15</v>
      </c>
      <c r="AA34" s="1423">
        <f>+'Exhibit F'!AF109+'Exhibit G State'!AG97</f>
        <v>2043.9</v>
      </c>
      <c r="AB34" s="2262"/>
      <c r="AC34" s="2365"/>
      <c r="AD34" s="22">
        <f t="shared" si="6"/>
        <v>-338.3</v>
      </c>
      <c r="AE34" s="2234"/>
      <c r="AF34" s="1424">
        <f t="shared" si="7"/>
        <v>-0.16600000000000001</v>
      </c>
    </row>
    <row r="35" spans="1:32" ht="18" customHeight="1">
      <c r="A35" s="2251" t="s">
        <v>35</v>
      </c>
      <c r="B35" s="2252"/>
      <c r="C35" s="2252"/>
      <c r="D35" s="12">
        <f>ROUND(SUM(D25:D34),1)</f>
        <v>2396.1999999999998</v>
      </c>
      <c r="E35" s="1362"/>
      <c r="F35" s="12">
        <f>ROUND(SUM(F25:F34),1)</f>
        <v>24658.3</v>
      </c>
      <c r="G35" s="1362"/>
      <c r="H35" s="12">
        <f>ROUND(SUM(H25:H34),1)</f>
        <v>901.6</v>
      </c>
      <c r="I35" s="1362"/>
      <c r="J35" s="12">
        <f>ROUND(SUM(J25:J34),1)</f>
        <v>8325.4</v>
      </c>
      <c r="K35" s="1362"/>
      <c r="L35" s="2392">
        <f>ROUND(SUM(L25:L34),1)</f>
        <v>0</v>
      </c>
      <c r="M35" s="1362"/>
      <c r="N35" s="1421">
        <f>ROUND(SUM(N25:N34),1)</f>
        <v>0</v>
      </c>
      <c r="O35" s="2393"/>
      <c r="P35" s="2394"/>
      <c r="Q35" s="2395"/>
      <c r="R35" s="12">
        <f>ROUND(SUM(R25:R34),1)</f>
        <v>3297.8</v>
      </c>
      <c r="S35" s="2393"/>
      <c r="T35" s="12">
        <f>ROUND(SUM(T25:T34),1)</f>
        <v>32983.699999999997</v>
      </c>
      <c r="U35" s="1476"/>
      <c r="V35" s="1476"/>
      <c r="W35" s="2396"/>
      <c r="X35" s="2397"/>
      <c r="Y35" s="1557">
        <f>ROUND(SUM(Y25:Y34),1)</f>
        <v>4417</v>
      </c>
      <c r="Z35" s="23"/>
      <c r="AA35" s="1557">
        <f>ROUND(SUM(AA25:AA34),1)</f>
        <v>37386.400000000001</v>
      </c>
      <c r="AB35" s="2314"/>
      <c r="AC35" s="2386"/>
      <c r="AD35" s="1557">
        <f>ROUND(SUM(AD25:AD34),1)</f>
        <v>-4402.7</v>
      </c>
      <c r="AE35" s="2286"/>
      <c r="AF35" s="1440">
        <f>ROUND(+AD35/AA35,3)</f>
        <v>-0.11799999999999999</v>
      </c>
    </row>
    <row r="36" spans="1:32" ht="18" customHeight="1">
      <c r="A36" s="2252" t="s">
        <v>36</v>
      </c>
      <c r="B36" s="2294"/>
      <c r="C36" s="2252"/>
      <c r="D36" s="614"/>
      <c r="E36" s="9"/>
      <c r="F36" s="9"/>
      <c r="G36" s="9"/>
      <c r="H36" s="614"/>
      <c r="I36" s="9"/>
      <c r="J36" s="9"/>
      <c r="K36" s="9"/>
      <c r="L36" s="614"/>
      <c r="M36" s="9"/>
      <c r="N36" s="9"/>
      <c r="O36" s="14"/>
      <c r="P36" s="2377"/>
      <c r="Q36" s="2378"/>
      <c r="R36" s="9"/>
      <c r="S36" s="9"/>
      <c r="T36" s="9"/>
      <c r="U36" s="22"/>
      <c r="V36" s="22"/>
      <c r="W36" s="2307"/>
      <c r="X36" s="22"/>
      <c r="Y36" s="22"/>
      <c r="Z36" s="22"/>
      <c r="AA36" s="22"/>
      <c r="AB36" s="2262"/>
      <c r="AC36" s="2365"/>
      <c r="AD36" s="22"/>
      <c r="AE36" s="2234"/>
      <c r="AF36" s="1427"/>
    </row>
    <row r="37" spans="1:32" ht="18" customHeight="1">
      <c r="A37" s="2252" t="s">
        <v>37</v>
      </c>
      <c r="B37" s="2293"/>
      <c r="C37" s="2252"/>
      <c r="D37" s="614">
        <f>+'Exhibit A'!D36</f>
        <v>598</v>
      </c>
      <c r="E37" s="9"/>
      <c r="F37" s="2389">
        <f>+'Exhibit A'!F36</f>
        <v>4985.3999999999996</v>
      </c>
      <c r="G37" s="9"/>
      <c r="H37" s="614">
        <f>+'Exhibit G State'!P100</f>
        <v>389.4</v>
      </c>
      <c r="I37" s="9"/>
      <c r="J37" s="2389">
        <f>+'Exhibit G State'!AD100</f>
        <v>3084.3</v>
      </c>
      <c r="K37" s="9"/>
      <c r="L37" s="617">
        <f>+'Exhibit A'!L36</f>
        <v>0</v>
      </c>
      <c r="M37" s="2379"/>
      <c r="N37" s="10">
        <f>+'Exhibit A'!N36</f>
        <v>0</v>
      </c>
      <c r="O37" s="17"/>
      <c r="P37" s="2380"/>
      <c r="Q37" s="2381"/>
      <c r="R37" s="2379">
        <f>ROUND(SUM(D37+H37+L37),1)</f>
        <v>987.4</v>
      </c>
      <c r="S37" s="10"/>
      <c r="T37" s="9">
        <f>ROUND(SUM(F37+J37+N37),1)</f>
        <v>8069.7</v>
      </c>
      <c r="U37" s="22"/>
      <c r="V37" s="22"/>
      <c r="W37" s="2382"/>
      <c r="X37" s="21"/>
      <c r="Y37" s="22">
        <v>1364.4</v>
      </c>
      <c r="Z37" s="22" t="s">
        <v>15</v>
      </c>
      <c r="AA37" s="22">
        <f>+'Exhibit F'!AF112+'Exhibit G State'!AG100</f>
        <v>8595.7999999999993</v>
      </c>
      <c r="AB37" s="2262"/>
      <c r="AC37" s="2365"/>
      <c r="AD37" s="22">
        <f t="shared" ref="AD37:AD41" si="8">ROUND(SUM(T37-AA37),1)</f>
        <v>-526.1</v>
      </c>
      <c r="AE37" s="2234"/>
      <c r="AF37" s="1424">
        <f>ROUND(+AD37/AA37,3)</f>
        <v>-6.0999999999999999E-2</v>
      </c>
    </row>
    <row r="38" spans="1:32" ht="18" customHeight="1">
      <c r="A38" s="2301" t="s">
        <v>38</v>
      </c>
      <c r="B38" s="3511"/>
      <c r="C38" s="2301"/>
      <c r="D38" s="619">
        <f>+'Exhibit A'!D37</f>
        <v>183.60000000000008</v>
      </c>
      <c r="E38" s="22"/>
      <c r="F38" s="3512">
        <f>+'Exhibit A'!F37</f>
        <v>833.4</v>
      </c>
      <c r="G38" s="22"/>
      <c r="H38" s="619">
        <f>+'Exhibit G State'!P101</f>
        <v>248.4000000000002</v>
      </c>
      <c r="I38" s="22"/>
      <c r="J38" s="3512">
        <f>+'Exhibit G State'!AD101</f>
        <v>1426</v>
      </c>
      <c r="K38" s="22"/>
      <c r="L38" s="1417">
        <f>+'Exhibit A'!L37</f>
        <v>0</v>
      </c>
      <c r="M38" s="3387"/>
      <c r="N38" s="21">
        <f>+'Exhibit A'!N37</f>
        <v>29.6</v>
      </c>
      <c r="O38" s="1423"/>
      <c r="P38" s="2377"/>
      <c r="Q38" s="2399"/>
      <c r="R38" s="3387">
        <f>ROUND(SUM(D38+H38+L38),1)</f>
        <v>432</v>
      </c>
      <c r="S38" s="21"/>
      <c r="T38" s="22">
        <f>ROUND(SUM(F38+J38+N38),1)</f>
        <v>2289</v>
      </c>
      <c r="U38" s="22"/>
      <c r="V38" s="22"/>
      <c r="W38" s="2307"/>
      <c r="X38" s="22"/>
      <c r="Y38" s="22">
        <v>514.30000000000007</v>
      </c>
      <c r="Z38" s="22" t="s">
        <v>15</v>
      </c>
      <c r="AA38" s="22">
        <f>+'Exhibit F'!AF113+'Exhibit G State'!AG101+'Exhibit H'!AD53</f>
        <v>3155</v>
      </c>
      <c r="AB38" s="2262"/>
      <c r="AC38" s="2365"/>
      <c r="AD38" s="22">
        <f t="shared" si="8"/>
        <v>-866</v>
      </c>
      <c r="AF38" s="1649">
        <f>ROUND(+AD38/AA38,3)</f>
        <v>-0.27400000000000002</v>
      </c>
    </row>
    <row r="39" spans="1:32" ht="18" customHeight="1">
      <c r="A39" s="2252" t="s">
        <v>39</v>
      </c>
      <c r="B39" s="2275"/>
      <c r="C39" s="2252"/>
      <c r="D39" s="614">
        <f>+'Exhibit A'!D38</f>
        <v>387.40000000000055</v>
      </c>
      <c r="E39" s="9"/>
      <c r="F39" s="2389">
        <f>+'Exhibit A'!F38</f>
        <v>4773.3</v>
      </c>
      <c r="G39" s="9"/>
      <c r="H39" s="614">
        <f>+'Exhibit G State'!P102</f>
        <v>46.599999999999952</v>
      </c>
      <c r="I39" s="9"/>
      <c r="J39" s="2389">
        <f>+'Exhibit G State'!AD102</f>
        <v>450.2</v>
      </c>
      <c r="K39" s="9"/>
      <c r="L39" s="617">
        <f>+'Exhibit A'!L38</f>
        <v>0</v>
      </c>
      <c r="M39" s="9"/>
      <c r="N39" s="10">
        <f>+'Exhibit A'!N38</f>
        <v>0</v>
      </c>
      <c r="O39" s="17"/>
      <c r="P39" s="2380"/>
      <c r="Q39" s="2381"/>
      <c r="R39" s="2379">
        <f>ROUND(SUM(D39+H39+L39),1)</f>
        <v>434</v>
      </c>
      <c r="S39" s="10"/>
      <c r="T39" s="9">
        <f>ROUND(SUM(F39+J39+N39),1)</f>
        <v>5223.5</v>
      </c>
      <c r="U39" s="22"/>
      <c r="V39" s="22"/>
      <c r="W39" s="2382"/>
      <c r="X39" s="21"/>
      <c r="Y39" s="22">
        <v>639.9</v>
      </c>
      <c r="Z39" s="22" t="s">
        <v>15</v>
      </c>
      <c r="AA39" s="22">
        <f>+'Exhibit F'!AF114+'Exhibit G State'!AG102</f>
        <v>5819.3</v>
      </c>
      <c r="AB39" s="2262"/>
      <c r="AC39" s="2365"/>
      <c r="AD39" s="22">
        <f t="shared" si="8"/>
        <v>-595.79999999999995</v>
      </c>
      <c r="AE39" s="2234"/>
      <c r="AF39" s="1424">
        <f>ROUND(+AD39/AA39,3)</f>
        <v>-0.10199999999999999</v>
      </c>
    </row>
    <row r="40" spans="1:32" ht="18" customHeight="1">
      <c r="A40" s="2252" t="s">
        <v>40</v>
      </c>
      <c r="B40" s="2252"/>
      <c r="C40" s="2252"/>
      <c r="D40" s="614"/>
      <c r="E40" s="9"/>
      <c r="F40" s="9"/>
      <c r="G40" s="9"/>
      <c r="H40" s="614"/>
      <c r="I40" s="9"/>
      <c r="J40" s="9"/>
      <c r="K40" s="9"/>
      <c r="L40" s="614"/>
      <c r="M40" s="9"/>
      <c r="N40" s="9"/>
      <c r="O40" s="14"/>
      <c r="P40" s="2377"/>
      <c r="Q40" s="2378"/>
      <c r="R40" s="1419" t="s">
        <v>15</v>
      </c>
      <c r="S40" s="9"/>
      <c r="T40" s="614" t="s">
        <v>15</v>
      </c>
      <c r="U40" s="22"/>
      <c r="V40" s="22"/>
      <c r="W40" s="2307"/>
      <c r="X40" s="22"/>
      <c r="Y40" s="619"/>
      <c r="Z40" s="22"/>
      <c r="AA40" s="619" t="s">
        <v>15</v>
      </c>
      <c r="AB40" s="2262"/>
      <c r="AC40" s="2365"/>
      <c r="AD40" s="22"/>
      <c r="AE40" s="2234"/>
      <c r="AF40" s="1424"/>
    </row>
    <row r="41" spans="1:32" ht="18" customHeight="1">
      <c r="A41" s="2252" t="s">
        <v>41</v>
      </c>
      <c r="B41" s="2293"/>
      <c r="C41" s="2252"/>
      <c r="D41" s="617">
        <v>0</v>
      </c>
      <c r="E41" s="9"/>
      <c r="F41" s="10">
        <v>0</v>
      </c>
      <c r="G41" s="9"/>
      <c r="H41" s="617">
        <v>0</v>
      </c>
      <c r="I41" s="9"/>
      <c r="J41" s="10">
        <v>0</v>
      </c>
      <c r="K41" s="9"/>
      <c r="L41" s="617">
        <f>+'Exhibit A'!L40</f>
        <v>39.799999999999955</v>
      </c>
      <c r="M41" s="2379"/>
      <c r="N41" s="10">
        <f>+'Exhibit A'!N40</f>
        <v>1318.8</v>
      </c>
      <c r="O41" s="14"/>
      <c r="P41" s="2377"/>
      <c r="Q41" s="2378"/>
      <c r="R41" s="2379">
        <f>ROUND(SUM(D41+H41+L41),1)</f>
        <v>39.799999999999997</v>
      </c>
      <c r="S41" s="9"/>
      <c r="T41" s="9">
        <f>ROUND(SUM(F41+J41+N41),1)</f>
        <v>1318.8</v>
      </c>
      <c r="U41" s="22"/>
      <c r="V41" s="22"/>
      <c r="W41" s="2307"/>
      <c r="X41" s="22"/>
      <c r="Y41" s="22">
        <v>48.5</v>
      </c>
      <c r="Z41" s="22" t="s">
        <v>15</v>
      </c>
      <c r="AA41" s="22">
        <f>+'Exhibit H'!AD55</f>
        <v>1025.0999999999999</v>
      </c>
      <c r="AB41" s="2262"/>
      <c r="AC41" s="2365"/>
      <c r="AD41" s="22">
        <f t="shared" si="8"/>
        <v>293.7</v>
      </c>
      <c r="AE41" s="2234"/>
      <c r="AF41" s="1424">
        <f>ROUND(+AD41/AA41,3)</f>
        <v>0.28699999999999998</v>
      </c>
    </row>
    <row r="42" spans="1:32" ht="18" customHeight="1">
      <c r="A42" s="2252" t="s">
        <v>42</v>
      </c>
      <c r="B42" s="2293"/>
      <c r="C42" s="2252"/>
      <c r="D42" s="617">
        <v>0</v>
      </c>
      <c r="E42" s="9"/>
      <c r="F42" s="10">
        <v>0</v>
      </c>
      <c r="G42" s="9"/>
      <c r="H42" s="617">
        <f>'Exhibit G State'!J103</f>
        <v>0</v>
      </c>
      <c r="I42" s="9"/>
      <c r="J42" s="617">
        <f>'Exhibit G State'!AD103</f>
        <v>0</v>
      </c>
      <c r="K42" s="9"/>
      <c r="L42" s="617">
        <v>0</v>
      </c>
      <c r="M42" s="2379"/>
      <c r="N42" s="10">
        <v>0</v>
      </c>
      <c r="O42" s="14"/>
      <c r="P42" s="2377"/>
      <c r="Q42" s="3553"/>
      <c r="R42" s="2379">
        <f>ROUND(SUM(D42+H42+L42),1)</f>
        <v>0</v>
      </c>
      <c r="S42" s="9"/>
      <c r="T42" s="9">
        <f>ROUND(SUM(F42+J42+N42),1)</f>
        <v>0</v>
      </c>
      <c r="U42" s="22"/>
      <c r="V42" s="22"/>
      <c r="W42" s="3554"/>
      <c r="X42" s="22"/>
      <c r="Y42" s="22">
        <v>0</v>
      </c>
      <c r="Z42" s="22"/>
      <c r="AA42" s="22">
        <f>'Exhibit G State'!AG103</f>
        <v>0</v>
      </c>
      <c r="AB42" s="2262"/>
      <c r="AC42" s="2365"/>
      <c r="AD42" s="22">
        <f>ROUND(SUM(T42-AA42),1)</f>
        <v>0</v>
      </c>
      <c r="AE42" s="2234"/>
      <c r="AF42" s="1424">
        <f>IF(AA42=0,0,AD42/AA42)</f>
        <v>0</v>
      </c>
    </row>
    <row r="43" spans="1:32" ht="18" customHeight="1">
      <c r="A43" s="2251" t="s">
        <v>57</v>
      </c>
      <c r="B43" s="2252"/>
      <c r="C43" s="2252"/>
      <c r="D43" s="12">
        <f>SUM(D35:D42)</f>
        <v>3565.2000000000003</v>
      </c>
      <c r="E43" s="1362"/>
      <c r="F43" s="12">
        <f>SUM(F35:F42)</f>
        <v>35250.400000000001</v>
      </c>
      <c r="G43" s="1362"/>
      <c r="H43" s="12">
        <f>SUM(H35:H42)</f>
        <v>1586</v>
      </c>
      <c r="I43" s="1362"/>
      <c r="J43" s="12">
        <f>SUM(J35:J42)</f>
        <v>13285.900000000001</v>
      </c>
      <c r="K43" s="1362"/>
      <c r="L43" s="12">
        <f>SUM(L35:L42)</f>
        <v>39.799999999999955</v>
      </c>
      <c r="M43" s="1362"/>
      <c r="N43" s="12">
        <f>SUM(N35:N42)</f>
        <v>1348.3999999999999</v>
      </c>
      <c r="O43" s="2283"/>
      <c r="P43" s="2384"/>
      <c r="Q43" s="2385"/>
      <c r="R43" s="12">
        <f>ROUND(SUM(R35:R42),1)</f>
        <v>5191</v>
      </c>
      <c r="S43" s="2283"/>
      <c r="T43" s="12">
        <f>ROUND(SUM(T35:T42),1)</f>
        <v>49884.7</v>
      </c>
      <c r="U43" s="1476"/>
      <c r="V43" s="1476"/>
      <c r="W43" s="2313"/>
      <c r="X43" s="1476"/>
      <c r="Y43" s="1557">
        <f>ROUND(SUM(Y35:Y42),1)</f>
        <v>6984.1</v>
      </c>
      <c r="Z43" s="23"/>
      <c r="AA43" s="1557">
        <f>ROUND(SUM(AA35:AA42),1)</f>
        <v>55981.599999999999</v>
      </c>
      <c r="AB43" s="2314"/>
      <c r="AC43" s="2386"/>
      <c r="AD43" s="1557">
        <f>ROUND(SUM(AD35:AD42),1)</f>
        <v>-6096.9</v>
      </c>
      <c r="AE43" s="2286"/>
      <c r="AF43" s="1440">
        <f>ROUND(+AD43/AA43,3)</f>
        <v>-0.109</v>
      </c>
    </row>
    <row r="44" spans="1:32" ht="16.399999999999999" customHeight="1">
      <c r="A44" s="2251"/>
      <c r="B44" s="2252"/>
      <c r="C44" s="2252"/>
      <c r="D44" s="615"/>
      <c r="E44" s="9"/>
      <c r="F44" s="14"/>
      <c r="G44" s="9"/>
      <c r="H44" s="615"/>
      <c r="I44" s="9"/>
      <c r="J44" s="14"/>
      <c r="K44" s="9"/>
      <c r="L44" s="615"/>
      <c r="M44" s="9"/>
      <c r="N44" s="14"/>
      <c r="O44" s="14"/>
      <c r="P44" s="2377"/>
      <c r="Q44" s="2378"/>
      <c r="R44" s="14"/>
      <c r="S44" s="14"/>
      <c r="T44" s="14"/>
      <c r="U44" s="1423"/>
      <c r="V44" s="1423"/>
      <c r="W44" s="2307"/>
      <c r="X44" s="1423"/>
      <c r="Y44" s="1423"/>
      <c r="Z44" s="22"/>
      <c r="AA44" s="1423"/>
      <c r="AB44" s="2262"/>
      <c r="AC44" s="2365"/>
      <c r="AD44" s="1423"/>
      <c r="AE44" s="2234"/>
      <c r="AF44" s="1427"/>
    </row>
    <row r="45" spans="1:32" ht="16.399999999999999" customHeight="1">
      <c r="A45" s="2251" t="s">
        <v>44</v>
      </c>
      <c r="B45" s="2251"/>
      <c r="C45" s="2252"/>
      <c r="D45" s="614"/>
      <c r="E45" s="9"/>
      <c r="F45" s="9"/>
      <c r="G45" s="9"/>
      <c r="H45" s="614"/>
      <c r="I45" s="9"/>
      <c r="J45" s="9"/>
      <c r="K45" s="9"/>
      <c r="L45" s="614"/>
      <c r="M45" s="9"/>
      <c r="N45" s="9"/>
      <c r="O45" s="14"/>
      <c r="P45" s="2377"/>
      <c r="Q45" s="2378"/>
      <c r="R45" s="9"/>
      <c r="S45" s="9"/>
      <c r="T45" s="9"/>
      <c r="U45" s="22"/>
      <c r="V45" s="22"/>
      <c r="W45" s="2307"/>
      <c r="X45" s="22"/>
      <c r="Y45" s="22"/>
      <c r="Z45" s="22"/>
      <c r="AA45" s="22"/>
      <c r="AB45" s="2262"/>
      <c r="AC45" s="2365"/>
      <c r="AD45" s="22"/>
      <c r="AE45" s="2234"/>
      <c r="AF45" s="1427"/>
    </row>
    <row r="46" spans="1:32" ht="16.399999999999999" customHeight="1">
      <c r="A46" s="2251" t="s">
        <v>45</v>
      </c>
      <c r="B46" s="2251"/>
      <c r="C46" s="2252"/>
      <c r="D46" s="19">
        <f>ROUND(SUM(D21-D43),1)</f>
        <v>-1304.4000000000001</v>
      </c>
      <c r="E46" s="1362"/>
      <c r="F46" s="19">
        <f>ROUND(SUM(F21-F43),1)</f>
        <v>-6899.1</v>
      </c>
      <c r="G46" s="1362"/>
      <c r="H46" s="19">
        <f>ROUND(SUM(H21-H43),1)</f>
        <v>289.60000000000002</v>
      </c>
      <c r="I46" s="1362"/>
      <c r="J46" s="19">
        <f>ROUND(SUM(J21-J43),1)</f>
        <v>-1743.8</v>
      </c>
      <c r="K46" s="1362"/>
      <c r="L46" s="19">
        <f>ROUND(SUM(L21-L43),1)</f>
        <v>1862.8</v>
      </c>
      <c r="M46" s="1362" t="s">
        <v>15</v>
      </c>
      <c r="N46" s="19">
        <f>ROUND(SUM(N21-N43),1)</f>
        <v>17674.599999999999</v>
      </c>
      <c r="O46" s="2283"/>
      <c r="P46" s="2384"/>
      <c r="Q46" s="2385"/>
      <c r="R46" s="19">
        <f>ROUND(SUM(+R21-R43),1)</f>
        <v>848</v>
      </c>
      <c r="S46" s="2283"/>
      <c r="T46" s="19">
        <f>ROUND(SUM(+T21-T43),1)</f>
        <v>9031.7000000000007</v>
      </c>
      <c r="U46" s="1476"/>
      <c r="V46" s="1476"/>
      <c r="W46" s="2313"/>
      <c r="X46" s="1476"/>
      <c r="Y46" s="1651">
        <f>ROUND(SUM(Y21-Y43),1)</f>
        <v>-780.1</v>
      </c>
      <c r="Z46" s="23" t="s">
        <v>15</v>
      </c>
      <c r="AA46" s="1651">
        <f>ROUND(SUM(AA21-AA43),1)</f>
        <v>3229.5</v>
      </c>
      <c r="AB46" s="2314"/>
      <c r="AC46" s="2386"/>
      <c r="AD46" s="1651">
        <f>ROUND(SUM(AD21-AD43),1)</f>
        <v>5802.2</v>
      </c>
      <c r="AE46" s="2300"/>
      <c r="AF46" s="1464">
        <f>ROUND(AD46/AA46,3)</f>
        <v>1.7969999999999999</v>
      </c>
    </row>
    <row r="47" spans="1:32" ht="16.399999999999999" customHeight="1">
      <c r="A47" s="2252"/>
      <c r="B47" s="2252"/>
      <c r="C47" s="2252"/>
      <c r="D47" s="615"/>
      <c r="E47" s="9"/>
      <c r="F47" s="14"/>
      <c r="G47" s="9"/>
      <c r="H47" s="615"/>
      <c r="I47" s="9"/>
      <c r="J47" s="14"/>
      <c r="K47" s="9"/>
      <c r="L47" s="615"/>
      <c r="M47" s="9"/>
      <c r="N47" s="14"/>
      <c r="O47" s="14"/>
      <c r="P47" s="2377"/>
      <c r="Q47" s="2378"/>
      <c r="R47" s="14"/>
      <c r="S47" s="14"/>
      <c r="T47" s="14"/>
      <c r="U47" s="1423"/>
      <c r="V47" s="1423"/>
      <c r="W47" s="2307"/>
      <c r="X47" s="1423"/>
      <c r="Y47" s="1423"/>
      <c r="Z47" s="22"/>
      <c r="AA47" s="1423"/>
      <c r="AB47" s="2262"/>
      <c r="AC47" s="2365"/>
      <c r="AD47" s="1423"/>
      <c r="AE47" s="2234"/>
      <c r="AF47" s="1427"/>
    </row>
    <row r="48" spans="1:32" ht="16.399999999999999" customHeight="1">
      <c r="A48" s="2251" t="s">
        <v>46</v>
      </c>
      <c r="B48" s="2251"/>
      <c r="C48" s="2252"/>
      <c r="D48" s="614"/>
      <c r="E48" s="9"/>
      <c r="F48" s="9"/>
      <c r="G48" s="9"/>
      <c r="H48" s="614"/>
      <c r="I48" s="9"/>
      <c r="J48" s="9"/>
      <c r="K48" s="9"/>
      <c r="L48" s="614"/>
      <c r="M48" s="9"/>
      <c r="N48" s="9"/>
      <c r="O48" s="14"/>
      <c r="P48" s="2377"/>
      <c r="Q48" s="2378"/>
      <c r="R48" s="9"/>
      <c r="S48" s="9"/>
      <c r="T48" s="9"/>
      <c r="U48" s="22"/>
      <c r="V48" s="22"/>
      <c r="W48" s="2307"/>
      <c r="X48" s="22"/>
      <c r="Y48" s="22"/>
      <c r="Z48" s="22"/>
      <c r="AA48" s="22"/>
      <c r="AB48" s="2262"/>
      <c r="AC48" s="2365"/>
      <c r="AD48" s="22"/>
      <c r="AE48" s="2234"/>
      <c r="AF48" s="1427"/>
    </row>
    <row r="49" spans="1:32" ht="18" customHeight="1">
      <c r="A49" s="2301" t="s">
        <v>47</v>
      </c>
      <c r="B49" s="2398" t="s">
        <v>1244</v>
      </c>
      <c r="C49" s="2301"/>
      <c r="D49" s="619">
        <f>+'Exhibit A'!D49</f>
        <v>1212.8999999999996</v>
      </c>
      <c r="E49" s="9"/>
      <c r="F49" s="9">
        <f>+'Exhibit A'!F49</f>
        <v>15857.6</v>
      </c>
      <c r="G49" s="22"/>
      <c r="H49" s="619">
        <f>+'Exhibit G State'!P111</f>
        <v>505.89999999999986</v>
      </c>
      <c r="I49" s="22"/>
      <c r="J49" s="9">
        <f>+'Exhibit G State'!AD111</f>
        <v>2125.1999999999998</v>
      </c>
      <c r="K49" s="1423"/>
      <c r="L49" s="1418">
        <f>+'Exhibit A'!L49</f>
        <v>319.10000000000008</v>
      </c>
      <c r="M49" s="1423"/>
      <c r="N49" s="17">
        <f>+'Exhibit A'!N49</f>
        <v>1376.6000000000001</v>
      </c>
      <c r="O49" s="14"/>
      <c r="P49" s="2377"/>
      <c r="Q49" s="2378"/>
      <c r="R49" s="10">
        <f>ROUND(SUM(L49+H49+D49),1)</f>
        <v>2037.9</v>
      </c>
      <c r="S49" s="9"/>
      <c r="T49" s="10">
        <f>ROUND(SUM(F49+J49+N49),1)</f>
        <v>19359.400000000001</v>
      </c>
      <c r="U49" s="22"/>
      <c r="V49" s="22"/>
      <c r="W49" s="2307"/>
      <c r="X49" s="22"/>
      <c r="Y49" s="22">
        <v>2373.1999999999998</v>
      </c>
      <c r="Z49" s="22" t="s">
        <v>15</v>
      </c>
      <c r="AA49" s="22">
        <f>'Exhibit F'!AF123+'Exhibit F'!AF124+'Exhibit F'!AF125+'Exhibit F'!AF126+'Exhibit G State'!AG111+'Exhibit H'!AD64</f>
        <v>24341.600000000002</v>
      </c>
      <c r="AB49" s="2262"/>
      <c r="AC49" s="2365"/>
      <c r="AD49" s="22">
        <f>ROUND(SUM(T49-AA49),1)</f>
        <v>-4982.2</v>
      </c>
      <c r="AE49" s="2303"/>
      <c r="AF49" s="1424">
        <f>ROUND(SUM(+AD49/AA49),3)</f>
        <v>-0.20499999999999999</v>
      </c>
    </row>
    <row r="50" spans="1:32" ht="18" customHeight="1">
      <c r="A50" s="2301" t="s">
        <v>48</v>
      </c>
      <c r="B50" s="2398" t="s">
        <v>1244</v>
      </c>
      <c r="C50" s="2301"/>
      <c r="D50" s="619">
        <f>+'Exhibit A'!D50</f>
        <v>-419.49999999999966</v>
      </c>
      <c r="E50" s="22"/>
      <c r="F50" s="9">
        <f>+'Exhibit A'!F50</f>
        <v>-2971.8999999999996</v>
      </c>
      <c r="G50" s="22"/>
      <c r="H50" s="619">
        <f>+'Exhibit G State'!P112</f>
        <v>-5.3000000000000114</v>
      </c>
      <c r="I50" s="22"/>
      <c r="J50" s="2379">
        <f>'Exhibit G State'!AD112</f>
        <v>-188</v>
      </c>
      <c r="K50" s="22"/>
      <c r="L50" s="1418">
        <f>+'Exhibit A'!L50</f>
        <v>-1218.8999999999996</v>
      </c>
      <c r="M50" s="1423"/>
      <c r="N50" s="17">
        <f>+'Exhibit A'!N50</f>
        <v>-15814.3</v>
      </c>
      <c r="O50" s="1423"/>
      <c r="P50" s="2377"/>
      <c r="Q50" s="2399"/>
      <c r="R50" s="2379">
        <f>ROUND(SUM(D50+H50+L50),1)</f>
        <v>-1643.7</v>
      </c>
      <c r="S50" s="1423"/>
      <c r="T50" s="9">
        <f>ROUND(SUM(F50+J50+N50),1)</f>
        <v>-18974.2</v>
      </c>
      <c r="U50" s="22"/>
      <c r="V50" s="22"/>
      <c r="W50" s="2307"/>
      <c r="X50" s="1423"/>
      <c r="Y50" s="22">
        <v>-1456.6</v>
      </c>
      <c r="Z50" s="22" t="s">
        <v>15</v>
      </c>
      <c r="AA50" s="22">
        <f>'Exhibit F'!AF127+'Exhibit F'!AF128+'Exhibit F'!AF129+'Exhibit F'!AF130+'Exhibit G State'!AG112+'Exhibit H'!AD65</f>
        <v>-25162.300000000003</v>
      </c>
      <c r="AB50" s="2262"/>
      <c r="AC50" s="2365"/>
      <c r="AD50" s="22">
        <f>-ROUND(SUM(T50-AA50),1)</f>
        <v>-6188.1</v>
      </c>
      <c r="AE50" s="2234"/>
      <c r="AF50" s="2400">
        <f>ROUND(SUM(-AD50/AA50),3)</f>
        <v>-0.246</v>
      </c>
    </row>
    <row r="51" spans="1:32" ht="18" customHeight="1">
      <c r="A51" s="2251" t="s">
        <v>49</v>
      </c>
      <c r="B51" s="2251"/>
      <c r="C51" s="2252"/>
      <c r="D51" s="12">
        <f>ROUND(SUM(D49:D50),1)</f>
        <v>793.4</v>
      </c>
      <c r="E51" s="1362"/>
      <c r="F51" s="12">
        <f>ROUND(SUM(F49:F50),1)</f>
        <v>12885.7</v>
      </c>
      <c r="G51" s="1362"/>
      <c r="H51" s="12">
        <f>ROUND(SUM(H49:H50),1)</f>
        <v>500.6</v>
      </c>
      <c r="I51" s="1362"/>
      <c r="J51" s="12">
        <f>ROUND(SUM(J49:J50),1)</f>
        <v>1937.2</v>
      </c>
      <c r="K51" s="1362"/>
      <c r="L51" s="12">
        <f>ROUND(SUM(L49:L50),1)</f>
        <v>-899.8</v>
      </c>
      <c r="M51" s="1362"/>
      <c r="N51" s="12">
        <f>ROUND(SUM(N49:N50),1)</f>
        <v>-14437.7</v>
      </c>
      <c r="O51" s="2283"/>
      <c r="P51" s="2384"/>
      <c r="Q51" s="2385"/>
      <c r="R51" s="12">
        <f>ROUND(SUM(R49:R50),1)</f>
        <v>394.2</v>
      </c>
      <c r="S51" s="2283"/>
      <c r="T51" s="12">
        <f>ROUND(SUM(T49:T50),1)</f>
        <v>385.2</v>
      </c>
      <c r="U51" s="1476"/>
      <c r="V51" s="1476"/>
      <c r="W51" s="2313"/>
      <c r="X51" s="1476"/>
      <c r="Y51" s="3425">
        <f>ROUND(SUM(+Y49+Y50),1)</f>
        <v>916.6</v>
      </c>
      <c r="Z51" s="23"/>
      <c r="AA51" s="2310">
        <f>ROUND(SUM(+AA49+AA50),1)</f>
        <v>-820.7</v>
      </c>
      <c r="AB51" s="2314"/>
      <c r="AC51" s="2386"/>
      <c r="AD51" s="2310">
        <f>ROUND(SUM(+AD49-AD50),1)</f>
        <v>1205.9000000000001</v>
      </c>
      <c r="AE51" s="2286"/>
      <c r="AF51" s="1426">
        <f>-ROUND(SUM(AD51/AA51),3)</f>
        <v>1.4690000000000001</v>
      </c>
    </row>
    <row r="52" spans="1:32" ht="16.399999999999999" customHeight="1">
      <c r="A52" s="2252"/>
      <c r="B52" s="2252"/>
      <c r="C52" s="2252"/>
      <c r="D52" s="615"/>
      <c r="E52" s="9"/>
      <c r="F52" s="14"/>
      <c r="G52" s="9"/>
      <c r="H52" s="615"/>
      <c r="I52" s="9"/>
      <c r="J52" s="14"/>
      <c r="K52" s="9"/>
      <c r="L52" s="615"/>
      <c r="M52" s="9"/>
      <c r="N52" s="14"/>
      <c r="O52" s="14"/>
      <c r="P52" s="2377"/>
      <c r="Q52" s="2378"/>
      <c r="R52" s="14"/>
      <c r="S52" s="14"/>
      <c r="T52" s="14"/>
      <c r="U52" s="1423"/>
      <c r="V52" s="1423"/>
      <c r="W52" s="2307"/>
      <c r="X52" s="1423"/>
      <c r="Y52" s="1423"/>
      <c r="Z52" s="22"/>
      <c r="AA52" s="1423"/>
      <c r="AB52" s="2262"/>
      <c r="AC52" s="2365"/>
      <c r="AD52" s="1423"/>
      <c r="AE52" s="2234"/>
      <c r="AF52" s="1427"/>
    </row>
    <row r="53" spans="1:32" ht="18" customHeight="1">
      <c r="A53" s="2250" t="s">
        <v>44</v>
      </c>
      <c r="B53" s="2251"/>
      <c r="C53" s="2252"/>
      <c r="D53" s="614"/>
      <c r="E53" s="9"/>
      <c r="F53" s="9"/>
      <c r="G53" s="9"/>
      <c r="H53" s="614"/>
      <c r="I53" s="9"/>
      <c r="J53" s="9"/>
      <c r="K53" s="9"/>
      <c r="L53" s="614"/>
      <c r="M53" s="9"/>
      <c r="N53" s="9"/>
      <c r="O53" s="14"/>
      <c r="P53" s="2377"/>
      <c r="Q53" s="2378"/>
      <c r="R53" s="9"/>
      <c r="S53" s="9"/>
      <c r="T53" s="9"/>
      <c r="U53" s="22"/>
      <c r="V53" s="22"/>
      <c r="W53" s="2307"/>
      <c r="X53" s="22"/>
      <c r="Y53" s="22"/>
      <c r="Z53" s="22"/>
      <c r="AA53" s="22"/>
      <c r="AB53" s="2262"/>
      <c r="AC53" s="2365"/>
      <c r="AD53" s="22"/>
      <c r="AE53" s="2234"/>
      <c r="AF53" s="1428"/>
    </row>
    <row r="54" spans="1:32" ht="18" customHeight="1">
      <c r="A54" s="2250" t="s">
        <v>58</v>
      </c>
      <c r="B54" s="2250"/>
      <c r="C54" s="2301"/>
      <c r="D54" s="619"/>
      <c r="E54" s="9"/>
      <c r="F54" s="9"/>
      <c r="G54" s="9"/>
      <c r="H54" s="614"/>
      <c r="I54" s="9"/>
      <c r="J54" s="9"/>
      <c r="K54" s="9"/>
      <c r="L54" s="614"/>
      <c r="M54" s="9"/>
      <c r="N54" s="9"/>
      <c r="O54" s="14"/>
      <c r="P54" s="2377"/>
      <c r="Q54" s="2378"/>
      <c r="R54" s="9"/>
      <c r="S54" s="9"/>
      <c r="T54" s="9"/>
      <c r="U54" s="22"/>
      <c r="V54" s="22"/>
      <c r="W54" s="2307"/>
      <c r="X54" s="22"/>
      <c r="Y54" s="22" t="s">
        <v>15</v>
      </c>
      <c r="Z54" s="22"/>
      <c r="AA54" s="22"/>
      <c r="AB54" s="2262"/>
      <c r="AC54" s="2365"/>
      <c r="AD54" s="22"/>
      <c r="AE54" s="2234"/>
      <c r="AF54" s="1427"/>
    </row>
    <row r="55" spans="1:32" ht="18" customHeight="1">
      <c r="A55" s="2250" t="s">
        <v>59</v>
      </c>
      <c r="B55" s="2250"/>
      <c r="C55" s="2301"/>
      <c r="D55" s="23">
        <f>ROUND(SUM(D46+D51),1)</f>
        <v>-511</v>
      </c>
      <c r="E55" s="23"/>
      <c r="F55" s="23">
        <f>ROUND(SUM(F46)+SUM(F51),1)</f>
        <v>5986.6</v>
      </c>
      <c r="G55" s="23"/>
      <c r="H55" s="23">
        <f>ROUND(SUM(H46+H51),1)</f>
        <v>790.2</v>
      </c>
      <c r="I55" s="23"/>
      <c r="J55" s="23">
        <f>ROUND(SUM(J46)+SUM(J51),1)</f>
        <v>193.4</v>
      </c>
      <c r="K55" s="23"/>
      <c r="L55" s="23">
        <f>ROUND(SUM(L46+L51),1)</f>
        <v>963</v>
      </c>
      <c r="M55" s="2401"/>
      <c r="N55" s="2401">
        <f>ROUND(SUM(N46+N51),1)</f>
        <v>3236.9</v>
      </c>
      <c r="O55" s="2384"/>
      <c r="P55" s="2384"/>
      <c r="Q55" s="2402"/>
      <c r="R55" s="2401">
        <f>ROUND(SUM(+R46+R51),1)</f>
        <v>1242.2</v>
      </c>
      <c r="S55" s="2401"/>
      <c r="T55" s="2401">
        <f>ROUND(SUM(T46+T51),1)</f>
        <v>9416.9</v>
      </c>
      <c r="U55" s="2401"/>
      <c r="V55" s="2401"/>
      <c r="W55" s="2403"/>
      <c r="X55" s="2401"/>
      <c r="Y55" s="23">
        <f>ROUND(SUM(Y46)+SUM(Y51),1)</f>
        <v>136.5</v>
      </c>
      <c r="Z55" s="23"/>
      <c r="AA55" s="23">
        <f>ROUND(SUM(AA46)+SUM(AA51),1)</f>
        <v>2408.8000000000002</v>
      </c>
      <c r="AB55" s="2314"/>
      <c r="AC55" s="2386"/>
      <c r="AD55" s="1476">
        <f>ROUND(SUM(+AD46+AD51),1)</f>
        <v>7008.1</v>
      </c>
      <c r="AE55" s="2286"/>
      <c r="AF55" s="1488">
        <f>ROUND(SUM(AD55/AA55),3)</f>
        <v>2.9089999999999998</v>
      </c>
    </row>
    <row r="56" spans="1:32" ht="16.399999999999999" customHeight="1">
      <c r="A56" s="2251"/>
      <c r="B56" s="2251"/>
      <c r="C56" s="2252"/>
      <c r="D56" s="614"/>
      <c r="E56" s="9"/>
      <c r="F56" s="14"/>
      <c r="G56" s="9"/>
      <c r="H56" s="614"/>
      <c r="I56" s="9"/>
      <c r="J56" s="9"/>
      <c r="K56" s="9"/>
      <c r="L56" s="619"/>
      <c r="M56" s="22"/>
      <c r="N56" s="22"/>
      <c r="O56" s="1423"/>
      <c r="P56" s="2377"/>
      <c r="Q56" s="2399"/>
      <c r="R56" s="22"/>
      <c r="S56" s="22"/>
      <c r="T56" s="22"/>
      <c r="U56" s="22"/>
      <c r="V56" s="22"/>
      <c r="W56" s="2307"/>
      <c r="X56" s="22"/>
      <c r="Y56" s="22"/>
      <c r="Z56" s="22"/>
      <c r="AA56" s="22"/>
      <c r="AB56" s="2262"/>
      <c r="AC56" s="2365"/>
      <c r="AD56" s="22"/>
      <c r="AE56" s="2234"/>
      <c r="AF56" s="1427"/>
    </row>
    <row r="57" spans="1:32" ht="18" customHeight="1">
      <c r="A57" s="2404" t="s">
        <v>52</v>
      </c>
      <c r="B57" s="2295"/>
      <c r="C57" s="2252"/>
      <c r="D57" s="19">
        <f>+'Exhibit A'!D57</f>
        <v>15441.8</v>
      </c>
      <c r="E57" s="1362"/>
      <c r="F57" s="19">
        <f>'Exhibit A'!F57</f>
        <v>8944.2000000000007</v>
      </c>
      <c r="G57" s="1362"/>
      <c r="H57" s="19">
        <f>+'Exhibit G State'!P13</f>
        <v>4803.8999999999996</v>
      </c>
      <c r="I57" s="1362"/>
      <c r="J57" s="19">
        <f>'Exhibit G State'!D13</f>
        <v>5400.7</v>
      </c>
      <c r="K57" s="1362"/>
      <c r="L57" s="1651">
        <f>+'Exhibit A'!L57</f>
        <v>2337.3000000000002</v>
      </c>
      <c r="M57" s="1476"/>
      <c r="N57" s="3806">
        <f>+'Exhibit A'!N57</f>
        <v>63.4</v>
      </c>
      <c r="O57" s="1476"/>
      <c r="P57" s="2384"/>
      <c r="Q57" s="3807"/>
      <c r="R57" s="1651">
        <f>ROUND(SUM(D57+H57+L57),1)</f>
        <v>22583</v>
      </c>
      <c r="S57" s="2283"/>
      <c r="T57" s="19">
        <f>ROUND(SUM(F57+J57+N57),1)</f>
        <v>14408.3</v>
      </c>
      <c r="U57" s="1476"/>
      <c r="V57" s="1476"/>
      <c r="W57" s="2313"/>
      <c r="X57" s="1476"/>
      <c r="Y57" s="1651">
        <v>14633.6</v>
      </c>
      <c r="Z57" s="23" t="s">
        <v>15</v>
      </c>
      <c r="AA57" s="1651">
        <f>'Exhibit F'!AF12+'Exhibit G State'!AG13+'Exhibit H'!AD12</f>
        <v>12361.3</v>
      </c>
      <c r="AB57" s="2314"/>
      <c r="AC57" s="2386"/>
      <c r="AD57" s="1651">
        <f>ROUND(SUM(T57-AA57),1)</f>
        <v>2047</v>
      </c>
      <c r="AE57" s="2286"/>
      <c r="AF57" s="2316">
        <f>ROUND(+AD57/AA57,3)</f>
        <v>0.16600000000000001</v>
      </c>
    </row>
    <row r="58" spans="1:32" ht="16.399999999999999" customHeight="1">
      <c r="A58" s="2301"/>
      <c r="B58" s="2252"/>
      <c r="C58" s="2252"/>
      <c r="D58" s="2405"/>
      <c r="E58" s="2252"/>
      <c r="F58" s="7"/>
      <c r="G58" s="2252"/>
      <c r="H58" s="612"/>
      <c r="I58" s="2252"/>
      <c r="J58" s="7"/>
      <c r="K58" s="2252"/>
      <c r="L58" s="2405"/>
      <c r="M58" s="2252"/>
      <c r="N58" s="7"/>
      <c r="O58" s="7"/>
      <c r="P58" s="2362"/>
      <c r="Q58" s="2363"/>
      <c r="R58" s="7"/>
      <c r="S58" s="7"/>
      <c r="T58" s="7"/>
      <c r="U58" s="2262"/>
      <c r="V58" s="2262"/>
      <c r="W58" s="2364"/>
      <c r="X58" s="2262"/>
      <c r="Y58" s="2262"/>
      <c r="Z58" s="2301"/>
      <c r="AA58" s="2262"/>
      <c r="AB58" s="2262"/>
      <c r="AC58" s="2365"/>
      <c r="AD58" s="1423"/>
      <c r="AE58" s="2234"/>
      <c r="AF58" s="1427"/>
    </row>
    <row r="59" spans="1:32" ht="18" customHeight="1" thickBot="1">
      <c r="A59" s="2406" t="s">
        <v>60</v>
      </c>
      <c r="B59" s="2407" t="s">
        <v>15</v>
      </c>
      <c r="C59" s="2252"/>
      <c r="D59" s="25">
        <f>ROUND(SUM(D55+D57),1)</f>
        <v>14930.8</v>
      </c>
      <c r="E59" s="2319"/>
      <c r="F59" s="25">
        <f>ROUND(SUM(F55+F57),1)</f>
        <v>14930.8</v>
      </c>
      <c r="G59" s="2319"/>
      <c r="H59" s="25">
        <f>ROUND(SUM(H55+H57),1)</f>
        <v>5594.1</v>
      </c>
      <c r="I59" s="2319"/>
      <c r="J59" s="25">
        <f>ROUND(SUM(J55)+SUM(J57),1)</f>
        <v>5594.1</v>
      </c>
      <c r="K59" s="2319"/>
      <c r="L59" s="25">
        <f>ROUND(SUM(L55+L57),1)</f>
        <v>3300.3</v>
      </c>
      <c r="M59" s="2408"/>
      <c r="N59" s="2409">
        <f>ROUND(SUM(N55+N57),1)</f>
        <v>3300.3</v>
      </c>
      <c r="O59" s="2410"/>
      <c r="P59" s="2410"/>
      <c r="Q59" s="2411"/>
      <c r="R59" s="2409">
        <f>ROUND(SUM(R55+R57),1)</f>
        <v>23825.200000000001</v>
      </c>
      <c r="S59" s="2410"/>
      <c r="T59" s="2409">
        <f>ROUND(SUM(T55+T57),1)</f>
        <v>23825.200000000001</v>
      </c>
      <c r="U59" s="2410"/>
      <c r="V59" s="2410"/>
      <c r="W59" s="2412"/>
      <c r="X59" s="2410"/>
      <c r="Y59" s="25">
        <f>ROUND(SUM(Y55+Y57),1)</f>
        <v>14770.1</v>
      </c>
      <c r="Z59" s="2319"/>
      <c r="AA59" s="25">
        <f>ROUND(SUM(AA55+AA57),1)</f>
        <v>14770.1</v>
      </c>
      <c r="AB59" s="2324"/>
      <c r="AC59" s="2413"/>
      <c r="AD59" s="25">
        <f>ROUND(SUM(AD55+AD57),1)</f>
        <v>9055.1</v>
      </c>
      <c r="AE59" s="2286"/>
      <c r="AF59" s="2323">
        <f>ROUND(+AD59/AA59,3)</f>
        <v>0.61299999999999999</v>
      </c>
    </row>
    <row r="60" spans="1:32" ht="16" thickTop="1">
      <c r="A60" s="2325"/>
      <c r="B60" s="2325"/>
      <c r="C60" s="2325"/>
      <c r="D60" s="2327"/>
      <c r="E60" s="2327"/>
      <c r="F60" s="2327"/>
      <c r="G60" s="2327"/>
      <c r="H60" s="2326"/>
      <c r="I60" s="2327"/>
      <c r="J60" s="2327"/>
      <c r="K60" s="2327"/>
      <c r="L60" s="2327"/>
      <c r="M60" s="2327"/>
      <c r="N60" s="2327"/>
      <c r="O60" s="2327"/>
      <c r="P60" s="2414"/>
      <c r="Q60" s="2327"/>
      <c r="R60" s="2327"/>
      <c r="S60" s="2327"/>
      <c r="T60" s="2327"/>
      <c r="U60" s="2329"/>
      <c r="V60" s="2329"/>
      <c r="W60" s="2329"/>
      <c r="X60" s="2329"/>
      <c r="Y60" s="2329"/>
      <c r="Z60" s="2329"/>
      <c r="AA60" s="2329"/>
      <c r="AB60" s="2329"/>
      <c r="AC60" s="2329"/>
      <c r="AD60" s="2329"/>
      <c r="AE60" s="2234"/>
      <c r="AF60" s="2330"/>
    </row>
    <row r="61" spans="1:32">
      <c r="A61" s="2303"/>
      <c r="B61" s="2303"/>
      <c r="C61" s="2303"/>
      <c r="D61" s="2303"/>
      <c r="E61" s="2303"/>
      <c r="F61" s="2303"/>
      <c r="G61" s="2303"/>
      <c r="H61" s="2332"/>
      <c r="I61" s="2303"/>
      <c r="J61" s="2303"/>
      <c r="K61" s="2303"/>
      <c r="L61" s="2303"/>
      <c r="M61" s="2303"/>
      <c r="N61" s="2303"/>
      <c r="O61" s="2303"/>
      <c r="P61" s="2303"/>
      <c r="Q61" s="2303"/>
      <c r="R61" s="2303"/>
      <c r="S61" s="2303"/>
      <c r="T61" s="2303"/>
      <c r="U61" s="2342"/>
      <c r="V61" s="2342"/>
      <c r="W61" s="2342"/>
      <c r="X61" s="2342"/>
      <c r="Y61" s="2342"/>
      <c r="Z61" s="2342"/>
      <c r="AA61" s="2342"/>
      <c r="AB61" s="2342"/>
    </row>
    <row r="62" spans="1:32" ht="18" customHeight="1">
      <c r="A62" s="2256" t="s">
        <v>1191</v>
      </c>
      <c r="B62" s="2303"/>
      <c r="C62" s="2303"/>
      <c r="D62" s="2303"/>
      <c r="E62" s="2303"/>
      <c r="F62" s="2303"/>
      <c r="G62" s="2303"/>
      <c r="H62" s="2332"/>
      <c r="I62" s="2303"/>
      <c r="J62" s="2303"/>
      <c r="K62" s="2303"/>
      <c r="L62" s="2303"/>
      <c r="M62" s="2303"/>
      <c r="N62" s="2303"/>
      <c r="O62" s="2303"/>
      <c r="P62" s="2303"/>
      <c r="Q62" s="2303"/>
      <c r="R62" s="2303"/>
      <c r="S62" s="2303"/>
      <c r="T62" s="2303"/>
      <c r="U62" s="2342"/>
      <c r="V62" s="2342"/>
      <c r="W62" s="2342"/>
      <c r="X62" s="2342"/>
      <c r="Y62" s="2342"/>
      <c r="Z62" s="2342"/>
      <c r="AA62" s="2342"/>
      <c r="AB62" s="2342"/>
    </row>
    <row r="63" spans="1:32" ht="18" customHeight="1">
      <c r="A63" s="2415" t="s">
        <v>1190</v>
      </c>
      <c r="B63" s="2303"/>
      <c r="C63" s="2303"/>
      <c r="D63" s="2303"/>
      <c r="E63" s="2303"/>
      <c r="F63" s="2303"/>
      <c r="G63" s="2303"/>
      <c r="H63" s="2332"/>
      <c r="I63" s="2303"/>
      <c r="J63" s="2303"/>
      <c r="K63" s="2303"/>
      <c r="L63" s="2303"/>
      <c r="M63" s="2303"/>
      <c r="N63" s="2303"/>
      <c r="O63" s="2303"/>
      <c r="P63" s="2303"/>
      <c r="Q63" s="2303"/>
      <c r="R63" s="2303"/>
      <c r="S63" s="2303"/>
      <c r="T63" s="2303"/>
      <c r="U63" s="2342"/>
      <c r="V63" s="2342"/>
      <c r="W63" s="2342"/>
      <c r="X63" s="2342"/>
      <c r="Y63" s="2342"/>
      <c r="Z63" s="2342"/>
      <c r="AA63" s="2342"/>
      <c r="AB63" s="2342"/>
    </row>
    <row r="64" spans="1:32" ht="15.5">
      <c r="A64" s="2361"/>
      <c r="B64" s="2303"/>
      <c r="C64" s="2303"/>
      <c r="D64" s="2303"/>
      <c r="E64" s="2303"/>
      <c r="F64" s="2303"/>
      <c r="G64" s="2303"/>
      <c r="H64" s="2332"/>
      <c r="I64" s="2303"/>
      <c r="J64" s="2303"/>
      <c r="K64" s="2303"/>
      <c r="L64" s="2303"/>
      <c r="M64" s="2303"/>
      <c r="N64" s="2303"/>
      <c r="O64" s="2303"/>
      <c r="P64" s="2303"/>
      <c r="Q64" s="2303"/>
      <c r="R64" s="2303"/>
      <c r="S64" s="2303"/>
      <c r="T64" s="2303"/>
      <c r="U64" s="2342"/>
      <c r="V64" s="2342"/>
      <c r="W64" s="2342"/>
      <c r="X64" s="2342"/>
      <c r="Y64" s="619" t="s">
        <v>15</v>
      </c>
      <c r="Z64" s="2342"/>
      <c r="AA64" s="2342"/>
      <c r="AB64" s="2342"/>
    </row>
    <row r="65" spans="1:28" ht="15.5">
      <c r="A65" s="2337"/>
      <c r="B65" s="2338"/>
      <c r="C65" s="2331"/>
      <c r="D65" s="2340"/>
      <c r="E65" s="2340"/>
      <c r="F65" s="2340"/>
      <c r="G65" s="2340"/>
      <c r="H65" s="2339"/>
      <c r="I65" s="2340"/>
      <c r="J65" s="2340"/>
      <c r="K65" s="2340"/>
      <c r="L65" s="2340"/>
      <c r="M65" s="2303"/>
      <c r="N65" s="2303"/>
      <c r="O65" s="2303"/>
      <c r="P65" s="2303"/>
      <c r="Q65" s="2303"/>
      <c r="R65" s="2303"/>
      <c r="S65" s="2303"/>
      <c r="T65" s="2303"/>
      <c r="U65" s="2342"/>
      <c r="V65" s="2342"/>
      <c r="W65" s="2342"/>
      <c r="X65" s="2342"/>
      <c r="Y65" s="619" t="s">
        <v>15</v>
      </c>
      <c r="Z65" s="2342"/>
      <c r="AA65" s="2342"/>
      <c r="AB65" s="2342"/>
    </row>
    <row r="66" spans="1:28" ht="15.5">
      <c r="A66" s="1427"/>
      <c r="B66" s="1427"/>
      <c r="C66" s="1427"/>
      <c r="D66" s="2256"/>
      <c r="E66" s="1427"/>
      <c r="F66" s="1427"/>
      <c r="G66" s="1427"/>
      <c r="H66" s="2341"/>
      <c r="I66" s="1427"/>
      <c r="J66" s="1427"/>
      <c r="K66" s="1427"/>
      <c r="L66" s="2256"/>
      <c r="M66" s="2303"/>
      <c r="N66" s="2303"/>
      <c r="O66" s="2303"/>
      <c r="P66" s="2303"/>
      <c r="Q66" s="2303"/>
      <c r="R66" s="2303"/>
      <c r="S66" s="2303"/>
      <c r="T66" s="2303"/>
      <c r="U66" s="2342"/>
      <c r="V66" s="2342"/>
      <c r="W66" s="2342"/>
      <c r="X66" s="2342"/>
      <c r="Y66" s="2342"/>
      <c r="Z66" s="2342"/>
      <c r="AA66" s="2342"/>
      <c r="AB66" s="2342"/>
    </row>
    <row r="67" spans="1:28" ht="15.5">
      <c r="A67" s="1427"/>
      <c r="B67" s="1427"/>
      <c r="C67" s="1427"/>
      <c r="D67" s="2256"/>
      <c r="E67" s="1427"/>
      <c r="F67" s="1427"/>
      <c r="G67" s="1427"/>
      <c r="H67" s="2341"/>
      <c r="I67" s="1427"/>
      <c r="J67" s="1427"/>
      <c r="K67" s="1427"/>
      <c r="L67" s="2256"/>
      <c r="M67" s="2303"/>
      <c r="N67" s="2303"/>
      <c r="O67" s="2303"/>
      <c r="P67" s="2303"/>
      <c r="Q67" s="2303"/>
      <c r="R67" s="2303"/>
      <c r="S67" s="2303"/>
      <c r="T67" s="2303"/>
      <c r="U67" s="2342"/>
      <c r="V67" s="2342"/>
      <c r="W67" s="2342"/>
      <c r="X67" s="2342"/>
      <c r="Y67" s="2342"/>
      <c r="Z67" s="2342"/>
      <c r="AA67" s="2342"/>
      <c r="AB67" s="2342"/>
    </row>
    <row r="68" spans="1:28" ht="15.5">
      <c r="A68" s="1427"/>
      <c r="B68" s="1427"/>
      <c r="C68" s="1427"/>
      <c r="D68" s="2256"/>
      <c r="E68" s="1427"/>
      <c r="F68" s="1427"/>
      <c r="G68" s="1427"/>
      <c r="H68" s="2341"/>
      <c r="I68" s="1427"/>
      <c r="J68" s="1427"/>
      <c r="K68" s="1427"/>
      <c r="L68" s="2256"/>
      <c r="M68" s="2303"/>
      <c r="N68" s="2303"/>
      <c r="O68" s="2303"/>
      <c r="P68" s="2303"/>
      <c r="Q68" s="2303"/>
      <c r="R68" s="2303"/>
      <c r="S68" s="2303"/>
      <c r="T68" s="2303"/>
      <c r="U68" s="2342"/>
      <c r="V68" s="2342"/>
      <c r="W68" s="2342"/>
      <c r="X68" s="2342"/>
      <c r="Y68" s="2342"/>
      <c r="Z68" s="2342"/>
      <c r="AA68" s="2342"/>
      <c r="AB68" s="2342"/>
    </row>
    <row r="69" spans="1:28" ht="19.5" customHeight="1">
      <c r="A69" s="2241"/>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69140625" defaultRowHeight="15.5"/>
  <cols>
    <col min="1" max="1" width="56.69140625" style="729" customWidth="1"/>
    <col min="2" max="2" width="2.07421875" style="729" customWidth="1"/>
    <col min="3" max="3" width="19" style="728" customWidth="1"/>
    <col min="4" max="4" width="1.69140625" style="729" customWidth="1"/>
    <col min="5" max="5" width="16.4609375" style="729" customWidth="1"/>
    <col min="6" max="6" width="1.53515625" style="729" customWidth="1"/>
    <col min="7" max="7" width="16.53515625" style="729" customWidth="1"/>
    <col min="8" max="8" width="1.53515625" style="729" customWidth="1"/>
    <col min="9" max="9" width="17.69140625" style="729" customWidth="1"/>
    <col min="10" max="10" width="1.53515625" style="729" customWidth="1"/>
    <col min="11" max="11" width="20.07421875" style="729" customWidth="1"/>
    <col min="12" max="12" width="6.07421875" style="2215" customWidth="1"/>
    <col min="13" max="13" width="2.53515625" style="2215" customWidth="1"/>
    <col min="14" max="14" width="9" style="2215" bestFit="1" customWidth="1"/>
    <col min="15" max="15" width="20.69140625" style="729" customWidth="1"/>
    <col min="16" max="16384" width="8.69140625" style="729"/>
  </cols>
  <sheetData>
    <row r="1" spans="1:14">
      <c r="A1" s="1499" t="s">
        <v>963</v>
      </c>
    </row>
    <row r="2" spans="1:14">
      <c r="A2" s="3010"/>
    </row>
    <row r="3" spans="1:14" ht="18">
      <c r="A3" s="3011" t="s">
        <v>0</v>
      </c>
      <c r="B3" s="771"/>
      <c r="C3" s="771"/>
      <c r="D3" s="771"/>
      <c r="E3" s="771"/>
      <c r="F3" s="771"/>
      <c r="G3" s="771"/>
      <c r="H3" s="771"/>
      <c r="I3" s="771"/>
      <c r="J3" s="771"/>
      <c r="K3" s="3012" t="s">
        <v>230</v>
      </c>
      <c r="L3" s="3013"/>
    </row>
    <row r="4" spans="1:14" ht="18">
      <c r="A4" s="3011" t="s">
        <v>229</v>
      </c>
      <c r="B4" s="771"/>
      <c r="C4" s="771" t="s">
        <v>15</v>
      </c>
      <c r="D4" s="771"/>
      <c r="E4" s="771"/>
      <c r="F4" s="771"/>
      <c r="G4" s="771"/>
      <c r="H4" s="771"/>
      <c r="I4" s="771"/>
      <c r="J4" s="771"/>
      <c r="L4" s="3014"/>
    </row>
    <row r="5" spans="1:14" ht="18">
      <c r="A5" s="3011" t="s">
        <v>1273</v>
      </c>
      <c r="B5" s="771"/>
      <c r="C5" s="771"/>
      <c r="D5" s="771"/>
      <c r="E5" s="771"/>
      <c r="F5" s="771"/>
      <c r="G5" s="771"/>
      <c r="H5" s="771"/>
      <c r="I5" s="771"/>
      <c r="J5" s="771"/>
      <c r="K5" s="3015"/>
      <c r="L5" s="3016"/>
    </row>
    <row r="6" spans="1:14" ht="18">
      <c r="A6" s="3017" t="s">
        <v>231</v>
      </c>
      <c r="B6" s="771"/>
      <c r="C6" s="771"/>
      <c r="D6" s="771"/>
      <c r="E6" s="771"/>
      <c r="F6" s="771"/>
      <c r="G6" s="771"/>
      <c r="H6" s="771"/>
      <c r="I6" s="771"/>
      <c r="J6" s="771"/>
      <c r="K6" s="431"/>
      <c r="L6" s="3018"/>
    </row>
    <row r="7" spans="1:14" ht="18">
      <c r="A7" s="3017" t="s">
        <v>1468</v>
      </c>
      <c r="B7" s="771"/>
      <c r="C7" s="771"/>
      <c r="D7" s="771"/>
      <c r="E7" s="771"/>
      <c r="F7" s="771"/>
      <c r="G7" s="771"/>
      <c r="H7" s="771"/>
      <c r="I7" s="771"/>
      <c r="J7" s="771"/>
      <c r="K7" s="431"/>
      <c r="L7" s="3018"/>
    </row>
    <row r="8" spans="1:14" ht="18">
      <c r="A8" s="3017" t="s">
        <v>1551</v>
      </c>
      <c r="B8" s="771"/>
      <c r="C8" s="771"/>
      <c r="D8" s="771"/>
      <c r="E8" s="771" t="s">
        <v>15</v>
      </c>
      <c r="F8" s="771"/>
      <c r="G8" s="771"/>
      <c r="H8" s="771"/>
      <c r="I8" s="771"/>
      <c r="J8" s="771"/>
      <c r="K8" s="771"/>
      <c r="L8" s="3013"/>
    </row>
    <row r="9" spans="1:14" ht="18">
      <c r="A9" s="3011" t="s">
        <v>1369</v>
      </c>
      <c r="B9" s="3019" t="s">
        <v>232</v>
      </c>
      <c r="C9" s="724"/>
      <c r="D9" s="724"/>
      <c r="E9" s="724"/>
      <c r="F9" s="724"/>
      <c r="G9" s="724"/>
      <c r="H9" s="724"/>
      <c r="I9" s="724"/>
      <c r="J9" s="724"/>
      <c r="K9" s="724"/>
      <c r="L9" s="726"/>
    </row>
    <row r="10" spans="1:14">
      <c r="A10" s="724"/>
      <c r="B10" s="724"/>
      <c r="C10" s="428" t="s">
        <v>233</v>
      </c>
      <c r="D10" s="432"/>
      <c r="E10" s="432"/>
      <c r="F10" s="432"/>
      <c r="G10" s="434"/>
      <c r="H10" s="432"/>
      <c r="I10" s="2210" t="s">
        <v>234</v>
      </c>
      <c r="J10" s="432"/>
      <c r="K10" s="2210" t="s">
        <v>233</v>
      </c>
      <c r="L10" s="2210"/>
    </row>
    <row r="11" spans="1:14">
      <c r="A11" s="724"/>
      <c r="B11" s="724"/>
      <c r="C11" s="3444" t="s">
        <v>1547</v>
      </c>
      <c r="D11" s="432"/>
      <c r="E11" s="2211" t="s">
        <v>235</v>
      </c>
      <c r="F11" s="434"/>
      <c r="G11" s="2212" t="s">
        <v>236</v>
      </c>
      <c r="H11" s="434"/>
      <c r="I11" s="2212" t="s">
        <v>237</v>
      </c>
      <c r="J11" s="434"/>
      <c r="K11" s="3020" t="s">
        <v>1548</v>
      </c>
      <c r="L11" s="2213"/>
    </row>
    <row r="12" spans="1:14">
      <c r="A12" s="724"/>
      <c r="B12" s="724"/>
      <c r="C12" s="2213"/>
      <c r="D12" s="432"/>
      <c r="E12" s="2210"/>
      <c r="F12" s="434"/>
      <c r="G12" s="2210"/>
      <c r="H12" s="434"/>
      <c r="I12" s="2210"/>
      <c r="J12" s="434"/>
      <c r="K12" s="3021"/>
      <c r="L12" s="2213"/>
    </row>
    <row r="13" spans="1:14">
      <c r="A13" s="429" t="s">
        <v>146</v>
      </c>
      <c r="B13" s="724"/>
      <c r="C13" s="726"/>
      <c r="D13" s="724"/>
      <c r="E13" s="1718"/>
      <c r="F13" s="724"/>
      <c r="G13" s="723"/>
      <c r="H13" s="724"/>
      <c r="I13" s="723"/>
      <c r="J13" s="724"/>
      <c r="K13" s="726"/>
      <c r="L13" s="726"/>
    </row>
    <row r="14" spans="1:14">
      <c r="A14" s="724" t="s">
        <v>238</v>
      </c>
      <c r="B14" s="1718"/>
      <c r="C14" s="1685">
        <v>0</v>
      </c>
      <c r="D14" s="1686"/>
      <c r="E14" s="1685">
        <v>6.0999999999999999E-2</v>
      </c>
      <c r="F14" s="1686"/>
      <c r="G14" s="1685">
        <v>2396.098</v>
      </c>
      <c r="H14" s="1686"/>
      <c r="I14" s="1685">
        <v>2396.0369999999998</v>
      </c>
      <c r="J14" s="1718"/>
      <c r="K14" s="787">
        <f t="shared" ref="K14:K23" si="0">ROUND(SUM(C14)+SUM(E14)-SUM(G14)+SUM(I14),3)</f>
        <v>0</v>
      </c>
      <c r="L14" s="2127"/>
    </row>
    <row r="15" spans="1:14">
      <c r="A15" s="724" t="s">
        <v>239</v>
      </c>
      <c r="B15" s="724"/>
      <c r="C15" s="1689">
        <v>15411.819</v>
      </c>
      <c r="D15" s="1686"/>
      <c r="E15" s="1689">
        <v>2260.8670000000002</v>
      </c>
      <c r="F15" s="1686"/>
      <c r="G15" s="1689">
        <v>1168.999</v>
      </c>
      <c r="H15" s="1686"/>
      <c r="I15" s="1689">
        <v>-1602.752</v>
      </c>
      <c r="J15" s="1718"/>
      <c r="K15" s="640">
        <f t="shared" si="0"/>
        <v>14900.934999999999</v>
      </c>
      <c r="L15" s="2133"/>
      <c r="M15" s="2130"/>
      <c r="N15" s="2130"/>
    </row>
    <row r="16" spans="1:14">
      <c r="A16" s="725" t="s">
        <v>240</v>
      </c>
      <c r="B16" s="724"/>
      <c r="C16" s="1689">
        <v>0</v>
      </c>
      <c r="D16" s="1686"/>
      <c r="E16" s="1689">
        <v>0</v>
      </c>
      <c r="F16" s="1686"/>
      <c r="G16" s="1689">
        <v>0</v>
      </c>
      <c r="H16" s="1686"/>
      <c r="I16" s="1689">
        <v>0</v>
      </c>
      <c r="J16" s="1718"/>
      <c r="K16" s="640">
        <f t="shared" si="0"/>
        <v>0</v>
      </c>
      <c r="L16" s="2133"/>
      <c r="M16" s="2130"/>
      <c r="N16" s="2130"/>
    </row>
    <row r="17" spans="1:14">
      <c r="A17" s="724" t="s">
        <v>241</v>
      </c>
      <c r="B17" s="724"/>
      <c r="C17" s="1689">
        <v>0</v>
      </c>
      <c r="D17" s="1686"/>
      <c r="E17" s="1689">
        <v>0</v>
      </c>
      <c r="F17" s="1686"/>
      <c r="G17" s="1689">
        <v>0</v>
      </c>
      <c r="H17" s="1686"/>
      <c r="I17" s="1689">
        <v>0</v>
      </c>
      <c r="J17" s="1718"/>
      <c r="K17" s="640">
        <f t="shared" si="0"/>
        <v>0</v>
      </c>
      <c r="L17" s="2133"/>
      <c r="M17" s="2130"/>
      <c r="N17" s="2130"/>
    </row>
    <row r="18" spans="1:14">
      <c r="A18" s="724" t="s">
        <v>242</v>
      </c>
      <c r="B18" s="724"/>
      <c r="C18" s="1689">
        <v>0</v>
      </c>
      <c r="D18" s="1686"/>
      <c r="E18" s="1689">
        <v>0</v>
      </c>
      <c r="F18" s="1686"/>
      <c r="G18" s="1689">
        <v>0</v>
      </c>
      <c r="H18" s="1686"/>
      <c r="I18" s="1689">
        <v>0</v>
      </c>
      <c r="J18" s="1718"/>
      <c r="K18" s="640">
        <f t="shared" si="0"/>
        <v>0</v>
      </c>
      <c r="L18" s="2133"/>
      <c r="M18" s="2130"/>
      <c r="N18" s="2130"/>
    </row>
    <row r="19" spans="1:14">
      <c r="A19" s="724" t="s">
        <v>243</v>
      </c>
      <c r="B19" s="724"/>
      <c r="C19" s="1689">
        <v>29.975999999999999</v>
      </c>
      <c r="D19" s="1686"/>
      <c r="E19" s="1689">
        <v>0</v>
      </c>
      <c r="F19" s="1686"/>
      <c r="G19" s="1689">
        <v>9.7000000000000003E-2</v>
      </c>
      <c r="H19" s="1686"/>
      <c r="I19" s="1689">
        <v>0</v>
      </c>
      <c r="J19" s="1718"/>
      <c r="K19" s="640">
        <f t="shared" si="0"/>
        <v>29.879000000000001</v>
      </c>
      <c r="L19" s="727"/>
      <c r="M19" s="2130"/>
      <c r="N19" s="2130"/>
    </row>
    <row r="20" spans="1:14">
      <c r="A20" s="724" t="s">
        <v>244</v>
      </c>
      <c r="B20" s="724"/>
      <c r="C20" s="1689">
        <v>0</v>
      </c>
      <c r="D20" s="1686"/>
      <c r="E20" s="1689">
        <v>0</v>
      </c>
      <c r="F20" s="1686"/>
      <c r="G20" s="1689">
        <v>0</v>
      </c>
      <c r="H20" s="1686"/>
      <c r="I20" s="1689">
        <v>0</v>
      </c>
      <c r="J20" s="1718"/>
      <c r="K20" s="640">
        <f t="shared" si="0"/>
        <v>0</v>
      </c>
      <c r="L20" s="2133"/>
      <c r="M20" s="2130"/>
      <c r="N20" s="2130"/>
    </row>
    <row r="21" spans="1:14">
      <c r="A21" s="725" t="s">
        <v>245</v>
      </c>
      <c r="B21" s="726"/>
      <c r="C21" s="1689">
        <v>0</v>
      </c>
      <c r="D21" s="1686"/>
      <c r="E21" s="1689">
        <v>0</v>
      </c>
      <c r="F21" s="1686"/>
      <c r="G21" s="1689">
        <v>0</v>
      </c>
      <c r="H21" s="1686"/>
      <c r="I21" s="1689">
        <v>0</v>
      </c>
      <c r="J21" s="1718"/>
      <c r="K21" s="640">
        <f t="shared" si="0"/>
        <v>0</v>
      </c>
      <c r="L21" s="2133"/>
      <c r="M21" s="2130"/>
      <c r="N21" s="2130"/>
    </row>
    <row r="22" spans="1:14">
      <c r="A22" s="725" t="s">
        <v>246</v>
      </c>
      <c r="B22" s="724"/>
      <c r="C22" s="1689">
        <v>0</v>
      </c>
      <c r="D22" s="1686"/>
      <c r="E22" s="1689">
        <v>0</v>
      </c>
      <c r="F22" s="1686"/>
      <c r="G22" s="1689">
        <v>0</v>
      </c>
      <c r="H22" s="1686"/>
      <c r="I22" s="1689">
        <v>0</v>
      </c>
      <c r="J22" s="1718"/>
      <c r="K22" s="640">
        <f t="shared" si="0"/>
        <v>0</v>
      </c>
      <c r="L22" s="2133"/>
      <c r="M22" s="2130"/>
      <c r="N22" s="2130"/>
    </row>
    <row r="23" spans="1:14">
      <c r="A23" s="725" t="s">
        <v>247</v>
      </c>
      <c r="B23" s="724"/>
      <c r="C23" s="1689">
        <v>0</v>
      </c>
      <c r="D23" s="1686"/>
      <c r="E23" s="1689">
        <v>0</v>
      </c>
      <c r="F23" s="1686"/>
      <c r="G23" s="1689">
        <v>0</v>
      </c>
      <c r="H23" s="1686"/>
      <c r="I23" s="1689">
        <v>0</v>
      </c>
      <c r="J23" s="1718"/>
      <c r="K23" s="640">
        <f t="shared" si="0"/>
        <v>0</v>
      </c>
      <c r="L23" s="2133"/>
      <c r="M23" s="2130"/>
    </row>
    <row r="24" spans="1:14" ht="22.5" customHeight="1">
      <c r="A24" s="426" t="s">
        <v>248</v>
      </c>
      <c r="B24" s="724"/>
      <c r="C24" s="427">
        <f>ROUND(SUM(C14:C23),3)</f>
        <v>15441.795</v>
      </c>
      <c r="D24" s="428"/>
      <c r="E24" s="427">
        <f>ROUND(SUM(E14:E23),3)</f>
        <v>2260.9279999999999</v>
      </c>
      <c r="F24" s="428"/>
      <c r="G24" s="427">
        <f>ROUND(SUM(G14:G23),3)</f>
        <v>3565.194</v>
      </c>
      <c r="H24" s="428"/>
      <c r="I24" s="427">
        <f>ROUND(SUM(I14:I23),3)</f>
        <v>793.28499999999997</v>
      </c>
      <c r="J24" s="428"/>
      <c r="K24" s="427">
        <f>ROUND(SUM(K14:K23),3)</f>
        <v>14930.814</v>
      </c>
      <c r="L24" s="3022"/>
      <c r="M24" s="2130"/>
      <c r="N24" s="2130"/>
    </row>
    <row r="25" spans="1:14" ht="8.25" customHeight="1">
      <c r="A25" s="426"/>
      <c r="B25" s="724"/>
      <c r="C25" s="723"/>
      <c r="D25" s="640"/>
      <c r="E25" s="723"/>
      <c r="F25" s="640"/>
      <c r="G25" s="723"/>
      <c r="H25" s="640"/>
      <c r="I25" s="723"/>
      <c r="J25" s="640"/>
      <c r="K25" s="723"/>
      <c r="L25" s="723"/>
      <c r="M25" s="2130"/>
      <c r="N25" s="2130"/>
    </row>
    <row r="26" spans="1:14" ht="16">
      <c r="A26" s="725"/>
      <c r="B26" s="724"/>
      <c r="C26" s="726"/>
      <c r="D26" s="724"/>
      <c r="E26" s="726"/>
      <c r="F26" s="680"/>
      <c r="G26" s="726"/>
      <c r="H26" s="680"/>
      <c r="I26" s="726"/>
      <c r="J26" s="724"/>
      <c r="K26" s="727"/>
      <c r="L26" s="727"/>
      <c r="M26" s="2130"/>
      <c r="N26" s="2130"/>
    </row>
    <row r="27" spans="1:14" ht="16">
      <c r="A27" s="429" t="s">
        <v>875</v>
      </c>
      <c r="B27" s="724"/>
      <c r="C27" s="724"/>
      <c r="D27" s="724"/>
      <c r="E27" s="724"/>
      <c r="F27" s="680"/>
      <c r="G27" s="724"/>
      <c r="H27" s="680"/>
      <c r="I27" s="724"/>
      <c r="J27" s="724"/>
      <c r="K27" s="724"/>
      <c r="L27" s="726"/>
      <c r="M27" s="2130"/>
      <c r="N27" s="2130"/>
    </row>
    <row r="28" spans="1:14">
      <c r="A28" s="725" t="s">
        <v>249</v>
      </c>
      <c r="B28" s="724"/>
      <c r="C28" s="1689">
        <v>0.84099999999999997</v>
      </c>
      <c r="D28" s="1686"/>
      <c r="E28" s="1689">
        <v>0</v>
      </c>
      <c r="F28" s="1686"/>
      <c r="G28" s="1689">
        <v>3.0000000000000001E-3</v>
      </c>
      <c r="H28" s="1686"/>
      <c r="I28" s="1689">
        <v>0</v>
      </c>
      <c r="J28" s="1718"/>
      <c r="K28" s="640">
        <f t="shared" ref="K28:K33" si="1">ROUND(SUM(C28)+SUM(E28)-SUM(G28)+SUM(I28),3)</f>
        <v>0.83799999999999997</v>
      </c>
      <c r="L28" s="3102"/>
      <c r="M28" s="2130"/>
    </row>
    <row r="29" spans="1:14">
      <c r="A29" s="725" t="s">
        <v>250</v>
      </c>
      <c r="B29" s="724"/>
      <c r="C29" s="1689">
        <v>69.873999999999995</v>
      </c>
      <c r="D29" s="1686"/>
      <c r="E29" s="1689">
        <v>0.97799999999999998</v>
      </c>
      <c r="F29" s="1686"/>
      <c r="G29" s="1689">
        <v>0.51300000000000001</v>
      </c>
      <c r="H29" s="1686"/>
      <c r="I29" s="1689">
        <v>0</v>
      </c>
      <c r="J29" s="1718"/>
      <c r="K29" s="640">
        <f t="shared" si="1"/>
        <v>70.338999999999999</v>
      </c>
      <c r="L29" s="3102"/>
      <c r="M29" s="2130"/>
      <c r="N29" s="2130"/>
    </row>
    <row r="30" spans="1:14">
      <c r="A30" s="724" t="s">
        <v>251</v>
      </c>
      <c r="B30" s="3019" t="s">
        <v>232</v>
      </c>
      <c r="C30" s="1689">
        <v>114.387</v>
      </c>
      <c r="D30" s="1686"/>
      <c r="E30" s="1689">
        <v>2.2509999999999999</v>
      </c>
      <c r="F30" s="1686"/>
      <c r="G30" s="1689">
        <v>4.0880000000000001</v>
      </c>
      <c r="H30" s="1686"/>
      <c r="I30" s="1689">
        <v>0</v>
      </c>
      <c r="J30" s="1718"/>
      <c r="K30" s="640">
        <f t="shared" si="1"/>
        <v>112.55</v>
      </c>
      <c r="L30" s="3102"/>
      <c r="M30" s="2130"/>
      <c r="N30" s="2130"/>
    </row>
    <row r="31" spans="1:14">
      <c r="A31" s="725" t="s">
        <v>252</v>
      </c>
      <c r="B31" s="3019"/>
      <c r="C31" s="1689">
        <v>7.6999999999999999E-2</v>
      </c>
      <c r="D31" s="1686"/>
      <c r="E31" s="1689">
        <v>0</v>
      </c>
      <c r="F31" s="1686"/>
      <c r="G31" s="1689">
        <v>3.6000000000000004E-2</v>
      </c>
      <c r="H31" s="1686"/>
      <c r="I31" s="1689">
        <v>0</v>
      </c>
      <c r="J31" s="1718"/>
      <c r="K31" s="640">
        <f t="shared" si="1"/>
        <v>4.1000000000000002E-2</v>
      </c>
      <c r="L31" s="3102"/>
      <c r="M31" s="2130"/>
      <c r="N31" s="2130"/>
    </row>
    <row r="32" spans="1:14">
      <c r="A32" s="725" t="s">
        <v>253</v>
      </c>
      <c r="B32" s="3019"/>
      <c r="C32" s="1689">
        <v>0.47</v>
      </c>
      <c r="D32" s="1686"/>
      <c r="E32" s="1689">
        <v>5.0000000000000001E-3</v>
      </c>
      <c r="F32" s="1686"/>
      <c r="G32" s="1689">
        <v>4.9000000000000002E-2</v>
      </c>
      <c r="H32" s="1686"/>
      <c r="I32" s="1689">
        <v>0</v>
      </c>
      <c r="J32" s="1718"/>
      <c r="K32" s="640">
        <f t="shared" si="1"/>
        <v>0.42599999999999999</v>
      </c>
      <c r="L32" s="3102"/>
      <c r="M32" s="2130"/>
      <c r="N32" s="2130"/>
    </row>
    <row r="33" spans="1:14">
      <c r="A33" s="724" t="s">
        <v>254</v>
      </c>
      <c r="B33" s="724"/>
      <c r="C33" s="1689">
        <v>8.4290000000000003</v>
      </c>
      <c r="D33" s="1686"/>
      <c r="E33" s="1689">
        <v>0.29099999999999998</v>
      </c>
      <c r="F33" s="1686"/>
      <c r="G33" s="1689">
        <v>0.48399999999999999</v>
      </c>
      <c r="H33" s="1686"/>
      <c r="I33" s="1689">
        <v>0</v>
      </c>
      <c r="J33" s="1718"/>
      <c r="K33" s="640">
        <f t="shared" si="1"/>
        <v>8.2360000000000007</v>
      </c>
      <c r="L33" s="3102"/>
      <c r="M33" s="2130"/>
      <c r="N33" s="2130"/>
    </row>
    <row r="34" spans="1:14">
      <c r="A34" s="724" t="s">
        <v>255</v>
      </c>
      <c r="B34" s="724"/>
      <c r="C34" s="3445"/>
      <c r="D34" s="1716"/>
      <c r="E34" s="1717"/>
      <c r="F34" s="1717"/>
      <c r="G34" s="1717"/>
      <c r="H34" s="1717"/>
      <c r="I34" s="1717"/>
      <c r="J34" s="430"/>
      <c r="K34" s="1498"/>
      <c r="L34" s="2129"/>
      <c r="M34" s="2130"/>
      <c r="N34" s="2130"/>
    </row>
    <row r="35" spans="1:14">
      <c r="A35" s="724" t="s">
        <v>256</v>
      </c>
      <c r="B35" s="724"/>
      <c r="C35" s="1689">
        <v>4.7460000000000004</v>
      </c>
      <c r="D35" s="1686"/>
      <c r="E35" s="1689">
        <v>0.90100000000000002</v>
      </c>
      <c r="F35" s="1686"/>
      <c r="G35" s="1689">
        <v>0.50800000000000001</v>
      </c>
      <c r="H35" s="1686"/>
      <c r="I35" s="1689">
        <v>0</v>
      </c>
      <c r="J35" s="1718"/>
      <c r="K35" s="640">
        <f t="shared" ref="K35:K60" si="2">ROUND(SUM(C35)+SUM(E35)-SUM(G35)+SUM(I35),3)</f>
        <v>5.1390000000000002</v>
      </c>
      <c r="L35" s="2128"/>
      <c r="M35" s="2130"/>
      <c r="N35" s="2130"/>
    </row>
    <row r="36" spans="1:14">
      <c r="A36" s="724" t="s">
        <v>257</v>
      </c>
      <c r="B36" s="724"/>
      <c r="C36" s="1689">
        <v>8.9999999999999993E-3</v>
      </c>
      <c r="D36" s="1686"/>
      <c r="E36" s="1689">
        <v>0.1</v>
      </c>
      <c r="F36" s="1686"/>
      <c r="G36" s="1689">
        <v>0</v>
      </c>
      <c r="H36" s="1686"/>
      <c r="I36" s="1689">
        <v>0</v>
      </c>
      <c r="J36" s="1718"/>
      <c r="K36" s="640">
        <f t="shared" si="2"/>
        <v>0.109</v>
      </c>
      <c r="L36" s="3102"/>
      <c r="M36" s="2130"/>
      <c r="N36" s="2130"/>
    </row>
    <row r="37" spans="1:14">
      <c r="A37" s="724" t="s">
        <v>258</v>
      </c>
      <c r="B37" s="724"/>
      <c r="C37" s="1689">
        <v>0.57699999999999996</v>
      </c>
      <c r="D37" s="1686"/>
      <c r="E37" s="1689">
        <v>1E-3</v>
      </c>
      <c r="F37" s="1686"/>
      <c r="G37" s="1689">
        <v>0</v>
      </c>
      <c r="H37" s="1686"/>
      <c r="I37" s="1689">
        <v>0</v>
      </c>
      <c r="J37" s="1718"/>
      <c r="K37" s="640">
        <f t="shared" si="2"/>
        <v>0.57799999999999996</v>
      </c>
      <c r="L37" s="3102"/>
      <c r="M37" s="2130"/>
      <c r="N37" s="2130"/>
    </row>
    <row r="38" spans="1:14">
      <c r="A38" s="2055" t="s">
        <v>259</v>
      </c>
      <c r="B38" s="3023"/>
      <c r="C38" s="1689">
        <v>0</v>
      </c>
      <c r="D38" s="1686"/>
      <c r="E38" s="1689">
        <v>0</v>
      </c>
      <c r="F38" s="1686"/>
      <c r="G38" s="1689">
        <v>0</v>
      </c>
      <c r="H38" s="1686"/>
      <c r="I38" s="1689">
        <v>0</v>
      </c>
      <c r="J38" s="1718"/>
      <c r="K38" s="640">
        <f t="shared" si="2"/>
        <v>0</v>
      </c>
      <c r="L38" s="3102"/>
      <c r="M38" s="2130"/>
      <c r="N38" s="2130"/>
    </row>
    <row r="39" spans="1:14">
      <c r="A39" s="725" t="s">
        <v>260</v>
      </c>
      <c r="B39" s="724"/>
      <c r="C39" s="1689">
        <v>104.33499999999999</v>
      </c>
      <c r="D39" s="1686"/>
      <c r="E39" s="1689">
        <v>495.529</v>
      </c>
      <c r="F39" s="1686"/>
      <c r="G39" s="1689">
        <v>410.798</v>
      </c>
      <c r="H39" s="1686"/>
      <c r="I39" s="1689">
        <v>-7.4850000000000003</v>
      </c>
      <c r="J39" s="1718"/>
      <c r="K39" s="640">
        <f t="shared" si="2"/>
        <v>181.58099999999999</v>
      </c>
      <c r="L39" s="2128"/>
      <c r="M39" s="2130"/>
      <c r="N39" s="2130"/>
    </row>
    <row r="40" spans="1:14">
      <c r="A40" s="724" t="s">
        <v>261</v>
      </c>
      <c r="B40" s="724"/>
      <c r="C40" s="1689">
        <v>90.444000000000003</v>
      </c>
      <c r="D40" s="1686"/>
      <c r="E40" s="1719">
        <v>49.779000000000003</v>
      </c>
      <c r="F40" s="1686"/>
      <c r="G40" s="1689">
        <v>65.099999999999994</v>
      </c>
      <c r="H40" s="1686"/>
      <c r="I40" s="1689">
        <v>0</v>
      </c>
      <c r="J40" s="1718"/>
      <c r="K40" s="640">
        <f t="shared" si="2"/>
        <v>75.123000000000005</v>
      </c>
      <c r="L40" s="3102"/>
      <c r="M40" s="2130"/>
    </row>
    <row r="41" spans="1:14">
      <c r="A41" s="725" t="s">
        <v>262</v>
      </c>
      <c r="B41" s="724"/>
      <c r="C41" s="1689">
        <v>-1415.269</v>
      </c>
      <c r="D41" s="1686"/>
      <c r="E41" s="1689">
        <v>227.87899999999999</v>
      </c>
      <c r="F41" s="1686"/>
      <c r="G41" s="1689">
        <v>149.27500000000001</v>
      </c>
      <c r="H41" s="1686"/>
      <c r="I41" s="1689">
        <v>0</v>
      </c>
      <c r="J41" s="1718"/>
      <c r="K41" s="640">
        <f t="shared" si="2"/>
        <v>-1336.665</v>
      </c>
      <c r="L41" s="3102"/>
      <c r="M41" s="2130"/>
      <c r="N41" s="2130"/>
    </row>
    <row r="42" spans="1:14">
      <c r="A42" s="725" t="s">
        <v>263</v>
      </c>
      <c r="B42" s="724"/>
      <c r="C42" s="1689">
        <v>28.981999999999999</v>
      </c>
      <c r="D42" s="1686"/>
      <c r="E42" s="1689">
        <v>1.9419999999999999</v>
      </c>
      <c r="F42" s="1686"/>
      <c r="G42" s="1689">
        <v>0.52200000000000002</v>
      </c>
      <c r="H42" s="1686"/>
      <c r="I42" s="1689">
        <v>0</v>
      </c>
      <c r="J42" s="1718"/>
      <c r="K42" s="640">
        <f t="shared" si="2"/>
        <v>30.402000000000001</v>
      </c>
      <c r="L42" s="3102"/>
      <c r="M42" s="2130"/>
      <c r="N42" s="2130"/>
    </row>
    <row r="43" spans="1:14">
      <c r="A43" s="724" t="s">
        <v>264</v>
      </c>
      <c r="B43" s="724"/>
      <c r="C43" s="1689">
        <v>-3.7480000000000002</v>
      </c>
      <c r="D43" s="1686"/>
      <c r="E43" s="1689">
        <v>0</v>
      </c>
      <c r="F43" s="1686"/>
      <c r="G43" s="1689">
        <v>5.0999999999999997E-2</v>
      </c>
      <c r="H43" s="1686"/>
      <c r="I43" s="1689">
        <v>0</v>
      </c>
      <c r="J43" s="1718"/>
      <c r="K43" s="640">
        <f t="shared" si="2"/>
        <v>-3.7989999999999999</v>
      </c>
      <c r="L43" s="3102"/>
      <c r="M43" s="2130"/>
      <c r="N43" s="2130"/>
    </row>
    <row r="44" spans="1:14">
      <c r="A44" s="724" t="s">
        <v>1196</v>
      </c>
      <c r="B44" s="724"/>
      <c r="C44" s="1689">
        <v>-5.8710000000000004</v>
      </c>
      <c r="D44" s="1686"/>
      <c r="E44" s="1689">
        <v>12.432</v>
      </c>
      <c r="F44" s="1686"/>
      <c r="G44" s="1689">
        <v>6.7640000000000002</v>
      </c>
      <c r="H44" s="1686"/>
      <c r="I44" s="1689">
        <v>5.0330000000000004</v>
      </c>
      <c r="J44" s="1718"/>
      <c r="K44" s="640">
        <f t="shared" si="2"/>
        <v>4.83</v>
      </c>
      <c r="L44" s="2128"/>
      <c r="M44" s="2130"/>
      <c r="N44" s="2130"/>
    </row>
    <row r="45" spans="1:14">
      <c r="A45" s="724" t="s">
        <v>265</v>
      </c>
      <c r="B45" s="724"/>
      <c r="C45" s="1689">
        <v>95.102999999999994</v>
      </c>
      <c r="D45" s="1686"/>
      <c r="E45" s="1689">
        <v>10.744999999999999</v>
      </c>
      <c r="F45" s="1686"/>
      <c r="G45" s="1689">
        <v>2.6549999999999998</v>
      </c>
      <c r="H45" s="1686"/>
      <c r="I45" s="1689">
        <v>-1.8340000000000001</v>
      </c>
      <c r="J45" s="1718"/>
      <c r="K45" s="640">
        <f t="shared" si="2"/>
        <v>101.35899999999999</v>
      </c>
      <c r="L45" s="3102"/>
      <c r="M45" s="2130"/>
      <c r="N45" s="2130"/>
    </row>
    <row r="46" spans="1:14">
      <c r="A46" s="724" t="s">
        <v>266</v>
      </c>
      <c r="B46" s="724"/>
      <c r="C46" s="1689">
        <v>20.283000000000001</v>
      </c>
      <c r="D46" s="1686"/>
      <c r="E46" s="1689">
        <v>3.3180000000000001</v>
      </c>
      <c r="F46" s="1686"/>
      <c r="G46" s="1689">
        <v>1.5429999999999999</v>
      </c>
      <c r="H46" s="1686"/>
      <c r="I46" s="1689">
        <v>-2.4220000000000002</v>
      </c>
      <c r="J46" s="1718"/>
      <c r="K46" s="640">
        <f t="shared" si="2"/>
        <v>19.635999999999999</v>
      </c>
      <c r="L46" s="3102" t="s">
        <v>15</v>
      </c>
      <c r="M46" s="2130"/>
      <c r="N46" s="2130"/>
    </row>
    <row r="47" spans="1:14">
      <c r="A47" s="724" t="s">
        <v>267</v>
      </c>
      <c r="B47" s="724"/>
      <c r="C47" s="1689">
        <v>10.532</v>
      </c>
      <c r="D47" s="1686"/>
      <c r="E47" s="1689">
        <v>1E-3</v>
      </c>
      <c r="F47" s="1686"/>
      <c r="G47" s="1689">
        <v>1.8260000000000001</v>
      </c>
      <c r="H47" s="1686"/>
      <c r="I47" s="1689">
        <v>0</v>
      </c>
      <c r="J47" s="1718"/>
      <c r="K47" s="640">
        <f t="shared" si="2"/>
        <v>8.7070000000000007</v>
      </c>
      <c r="L47" s="3102"/>
      <c r="M47" s="2130"/>
      <c r="N47" s="2130"/>
    </row>
    <row r="48" spans="1:14">
      <c r="A48" s="724" t="s">
        <v>268</v>
      </c>
      <c r="B48" s="724"/>
      <c r="C48" s="1689">
        <v>10.089</v>
      </c>
      <c r="D48" s="1686"/>
      <c r="E48" s="1689">
        <v>0.92500000000000004</v>
      </c>
      <c r="F48" s="1686"/>
      <c r="G48" s="1689">
        <v>9.1999999999999998E-2</v>
      </c>
      <c r="H48" s="1686"/>
      <c r="I48" s="1689">
        <v>0</v>
      </c>
      <c r="J48" s="1718"/>
      <c r="K48" s="640">
        <f t="shared" si="2"/>
        <v>10.922000000000001</v>
      </c>
      <c r="L48" s="3102"/>
      <c r="M48" s="2130"/>
      <c r="N48" s="2130"/>
    </row>
    <row r="49" spans="1:14">
      <c r="A49" s="725" t="s">
        <v>269</v>
      </c>
      <c r="B49" s="724"/>
      <c r="C49" s="1689">
        <v>0.54300000000000004</v>
      </c>
      <c r="D49" s="1686"/>
      <c r="E49" s="1689">
        <v>2E-3</v>
      </c>
      <c r="F49" s="1686"/>
      <c r="G49" s="1689">
        <v>1.3000000000000001E-2</v>
      </c>
      <c r="H49" s="1686"/>
      <c r="I49" s="1689">
        <v>0</v>
      </c>
      <c r="J49" s="1718"/>
      <c r="K49" s="640">
        <f t="shared" si="2"/>
        <v>0.53200000000000003</v>
      </c>
      <c r="L49" s="3102"/>
      <c r="M49" s="2130"/>
      <c r="N49" s="2130"/>
    </row>
    <row r="50" spans="1:14">
      <c r="A50" s="724" t="s">
        <v>270</v>
      </c>
      <c r="B50" s="724"/>
      <c r="C50" s="1689">
        <v>486.24599999999998</v>
      </c>
      <c r="D50" s="1686"/>
      <c r="E50" s="1689">
        <v>136.39699999999999</v>
      </c>
      <c r="F50" s="1686"/>
      <c r="G50" s="1689">
        <v>178.71</v>
      </c>
      <c r="H50" s="1686"/>
      <c r="I50" s="1689">
        <v>-8.5000000000000006E-2</v>
      </c>
      <c r="J50" s="1718"/>
      <c r="K50" s="640">
        <f t="shared" si="2"/>
        <v>443.84800000000001</v>
      </c>
      <c r="L50" s="3102"/>
      <c r="M50" s="2130"/>
      <c r="N50" s="2130"/>
    </row>
    <row r="51" spans="1:14">
      <c r="A51" s="724" t="s">
        <v>271</v>
      </c>
      <c r="B51" s="724"/>
      <c r="C51" s="1689">
        <v>-34.204999999999998</v>
      </c>
      <c r="D51" s="1686"/>
      <c r="E51" s="1689">
        <v>5.5910000000000002</v>
      </c>
      <c r="F51" s="1686"/>
      <c r="G51" s="1689">
        <v>2.67</v>
      </c>
      <c r="H51" s="1686"/>
      <c r="I51" s="1689">
        <v>0</v>
      </c>
      <c r="J51" s="1718"/>
      <c r="K51" s="640">
        <f t="shared" si="2"/>
        <v>-31.283999999999999</v>
      </c>
      <c r="L51" s="3102"/>
      <c r="M51" s="2130"/>
      <c r="N51" s="2130"/>
    </row>
    <row r="52" spans="1:14">
      <c r="A52" s="724" t="s">
        <v>272</v>
      </c>
      <c r="B52" s="724"/>
      <c r="C52" s="1689">
        <v>7.0999999999999994E-2</v>
      </c>
      <c r="D52" s="1686"/>
      <c r="E52" s="1689">
        <v>0</v>
      </c>
      <c r="F52" s="1686"/>
      <c r="G52" s="1689">
        <v>0</v>
      </c>
      <c r="H52" s="1686"/>
      <c r="I52" s="1689">
        <v>0</v>
      </c>
      <c r="J52" s="1718"/>
      <c r="K52" s="640">
        <f t="shared" si="2"/>
        <v>7.0999999999999994E-2</v>
      </c>
      <c r="L52" s="3102"/>
      <c r="M52" s="2130"/>
      <c r="N52" s="2130"/>
    </row>
    <row r="53" spans="1:14">
      <c r="A53" s="724" t="s">
        <v>983</v>
      </c>
      <c r="B53" s="724"/>
      <c r="C53" s="1689">
        <v>12.327999999999999</v>
      </c>
      <c r="D53" s="1686"/>
      <c r="E53" s="1689">
        <v>9.4E-2</v>
      </c>
      <c r="F53" s="1686"/>
      <c r="G53" s="1689">
        <v>7.2999999999999995E-2</v>
      </c>
      <c r="H53" s="1686"/>
      <c r="I53" s="1689">
        <v>0</v>
      </c>
      <c r="J53" s="1718"/>
      <c r="K53" s="640">
        <f t="shared" si="2"/>
        <v>12.349</v>
      </c>
      <c r="L53" s="3102"/>
      <c r="M53" s="2130"/>
      <c r="N53" s="2130"/>
    </row>
    <row r="54" spans="1:14">
      <c r="A54" s="724" t="s">
        <v>273</v>
      </c>
      <c r="B54" s="724"/>
      <c r="C54" s="1689">
        <v>0</v>
      </c>
      <c r="D54" s="1686"/>
      <c r="E54" s="1689">
        <v>0</v>
      </c>
      <c r="F54" s="1686"/>
      <c r="G54" s="1689">
        <v>0</v>
      </c>
      <c r="H54" s="1686"/>
      <c r="I54" s="1689">
        <v>0</v>
      </c>
      <c r="J54" s="1718"/>
      <c r="K54" s="640">
        <f t="shared" si="2"/>
        <v>0</v>
      </c>
      <c r="L54" s="3102"/>
      <c r="M54" s="2130"/>
    </row>
    <row r="55" spans="1:14">
      <c r="A55" s="725" t="s">
        <v>274</v>
      </c>
      <c r="B55" s="724"/>
      <c r="C55" s="1689">
        <v>0.46899999999999997</v>
      </c>
      <c r="D55" s="1686"/>
      <c r="E55" s="1689">
        <v>0</v>
      </c>
      <c r="F55" s="1686"/>
      <c r="G55" s="1689">
        <v>0</v>
      </c>
      <c r="H55" s="1686"/>
      <c r="I55" s="1689">
        <v>0</v>
      </c>
      <c r="J55" s="1718"/>
      <c r="K55" s="640">
        <f t="shared" si="2"/>
        <v>0.46899999999999997</v>
      </c>
      <c r="L55" s="2128"/>
      <c r="M55" s="2130"/>
      <c r="N55" s="2130"/>
    </row>
    <row r="56" spans="1:14">
      <c r="A56" s="725" t="s">
        <v>275</v>
      </c>
      <c r="B56" s="724"/>
      <c r="C56" s="1689">
        <v>0</v>
      </c>
      <c r="D56" s="1686"/>
      <c r="E56" s="1689">
        <v>0</v>
      </c>
      <c r="F56" s="1686"/>
      <c r="G56" s="1689">
        <v>0</v>
      </c>
      <c r="H56" s="1686"/>
      <c r="I56" s="1689">
        <v>0</v>
      </c>
      <c r="J56" s="1718"/>
      <c r="K56" s="640">
        <f t="shared" si="2"/>
        <v>0</v>
      </c>
      <c r="L56" s="3102"/>
      <c r="M56" s="2130"/>
      <c r="N56" s="2130"/>
    </row>
    <row r="57" spans="1:14">
      <c r="A57" s="725" t="s">
        <v>276</v>
      </c>
      <c r="B57" s="724"/>
      <c r="C57" s="1689">
        <v>0</v>
      </c>
      <c r="D57" s="1686"/>
      <c r="E57" s="1689">
        <v>0</v>
      </c>
      <c r="F57" s="1686"/>
      <c r="G57" s="1689">
        <v>0</v>
      </c>
      <c r="H57" s="1686"/>
      <c r="I57" s="1689">
        <v>0</v>
      </c>
      <c r="J57" s="1718"/>
      <c r="K57" s="640">
        <f t="shared" si="2"/>
        <v>0</v>
      </c>
      <c r="L57" s="3102"/>
      <c r="M57" s="2130"/>
      <c r="N57" s="2130"/>
    </row>
    <row r="58" spans="1:14">
      <c r="A58" s="725" t="s">
        <v>1362</v>
      </c>
      <c r="B58" s="724"/>
      <c r="C58" s="1689">
        <v>0.99</v>
      </c>
      <c r="D58" s="1686"/>
      <c r="E58" s="1689">
        <v>1E-3</v>
      </c>
      <c r="F58" s="1686"/>
      <c r="G58" s="1689">
        <v>0.157</v>
      </c>
      <c r="H58" s="1686"/>
      <c r="I58" s="1689">
        <v>0</v>
      </c>
      <c r="J58" s="1718"/>
      <c r="K58" s="640">
        <f t="shared" si="2"/>
        <v>0.83399999999999996</v>
      </c>
      <c r="L58" s="3102"/>
      <c r="M58" s="2130"/>
      <c r="N58" s="2130"/>
    </row>
    <row r="59" spans="1:14">
      <c r="A59" s="725" t="s">
        <v>277</v>
      </c>
      <c r="B59" s="724"/>
      <c r="C59" s="1689">
        <v>1605.7329999999999</v>
      </c>
      <c r="D59" s="1686"/>
      <c r="E59" s="1689">
        <v>334.315</v>
      </c>
      <c r="F59" s="1686"/>
      <c r="G59" s="1689">
        <v>217.423</v>
      </c>
      <c r="H59" s="1686"/>
      <c r="I59" s="1689">
        <v>44.890999999999998</v>
      </c>
      <c r="J59" s="1718"/>
      <c r="K59" s="640">
        <f t="shared" si="2"/>
        <v>1767.5160000000001</v>
      </c>
      <c r="L59" s="3102"/>
      <c r="M59" s="3024"/>
      <c r="N59" s="2130"/>
    </row>
    <row r="60" spans="1:14">
      <c r="A60" s="724" t="s">
        <v>278</v>
      </c>
      <c r="B60" s="724"/>
      <c r="C60" s="1689">
        <v>25.481000000000002</v>
      </c>
      <c r="D60" s="1686"/>
      <c r="E60" s="1689">
        <v>3.0000000000000001E-3</v>
      </c>
      <c r="F60" s="1686"/>
      <c r="G60" s="1689">
        <v>6.9619999999999997</v>
      </c>
      <c r="H60" s="1686"/>
      <c r="I60" s="1689">
        <v>0</v>
      </c>
      <c r="J60" s="1718"/>
      <c r="K60" s="640">
        <f t="shared" si="2"/>
        <v>18.521999999999998</v>
      </c>
      <c r="L60" s="3102"/>
      <c r="M60" s="729"/>
      <c r="N60" s="2130"/>
    </row>
    <row r="61" spans="1:14">
      <c r="A61" s="724"/>
      <c r="B61" s="724"/>
      <c r="C61" s="1689"/>
      <c r="D61" s="1686"/>
      <c r="E61" s="1689"/>
      <c r="F61" s="1686"/>
      <c r="G61" s="1689"/>
      <c r="H61" s="1686"/>
      <c r="I61" s="1689"/>
      <c r="J61" s="1718"/>
      <c r="K61" s="640"/>
      <c r="L61" s="2128"/>
      <c r="M61" s="429"/>
      <c r="N61" s="2130"/>
    </row>
    <row r="62" spans="1:14">
      <c r="A62" s="429" t="s">
        <v>920</v>
      </c>
      <c r="B62" s="724"/>
      <c r="C62" s="1689"/>
      <c r="D62" s="1686"/>
      <c r="E62" s="1689"/>
      <c r="F62" s="1686"/>
      <c r="G62" s="1689"/>
      <c r="H62" s="1686"/>
      <c r="I62" s="1689"/>
      <c r="J62" s="1718"/>
      <c r="K62" s="640"/>
      <c r="L62" s="2128"/>
      <c r="M62" s="429"/>
      <c r="N62" s="2130"/>
    </row>
    <row r="63" spans="1:14">
      <c r="A63" s="724" t="s">
        <v>279</v>
      </c>
      <c r="B63" s="1718"/>
      <c r="C63" s="1689">
        <v>5.2999999999999999E-2</v>
      </c>
      <c r="D63" s="1686"/>
      <c r="E63" s="1689">
        <v>0</v>
      </c>
      <c r="F63" s="1686"/>
      <c r="G63" s="1689">
        <v>0</v>
      </c>
      <c r="H63" s="1686"/>
      <c r="I63" s="1689">
        <v>0</v>
      </c>
      <c r="J63" s="1718"/>
      <c r="K63" s="640">
        <f>ROUND(SUM(C63)+SUM(E63)-SUM(G63)+SUM(I63),3)</f>
        <v>5.2999999999999999E-2</v>
      </c>
      <c r="L63" s="2128"/>
      <c r="M63" s="2130"/>
      <c r="N63" s="2130"/>
    </row>
    <row r="64" spans="1:14">
      <c r="A64" s="724" t="s">
        <v>280</v>
      </c>
      <c r="B64" s="724"/>
      <c r="C64" s="1689">
        <v>1872.271</v>
      </c>
      <c r="D64" s="1686"/>
      <c r="E64" s="1689">
        <v>483.79</v>
      </c>
      <c r="F64" s="1686"/>
      <c r="G64" s="1689">
        <v>507.637</v>
      </c>
      <c r="H64" s="1686"/>
      <c r="I64" s="1689">
        <v>421.399</v>
      </c>
      <c r="J64" s="1718"/>
      <c r="K64" s="640">
        <f>ROUND(SUM(C64)+SUM(E64)-SUM(G64)+SUM(I64),3)</f>
        <v>2269.8229999999999</v>
      </c>
      <c r="L64" s="3102"/>
      <c r="M64" s="2130"/>
      <c r="N64" s="2130"/>
    </row>
    <row r="65" spans="1:14">
      <c r="A65" s="725" t="s">
        <v>281</v>
      </c>
      <c r="B65" s="724"/>
      <c r="C65" s="1689">
        <v>10.864000000000001</v>
      </c>
      <c r="D65" s="1686"/>
      <c r="E65" s="1689">
        <v>8.5000000000000006E-2</v>
      </c>
      <c r="F65" s="1686"/>
      <c r="G65" s="1689">
        <v>0.184</v>
      </c>
      <c r="H65" s="1686"/>
      <c r="I65" s="1689">
        <v>0</v>
      </c>
      <c r="J65" s="1718"/>
      <c r="K65" s="640">
        <f>ROUND(SUM(C65)+SUM(E65)-SUM(G65)+SUM(I65),3)</f>
        <v>10.765000000000001</v>
      </c>
      <c r="L65" s="3102"/>
      <c r="M65" s="2130"/>
      <c r="N65" s="2130"/>
    </row>
    <row r="66" spans="1:14">
      <c r="A66" s="724" t="s">
        <v>282</v>
      </c>
      <c r="B66" s="724"/>
      <c r="C66" s="1689">
        <v>0.24</v>
      </c>
      <c r="D66" s="1686"/>
      <c r="E66" s="1689">
        <v>0</v>
      </c>
      <c r="F66" s="1686"/>
      <c r="G66" s="1689">
        <v>9.4E-2</v>
      </c>
      <c r="H66" s="1686"/>
      <c r="I66" s="1689">
        <v>0</v>
      </c>
      <c r="J66" s="1718"/>
      <c r="K66" s="640">
        <f>ROUND(SUM(C66)+SUM(E66)-SUM(G66)+SUM(I66),3)</f>
        <v>0.14599999999999999</v>
      </c>
      <c r="L66" s="3102"/>
      <c r="M66" s="2130"/>
      <c r="N66" s="2130"/>
    </row>
    <row r="67" spans="1:14">
      <c r="A67" s="724" t="s">
        <v>283</v>
      </c>
      <c r="B67" s="724"/>
      <c r="C67" s="3445"/>
      <c r="D67" s="1716"/>
      <c r="E67" s="1719"/>
      <c r="F67" s="1720"/>
      <c r="G67" s="1719"/>
      <c r="H67" s="1720"/>
      <c r="I67" s="1721"/>
      <c r="J67" s="724"/>
      <c r="K67" s="640" t="s">
        <v>15</v>
      </c>
      <c r="L67" s="3102"/>
      <c r="M67" s="2130"/>
      <c r="N67" s="2130"/>
    </row>
    <row r="68" spans="1:14">
      <c r="A68" s="724" t="s">
        <v>284</v>
      </c>
      <c r="B68" s="724"/>
      <c r="C68" s="1689">
        <v>79.066999999999993</v>
      </c>
      <c r="D68" s="1686"/>
      <c r="E68" s="1689">
        <v>4.0000000000000001E-3</v>
      </c>
      <c r="F68" s="1686"/>
      <c r="G68" s="1689">
        <v>2.3130000000000002</v>
      </c>
      <c r="H68" s="1686"/>
      <c r="I68" s="1689">
        <v>0</v>
      </c>
      <c r="J68" s="1718"/>
      <c r="K68" s="640">
        <f t="shared" ref="K68:K73" si="3">ROUND(SUM(C68)+SUM(E68)-SUM(G68)+SUM(I68),3)</f>
        <v>76.757999999999996</v>
      </c>
      <c r="L68" s="3102"/>
      <c r="M68" s="2130"/>
      <c r="N68" s="729"/>
    </row>
    <row r="69" spans="1:14">
      <c r="A69" s="724" t="s">
        <v>285</v>
      </c>
      <c r="B69" s="431"/>
      <c r="C69" s="1689">
        <v>0.48199999999999998</v>
      </c>
      <c r="D69" s="1686"/>
      <c r="E69" s="1689">
        <v>0</v>
      </c>
      <c r="F69" s="1686"/>
      <c r="G69" s="1689">
        <v>1.0999999999999999E-2</v>
      </c>
      <c r="H69" s="1686"/>
      <c r="I69" s="1689">
        <v>0</v>
      </c>
      <c r="J69" s="1718"/>
      <c r="K69" s="640">
        <f t="shared" si="3"/>
        <v>0.47099999999999997</v>
      </c>
      <c r="L69" s="3102"/>
      <c r="M69" s="2130"/>
      <c r="N69" s="2130"/>
    </row>
    <row r="70" spans="1:14">
      <c r="A70" s="724" t="s">
        <v>286</v>
      </c>
      <c r="B70" s="724"/>
      <c r="C70" s="1689">
        <v>2.4E-2</v>
      </c>
      <c r="D70" s="1686"/>
      <c r="E70" s="1689">
        <v>0</v>
      </c>
      <c r="F70" s="1686"/>
      <c r="G70" s="1689">
        <v>0</v>
      </c>
      <c r="H70" s="1686"/>
      <c r="I70" s="1689">
        <v>0</v>
      </c>
      <c r="J70" s="1718"/>
      <c r="K70" s="640">
        <f t="shared" si="3"/>
        <v>2.4E-2</v>
      </c>
      <c r="L70" s="3102"/>
      <c r="M70" s="2130"/>
      <c r="N70" s="2130"/>
    </row>
    <row r="71" spans="1:14">
      <c r="A71" s="725" t="s">
        <v>287</v>
      </c>
      <c r="B71" s="724"/>
      <c r="C71" s="1689">
        <v>10.645</v>
      </c>
      <c r="D71" s="1686"/>
      <c r="E71" s="1689">
        <v>1E-3</v>
      </c>
      <c r="F71" s="1686"/>
      <c r="G71" s="1689">
        <v>0</v>
      </c>
      <c r="H71" s="1686"/>
      <c r="I71" s="1689">
        <v>0</v>
      </c>
      <c r="J71" s="1718"/>
      <c r="K71" s="640">
        <f t="shared" si="3"/>
        <v>10.646000000000001</v>
      </c>
      <c r="L71" s="3102"/>
      <c r="M71" s="2130"/>
      <c r="N71" s="2130"/>
    </row>
    <row r="72" spans="1:14">
      <c r="A72" s="724" t="s">
        <v>288</v>
      </c>
      <c r="B72" s="724"/>
      <c r="C72" s="1689">
        <v>-15.896000000000001</v>
      </c>
      <c r="D72" s="1686"/>
      <c r="E72" s="1689">
        <v>0.127</v>
      </c>
      <c r="F72" s="1686"/>
      <c r="G72" s="1689">
        <v>0.27200000000000002</v>
      </c>
      <c r="H72" s="1686"/>
      <c r="I72" s="1689">
        <v>0</v>
      </c>
      <c r="J72" s="1718"/>
      <c r="K72" s="640">
        <f t="shared" si="3"/>
        <v>-16.041</v>
      </c>
      <c r="L72" s="3102"/>
      <c r="M72" s="2130"/>
      <c r="N72" s="2130"/>
    </row>
    <row r="73" spans="1:14">
      <c r="A73" s="724" t="s">
        <v>289</v>
      </c>
      <c r="B73" s="724"/>
      <c r="C73" s="1689">
        <v>7.4999999999999997E-2</v>
      </c>
      <c r="D73" s="1686"/>
      <c r="E73" s="1689">
        <v>0</v>
      </c>
      <c r="F73" s="1686"/>
      <c r="G73" s="1689">
        <v>0</v>
      </c>
      <c r="H73" s="1686"/>
      <c r="I73" s="1689">
        <v>0</v>
      </c>
      <c r="J73" s="1718"/>
      <c r="K73" s="640">
        <f t="shared" si="3"/>
        <v>7.4999999999999997E-2</v>
      </c>
      <c r="L73" s="2128"/>
      <c r="M73" s="2130"/>
      <c r="N73" s="2130"/>
    </row>
    <row r="74" spans="1:14">
      <c r="A74" s="724" t="s">
        <v>290</v>
      </c>
      <c r="B74" s="724"/>
      <c r="C74" s="3445"/>
      <c r="D74" s="1716"/>
      <c r="E74" s="1719"/>
      <c r="F74" s="1720"/>
      <c r="G74" s="1719"/>
      <c r="H74" s="1720"/>
      <c r="I74" s="1719"/>
      <c r="J74" s="724"/>
      <c r="K74" s="640"/>
      <c r="L74" s="2131"/>
      <c r="M74" s="2130"/>
      <c r="N74" s="2130"/>
    </row>
    <row r="75" spans="1:14">
      <c r="A75" s="724" t="s">
        <v>291</v>
      </c>
      <c r="B75" s="724"/>
      <c r="C75" s="1689">
        <v>-5.351</v>
      </c>
      <c r="D75" s="1686"/>
      <c r="E75" s="1689">
        <v>0</v>
      </c>
      <c r="F75" s="1686"/>
      <c r="G75" s="1689">
        <v>0</v>
      </c>
      <c r="H75" s="1686"/>
      <c r="I75" s="1689">
        <v>0</v>
      </c>
      <c r="J75" s="1718"/>
      <c r="K75" s="640">
        <f t="shared" ref="K75:K89" si="4">ROUND(SUM(C75)+SUM(E75)-SUM(G75)+SUM(I75),3)</f>
        <v>-5.351</v>
      </c>
      <c r="L75" s="3102"/>
      <c r="M75" s="2130"/>
      <c r="N75" s="2130"/>
    </row>
    <row r="76" spans="1:14">
      <c r="A76" s="724" t="s">
        <v>292</v>
      </c>
      <c r="B76" s="724"/>
      <c r="C76" s="1689">
        <v>-43.872999999999998</v>
      </c>
      <c r="D76" s="1686"/>
      <c r="E76" s="1689">
        <v>0</v>
      </c>
      <c r="F76" s="1686"/>
      <c r="G76" s="1719">
        <v>2.2210000000000001</v>
      </c>
      <c r="H76" s="1686"/>
      <c r="I76" s="1689">
        <v>0</v>
      </c>
      <c r="J76" s="1718"/>
      <c r="K76" s="640">
        <f t="shared" si="4"/>
        <v>-46.094000000000001</v>
      </c>
      <c r="L76" s="3102"/>
      <c r="M76" s="2130"/>
      <c r="N76" s="2130"/>
    </row>
    <row r="77" spans="1:14">
      <c r="A77" s="724" t="s">
        <v>293</v>
      </c>
      <c r="B77" s="724"/>
      <c r="C77" s="1689">
        <v>53.356000000000002</v>
      </c>
      <c r="D77" s="1686"/>
      <c r="E77" s="1689">
        <v>5.9880000000000004</v>
      </c>
      <c r="F77" s="1686"/>
      <c r="G77" s="1689">
        <v>2.6560000000000001</v>
      </c>
      <c r="H77" s="1686"/>
      <c r="I77" s="1689">
        <v>0</v>
      </c>
      <c r="J77" s="1718"/>
      <c r="K77" s="640">
        <f t="shared" si="4"/>
        <v>56.688000000000002</v>
      </c>
      <c r="L77" s="2128"/>
      <c r="M77" s="2130"/>
      <c r="N77" s="2130"/>
    </row>
    <row r="78" spans="1:14">
      <c r="A78" s="724" t="s">
        <v>951</v>
      </c>
      <c r="B78" s="724"/>
      <c r="C78" s="1689">
        <v>149.44900000000001</v>
      </c>
      <c r="D78" s="1686"/>
      <c r="E78" s="1689">
        <v>4.0090000000000003</v>
      </c>
      <c r="F78" s="1686"/>
      <c r="G78" s="1689">
        <v>2.0420000000000003</v>
      </c>
      <c r="H78" s="1686"/>
      <c r="I78" s="1689">
        <v>0</v>
      </c>
      <c r="J78" s="1718"/>
      <c r="K78" s="640">
        <f t="shared" si="4"/>
        <v>151.416</v>
      </c>
      <c r="L78" s="2128"/>
      <c r="M78" s="2130"/>
      <c r="N78" s="2130"/>
    </row>
    <row r="79" spans="1:14">
      <c r="A79" s="724" t="s">
        <v>294</v>
      </c>
      <c r="B79" s="724"/>
      <c r="C79" s="1689">
        <v>0.34100000000000003</v>
      </c>
      <c r="D79" s="1686"/>
      <c r="E79" s="1689">
        <v>7.0000000000000001E-3</v>
      </c>
      <c r="F79" s="1686"/>
      <c r="G79" s="1689">
        <v>0</v>
      </c>
      <c r="H79" s="1686"/>
      <c r="I79" s="1689">
        <v>0</v>
      </c>
      <c r="J79" s="1718"/>
      <c r="K79" s="640">
        <f t="shared" si="4"/>
        <v>0.34799999999999998</v>
      </c>
      <c r="L79" s="2128"/>
      <c r="M79" s="2130"/>
      <c r="N79" s="2130"/>
    </row>
    <row r="80" spans="1:14">
      <c r="A80" s="725" t="s">
        <v>295</v>
      </c>
      <c r="B80" s="724"/>
      <c r="C80" s="1689">
        <v>496.63200000000001</v>
      </c>
      <c r="D80" s="1686"/>
      <c r="E80" s="1689">
        <v>25.34</v>
      </c>
      <c r="F80" s="1686"/>
      <c r="G80" s="1689">
        <v>4.9930000000000003</v>
      </c>
      <c r="H80" s="1686"/>
      <c r="I80" s="1689">
        <v>0</v>
      </c>
      <c r="J80" s="1718"/>
      <c r="K80" s="640">
        <f t="shared" si="4"/>
        <v>516.97900000000004</v>
      </c>
      <c r="L80" s="3102"/>
      <c r="M80" s="2130"/>
      <c r="N80" s="2130"/>
    </row>
    <row r="81" spans="1:15">
      <c r="A81" s="724" t="s">
        <v>296</v>
      </c>
      <c r="B81" s="724"/>
      <c r="C81" s="1689">
        <v>24.265999999999998</v>
      </c>
      <c r="D81" s="1686"/>
      <c r="E81" s="1689">
        <v>0.20599999999999999</v>
      </c>
      <c r="F81" s="1686"/>
      <c r="G81" s="1689">
        <v>0.156</v>
      </c>
      <c r="H81" s="1686"/>
      <c r="I81" s="1689">
        <v>-2.5369999999999999</v>
      </c>
      <c r="J81" s="1718"/>
      <c r="K81" s="640">
        <f t="shared" si="4"/>
        <v>21.779</v>
      </c>
      <c r="L81" s="2128"/>
      <c r="M81" s="2130"/>
      <c r="N81" s="2130"/>
    </row>
    <row r="82" spans="1:15">
      <c r="A82" s="725" t="s">
        <v>297</v>
      </c>
      <c r="B82" s="724"/>
      <c r="C82" s="1689">
        <v>326.46300000000002</v>
      </c>
      <c r="D82" s="1686"/>
      <c r="E82" s="1689">
        <v>3.6999999999999998E-2</v>
      </c>
      <c r="F82" s="1686"/>
      <c r="G82" s="1689">
        <v>10</v>
      </c>
      <c r="H82" s="1686"/>
      <c r="I82" s="1689">
        <v>61.35</v>
      </c>
      <c r="J82" s="1718"/>
      <c r="K82" s="640">
        <f t="shared" si="4"/>
        <v>377.85</v>
      </c>
      <c r="L82" s="3102"/>
      <c r="M82" s="2130"/>
      <c r="N82" s="2130"/>
    </row>
    <row r="83" spans="1:15">
      <c r="A83" s="725" t="s">
        <v>1195</v>
      </c>
      <c r="B83" s="724"/>
      <c r="C83" s="1689">
        <v>13.233000000000001</v>
      </c>
      <c r="D83" s="1686"/>
      <c r="E83" s="1689">
        <v>11.33</v>
      </c>
      <c r="F83" s="1686"/>
      <c r="G83" s="1689">
        <v>2.7080000000000002</v>
      </c>
      <c r="H83" s="1686"/>
      <c r="I83" s="1689">
        <v>0</v>
      </c>
      <c r="J83" s="1718"/>
      <c r="K83" s="640">
        <f t="shared" si="4"/>
        <v>21.855</v>
      </c>
      <c r="L83" s="3102"/>
      <c r="M83" s="2130"/>
      <c r="N83" s="2130"/>
    </row>
    <row r="84" spans="1:15">
      <c r="A84" s="725" t="s">
        <v>1274</v>
      </c>
      <c r="B84" s="724"/>
      <c r="C84" s="1689">
        <v>12.202</v>
      </c>
      <c r="D84" s="1686"/>
      <c r="E84" s="1689">
        <v>0.75900000000000001</v>
      </c>
      <c r="F84" s="1686"/>
      <c r="G84" s="1689">
        <v>0.28299999999999997</v>
      </c>
      <c r="H84" s="1686"/>
      <c r="I84" s="1689">
        <v>0</v>
      </c>
      <c r="J84" s="1718"/>
      <c r="K84" s="640">
        <f t="shared" si="4"/>
        <v>12.678000000000001</v>
      </c>
      <c r="L84" s="2128"/>
      <c r="M84" s="2130"/>
      <c r="N84" s="2130"/>
    </row>
    <row r="85" spans="1:15">
      <c r="A85" s="725" t="s">
        <v>1253</v>
      </c>
      <c r="B85" s="724"/>
      <c r="C85" s="1689">
        <v>3.8340000000000001</v>
      </c>
      <c r="D85" s="1686"/>
      <c r="E85" s="1689">
        <v>0.20200000000000001</v>
      </c>
      <c r="F85" s="1686"/>
      <c r="G85" s="1689">
        <v>9.0999999999999998E-2</v>
      </c>
      <c r="H85" s="1686"/>
      <c r="I85" s="1689">
        <v>0</v>
      </c>
      <c r="J85" s="1718"/>
      <c r="K85" s="640">
        <f t="shared" si="4"/>
        <v>3.9449999999999998</v>
      </c>
      <c r="L85" s="3102"/>
      <c r="M85" s="2130"/>
      <c r="N85" s="2130"/>
    </row>
    <row r="86" spans="1:15">
      <c r="A86" s="725" t="s">
        <v>1311</v>
      </c>
      <c r="B86" s="724"/>
      <c r="C86" s="1689">
        <v>316.41899999999998</v>
      </c>
      <c r="D86" s="1686"/>
      <c r="E86" s="1689">
        <v>3.4000000000000002E-2</v>
      </c>
      <c r="F86" s="1686"/>
      <c r="G86" s="1689">
        <v>0</v>
      </c>
      <c r="H86" s="1686"/>
      <c r="I86" s="1689">
        <v>0</v>
      </c>
      <c r="J86" s="1718"/>
      <c r="K86" s="640">
        <f t="shared" si="4"/>
        <v>316.45299999999997</v>
      </c>
      <c r="L86" s="3102"/>
      <c r="M86" s="2130"/>
      <c r="N86" s="2130"/>
    </row>
    <row r="87" spans="1:15">
      <c r="A87" s="725" t="s">
        <v>1351</v>
      </c>
      <c r="B87" s="724"/>
      <c r="C87" s="1689">
        <v>95.897999999999996</v>
      </c>
      <c r="D87" s="1686"/>
      <c r="E87" s="1689">
        <v>9.9999999999999985E-3</v>
      </c>
      <c r="F87" s="1686"/>
      <c r="G87" s="1689">
        <v>0</v>
      </c>
      <c r="H87" s="1686"/>
      <c r="I87" s="1689">
        <v>0</v>
      </c>
      <c r="J87" s="1718"/>
      <c r="K87" s="640">
        <f t="shared" si="4"/>
        <v>95.908000000000001</v>
      </c>
      <c r="L87" s="3102"/>
      <c r="M87" s="2130"/>
      <c r="N87" s="2130"/>
    </row>
    <row r="88" spans="1:15">
      <c r="A88" s="725" t="s">
        <v>1266</v>
      </c>
      <c r="B88" s="724"/>
      <c r="C88" s="1689">
        <v>20.74</v>
      </c>
      <c r="D88" s="1686"/>
      <c r="E88" s="1689">
        <v>0.81299999999999994</v>
      </c>
      <c r="F88" s="1686"/>
      <c r="G88" s="1689">
        <v>0.01</v>
      </c>
      <c r="H88" s="1686"/>
      <c r="I88" s="1689">
        <v>0</v>
      </c>
      <c r="J88" s="1718"/>
      <c r="K88" s="640">
        <f t="shared" si="4"/>
        <v>21.542999999999999</v>
      </c>
      <c r="L88" s="3102"/>
      <c r="M88" s="2130"/>
      <c r="N88" s="2130"/>
    </row>
    <row r="89" spans="1:15">
      <c r="A89" s="1720" t="s">
        <v>889</v>
      </c>
      <c r="B89" s="724"/>
      <c r="C89" s="1689">
        <v>150.54400000000001</v>
      </c>
      <c r="D89" s="1686"/>
      <c r="E89" s="1689">
        <v>59.287999999999997</v>
      </c>
      <c r="F89" s="1686"/>
      <c r="G89" s="1689">
        <v>0</v>
      </c>
      <c r="H89" s="1686"/>
      <c r="I89" s="1689">
        <v>-17.675000000000001</v>
      </c>
      <c r="J89" s="1718"/>
      <c r="K89" s="640">
        <f t="shared" si="4"/>
        <v>192.15700000000001</v>
      </c>
      <c r="L89" s="3102"/>
      <c r="M89" s="2130"/>
      <c r="N89" s="2130"/>
    </row>
    <row r="90" spans="1:15">
      <c r="A90" s="428" t="s">
        <v>298</v>
      </c>
      <c r="B90" s="724"/>
      <c r="C90" s="433">
        <f>ROUND(SUM(C28:C89),3)</f>
        <v>4803.924</v>
      </c>
      <c r="D90" s="432"/>
      <c r="E90" s="433">
        <f>ROUND(SUM(E28:E89),3)</f>
        <v>1875.51</v>
      </c>
      <c r="F90" s="432"/>
      <c r="G90" s="433">
        <f>ROUND(SUM(G28:G89),3)</f>
        <v>1585.9860000000001</v>
      </c>
      <c r="H90" s="432"/>
      <c r="I90" s="433">
        <f>ROUND(SUM(I28:I89),3)</f>
        <v>500.63499999999999</v>
      </c>
      <c r="J90" s="432"/>
      <c r="K90" s="433">
        <f>ROUND(SUM(K28:K89),3)</f>
        <v>5594.0829999999996</v>
      </c>
      <c r="L90" s="2132"/>
      <c r="M90" s="3025"/>
      <c r="N90" s="2130"/>
      <c r="O90" s="3026"/>
    </row>
    <row r="91" spans="1:15" ht="11.25" customHeight="1">
      <c r="A91" s="724"/>
      <c r="B91" s="724"/>
      <c r="C91" s="726"/>
      <c r="D91" s="724"/>
      <c r="E91" s="726"/>
      <c r="F91" s="724"/>
      <c r="G91" s="726"/>
      <c r="H91" s="724"/>
      <c r="I91" s="726"/>
      <c r="J91" s="724"/>
      <c r="K91" s="726"/>
      <c r="L91" s="726"/>
      <c r="M91" s="2130"/>
      <c r="N91" s="2130"/>
    </row>
    <row r="92" spans="1:15">
      <c r="A92" s="429" t="s">
        <v>299</v>
      </c>
      <c r="B92" s="724"/>
      <c r="C92" s="724"/>
      <c r="D92" s="724"/>
      <c r="E92" s="724"/>
      <c r="F92" s="724"/>
      <c r="G92" s="724"/>
      <c r="H92" s="724"/>
      <c r="I92" s="724"/>
      <c r="J92" s="724"/>
      <c r="K92" s="724"/>
      <c r="L92" s="726"/>
      <c r="M92" s="2130"/>
      <c r="N92" s="2130"/>
    </row>
    <row r="93" spans="1:15">
      <c r="A93" s="724" t="s">
        <v>952</v>
      </c>
      <c r="B93" s="724"/>
      <c r="C93" s="1689">
        <v>0.63800000000000001</v>
      </c>
      <c r="D93" s="1686"/>
      <c r="E93" s="1689">
        <v>143.15</v>
      </c>
      <c r="F93" s="1686"/>
      <c r="G93" s="1689">
        <v>141.61699999999999</v>
      </c>
      <c r="H93" s="1686"/>
      <c r="I93" s="1689">
        <v>-0.17799999999999999</v>
      </c>
      <c r="J93" s="1718"/>
      <c r="K93" s="640">
        <f t="shared" ref="K93:K99" si="5">ROUND(SUM(C93)+SUM(E93)-SUM(G93)+SUM(I93),3)</f>
        <v>1.9930000000000001</v>
      </c>
      <c r="L93" s="727"/>
      <c r="M93" s="2130"/>
      <c r="N93" s="2130"/>
      <c r="O93" s="728"/>
    </row>
    <row r="94" spans="1:15">
      <c r="A94" s="724" t="s">
        <v>300</v>
      </c>
      <c r="B94" s="724"/>
      <c r="C94" s="1689">
        <v>868.37</v>
      </c>
      <c r="D94" s="1686"/>
      <c r="E94" s="1689">
        <v>6384.5550000000003</v>
      </c>
      <c r="F94" s="1686"/>
      <c r="G94" s="1689">
        <v>3751.5520000000001</v>
      </c>
      <c r="H94" s="1686"/>
      <c r="I94" s="1689">
        <v>-477.10199999999998</v>
      </c>
      <c r="J94" s="1718"/>
      <c r="K94" s="640">
        <f t="shared" si="5"/>
        <v>3024.2710000000002</v>
      </c>
      <c r="L94" s="727"/>
      <c r="M94" s="2130"/>
      <c r="N94" s="2130"/>
    </row>
    <row r="95" spans="1:15">
      <c r="A95" s="724" t="s">
        <v>301</v>
      </c>
      <c r="B95" s="430"/>
      <c r="C95" s="1689">
        <v>-16.039000000000001</v>
      </c>
      <c r="D95" s="1686"/>
      <c r="E95" s="1689">
        <v>123.93</v>
      </c>
      <c r="F95" s="1686"/>
      <c r="G95" s="1689">
        <v>140.04300000000001</v>
      </c>
      <c r="H95" s="1686"/>
      <c r="I95" s="1689">
        <v>-2.3E-2</v>
      </c>
      <c r="J95" s="1718"/>
      <c r="K95" s="640">
        <f t="shared" si="5"/>
        <v>-32.174999999999997</v>
      </c>
      <c r="L95" s="727"/>
      <c r="M95" s="2130"/>
      <c r="N95" s="2130"/>
    </row>
    <row r="96" spans="1:15">
      <c r="A96" s="724" t="s">
        <v>302</v>
      </c>
      <c r="B96" s="724"/>
      <c r="C96" s="1689">
        <v>3741.7249999999999</v>
      </c>
      <c r="D96" s="1686"/>
      <c r="E96" s="1689">
        <v>725.029</v>
      </c>
      <c r="F96" s="1686"/>
      <c r="G96" s="1689">
        <v>957.13599999999997</v>
      </c>
      <c r="H96" s="1686"/>
      <c r="I96" s="1689">
        <v>-3.0260000000000002</v>
      </c>
      <c r="J96" s="1718"/>
      <c r="K96" s="640">
        <f t="shared" si="5"/>
        <v>3506.5920000000001</v>
      </c>
      <c r="L96" s="727"/>
      <c r="M96" s="729"/>
    </row>
    <row r="97" spans="1:15">
      <c r="A97" s="724" t="s">
        <v>303</v>
      </c>
      <c r="B97" s="724"/>
      <c r="C97" s="1689">
        <v>113.143</v>
      </c>
      <c r="D97" s="1686"/>
      <c r="E97" s="1689">
        <v>50.945</v>
      </c>
      <c r="F97" s="1686"/>
      <c r="G97" s="1689">
        <v>68.414000000000001</v>
      </c>
      <c r="H97" s="1686"/>
      <c r="I97" s="1689">
        <v>0</v>
      </c>
      <c r="J97" s="1718"/>
      <c r="K97" s="640">
        <f t="shared" si="5"/>
        <v>95.674000000000007</v>
      </c>
      <c r="L97" s="727"/>
      <c r="M97" s="2130"/>
      <c r="N97" s="2130"/>
    </row>
    <row r="98" spans="1:15">
      <c r="A98" s="724" t="s">
        <v>304</v>
      </c>
      <c r="B98" s="724"/>
      <c r="C98" s="1689">
        <v>-0.503</v>
      </c>
      <c r="D98" s="1686"/>
      <c r="E98" s="1689">
        <v>0.23200000000000001</v>
      </c>
      <c r="F98" s="1686"/>
      <c r="G98" s="1689">
        <v>9.0999999999999998E-2</v>
      </c>
      <c r="H98" s="1686"/>
      <c r="I98" s="1689">
        <v>0</v>
      </c>
      <c r="J98" s="1718"/>
      <c r="K98" s="640">
        <f t="shared" si="5"/>
        <v>-0.36199999999999999</v>
      </c>
      <c r="L98" s="727"/>
      <c r="M98" s="2130"/>
      <c r="N98" s="2130"/>
    </row>
    <row r="99" spans="1:15">
      <c r="A99" s="725" t="s">
        <v>305</v>
      </c>
      <c r="B99" s="724"/>
      <c r="C99" s="1689">
        <v>-0.92600000000000005</v>
      </c>
      <c r="D99" s="1686"/>
      <c r="E99" s="1689">
        <v>10.673</v>
      </c>
      <c r="F99" s="1686"/>
      <c r="G99" s="1689">
        <v>16.030999999999999</v>
      </c>
      <c r="H99" s="1686"/>
      <c r="I99" s="1689">
        <v>0</v>
      </c>
      <c r="J99" s="1718"/>
      <c r="K99" s="640">
        <f t="shared" si="5"/>
        <v>-6.2839999999999998</v>
      </c>
      <c r="L99" s="727"/>
      <c r="M99" s="2130"/>
      <c r="N99" s="2130"/>
    </row>
    <row r="100" spans="1:15">
      <c r="A100" s="428" t="s">
        <v>306</v>
      </c>
      <c r="B100" s="724"/>
      <c r="C100" s="433">
        <f>ROUND(SUM(C93:C99),3)</f>
        <v>4706.4080000000004</v>
      </c>
      <c r="D100" s="432"/>
      <c r="E100" s="433">
        <f>ROUND(SUM(E93:E99),3)</f>
        <v>7438.5140000000001</v>
      </c>
      <c r="F100" s="432"/>
      <c r="G100" s="433">
        <f>ROUND(SUM(G93:G99),3)</f>
        <v>5074.884</v>
      </c>
      <c r="H100" s="432"/>
      <c r="I100" s="433">
        <f>ROUND(SUM(I93:I99),3)</f>
        <v>-480.32900000000001</v>
      </c>
      <c r="J100" s="432"/>
      <c r="K100" s="433">
        <f>ROUND(SUM(K93:K99),3)</f>
        <v>6589.7089999999998</v>
      </c>
      <c r="L100" s="434"/>
      <c r="M100" s="2130"/>
      <c r="N100" s="2130"/>
    </row>
    <row r="101" spans="1:15" ht="12" customHeight="1">
      <c r="A101" s="432"/>
      <c r="B101" s="724"/>
      <c r="C101" s="726"/>
      <c r="D101" s="724"/>
      <c r="E101" s="726"/>
      <c r="F101" s="724"/>
      <c r="G101" s="726"/>
      <c r="H101" s="724"/>
      <c r="I101" s="726"/>
      <c r="J101" s="724"/>
      <c r="K101" s="726"/>
      <c r="L101" s="726"/>
      <c r="M101" s="2130"/>
      <c r="N101" s="2130"/>
    </row>
    <row r="102" spans="1:15">
      <c r="A102" s="3027" t="s">
        <v>307</v>
      </c>
      <c r="B102" s="724"/>
      <c r="C102" s="2214">
        <f>C90+C100</f>
        <v>9510.3320000000003</v>
      </c>
      <c r="D102" s="432"/>
      <c r="E102" s="2214">
        <f>E90+E100</f>
        <v>9314.0239999999994</v>
      </c>
      <c r="F102" s="432"/>
      <c r="G102" s="2214">
        <f>G90+G100</f>
        <v>6660.87</v>
      </c>
      <c r="H102" s="432"/>
      <c r="I102" s="2214">
        <f>I90+I100</f>
        <v>20.305999999999983</v>
      </c>
      <c r="J102" s="432"/>
      <c r="K102" s="2214">
        <f>K90+K100</f>
        <v>12183.791999999999</v>
      </c>
      <c r="L102" s="434"/>
      <c r="M102" s="3025"/>
      <c r="N102" s="3025"/>
      <c r="O102" s="728"/>
    </row>
    <row r="103" spans="1:15" ht="10.5" customHeight="1">
      <c r="A103" s="3028"/>
      <c r="B103" s="724"/>
      <c r="C103" s="726"/>
      <c r="D103" s="724"/>
      <c r="E103" s="726"/>
      <c r="F103" s="724"/>
      <c r="G103" s="726"/>
      <c r="H103" s="724"/>
      <c r="I103" s="726"/>
      <c r="J103" s="724"/>
      <c r="K103" s="726"/>
      <c r="L103" s="726"/>
      <c r="M103" s="2130"/>
      <c r="N103" s="2130"/>
    </row>
    <row r="104" spans="1:15" ht="16">
      <c r="A104" s="429" t="s">
        <v>184</v>
      </c>
      <c r="B104" s="724"/>
      <c r="C104" s="724"/>
      <c r="D104" s="724"/>
      <c r="E104" s="680"/>
      <c r="F104" s="680"/>
      <c r="G104" s="680"/>
      <c r="H104" s="680"/>
      <c r="I104" s="680"/>
      <c r="J104" s="430"/>
      <c r="K104" s="680"/>
      <c r="L104" s="726"/>
      <c r="M104" s="2130"/>
      <c r="N104" s="2130"/>
    </row>
    <row r="105" spans="1:15">
      <c r="A105" s="724" t="s">
        <v>308</v>
      </c>
      <c r="B105" s="724"/>
      <c r="C105" s="1689">
        <v>0</v>
      </c>
      <c r="D105" s="1686"/>
      <c r="E105" s="1689">
        <v>0</v>
      </c>
      <c r="F105" s="1686"/>
      <c r="G105" s="1689">
        <v>0</v>
      </c>
      <c r="H105" s="1686"/>
      <c r="I105" s="1689">
        <v>0</v>
      </c>
      <c r="J105" s="1718"/>
      <c r="K105" s="640">
        <f t="shared" ref="K105:K111" si="6">ROUND(SUM(C105)+SUM(E105)-SUM(G105)+SUM(I105),3)</f>
        <v>0</v>
      </c>
      <c r="L105" s="2133"/>
    </row>
    <row r="106" spans="1:15">
      <c r="A106" s="724" t="s">
        <v>309</v>
      </c>
      <c r="B106" s="724"/>
      <c r="C106" s="1689">
        <v>65.474999999999994</v>
      </c>
      <c r="D106" s="1686"/>
      <c r="E106" s="1689">
        <v>21.558</v>
      </c>
      <c r="F106" s="1686"/>
      <c r="G106" s="1689">
        <v>0</v>
      </c>
      <c r="H106" s="1686"/>
      <c r="I106" s="1689">
        <v>190.97399999999999</v>
      </c>
      <c r="J106" s="1718"/>
      <c r="K106" s="640">
        <f t="shared" si="6"/>
        <v>278.00700000000001</v>
      </c>
      <c r="L106" s="727"/>
      <c r="M106" s="2130"/>
      <c r="N106" s="2130"/>
    </row>
    <row r="107" spans="1:15">
      <c r="A107" s="724" t="s">
        <v>310</v>
      </c>
      <c r="B107" s="724"/>
      <c r="C107" s="1689">
        <v>2227.009</v>
      </c>
      <c r="D107" s="1686"/>
      <c r="E107" s="1689">
        <v>1540.8979999999999</v>
      </c>
      <c r="F107" s="1686"/>
      <c r="G107" s="1689">
        <v>38.667999999999999</v>
      </c>
      <c r="H107" s="1686"/>
      <c r="I107" s="1689">
        <v>-743.95600000000002</v>
      </c>
      <c r="J107" s="1718"/>
      <c r="K107" s="640">
        <f t="shared" si="6"/>
        <v>2985.2829999999999</v>
      </c>
      <c r="L107" s="727"/>
      <c r="M107" s="2130"/>
      <c r="N107" s="2130"/>
    </row>
    <row r="108" spans="1:15">
      <c r="A108" s="724" t="s">
        <v>311</v>
      </c>
      <c r="B108" s="724"/>
      <c r="C108" s="1689">
        <v>0</v>
      </c>
      <c r="D108" s="1686"/>
      <c r="E108" s="1689">
        <v>2E-3</v>
      </c>
      <c r="F108" s="1686"/>
      <c r="G108" s="1689">
        <v>1.147</v>
      </c>
      <c r="H108" s="1686"/>
      <c r="I108" s="1689">
        <v>1.145</v>
      </c>
      <c r="J108" s="1718"/>
      <c r="K108" s="640">
        <f t="shared" si="6"/>
        <v>0</v>
      </c>
      <c r="L108" s="2133"/>
      <c r="M108" s="2130"/>
      <c r="N108" s="2130"/>
    </row>
    <row r="109" spans="1:15">
      <c r="A109" s="724" t="s">
        <v>312</v>
      </c>
      <c r="B109" s="724"/>
      <c r="C109" s="1689">
        <v>38.836999999999996</v>
      </c>
      <c r="D109" s="1686"/>
      <c r="E109" s="1689">
        <v>-0.67600000000000005</v>
      </c>
      <c r="F109" s="1686"/>
      <c r="G109" s="1689">
        <v>0</v>
      </c>
      <c r="H109" s="1686"/>
      <c r="I109" s="1689">
        <v>-10.081</v>
      </c>
      <c r="J109" s="1718"/>
      <c r="K109" s="640">
        <f t="shared" si="6"/>
        <v>28.08</v>
      </c>
      <c r="L109" s="727"/>
      <c r="M109" s="2130"/>
      <c r="N109" s="2130"/>
    </row>
    <row r="110" spans="1:15">
      <c r="A110" s="724" t="s">
        <v>313</v>
      </c>
      <c r="B110" s="724"/>
      <c r="C110" s="1689">
        <v>6.03</v>
      </c>
      <c r="D110" s="1686"/>
      <c r="E110" s="1689">
        <v>65.855999999999995</v>
      </c>
      <c r="F110" s="1686"/>
      <c r="G110" s="1689">
        <v>0</v>
      </c>
      <c r="H110" s="1686"/>
      <c r="I110" s="1689">
        <v>-62.933999999999997</v>
      </c>
      <c r="J110" s="1718"/>
      <c r="K110" s="640">
        <f t="shared" si="6"/>
        <v>8.952</v>
      </c>
      <c r="L110" s="727"/>
      <c r="M110" s="2130"/>
      <c r="N110" s="2130"/>
    </row>
    <row r="111" spans="1:15">
      <c r="A111" s="725" t="s">
        <v>314</v>
      </c>
      <c r="B111" s="724"/>
      <c r="C111" s="1689">
        <v>0</v>
      </c>
      <c r="D111" s="1686"/>
      <c r="E111" s="1689">
        <v>274.90899999999999</v>
      </c>
      <c r="F111" s="1686"/>
      <c r="G111" s="1689">
        <v>0</v>
      </c>
      <c r="H111" s="1686"/>
      <c r="I111" s="1689">
        <v>-274.90899999999999</v>
      </c>
      <c r="J111" s="1718"/>
      <c r="K111" s="640">
        <f t="shared" si="6"/>
        <v>0</v>
      </c>
      <c r="L111" s="727"/>
      <c r="M111" s="2130"/>
      <c r="N111" s="2130"/>
    </row>
    <row r="112" spans="1:15">
      <c r="A112" s="3029" t="s">
        <v>315</v>
      </c>
      <c r="B112" s="3030"/>
      <c r="C112" s="433">
        <f>ROUND(SUM(C105:C111),3)</f>
        <v>2337.3510000000001</v>
      </c>
      <c r="D112" s="435"/>
      <c r="E112" s="433">
        <f>ROUND(SUM(E105:E111),3)</f>
        <v>1902.547</v>
      </c>
      <c r="F112" s="435"/>
      <c r="G112" s="433">
        <f>ROUND(SUM(G105:G111),3)</f>
        <v>39.814999999999998</v>
      </c>
      <c r="H112" s="435"/>
      <c r="I112" s="433">
        <f>ROUND(SUM(I105:I111),3)</f>
        <v>-899.76099999999997</v>
      </c>
      <c r="J112" s="435"/>
      <c r="K112" s="433">
        <f>ROUND(SUM(K105:K111),3)</f>
        <v>3300.3220000000001</v>
      </c>
      <c r="L112" s="434"/>
      <c r="M112" s="3025"/>
      <c r="N112" s="2130"/>
    </row>
    <row r="113" spans="1:14">
      <c r="A113" s="724"/>
      <c r="B113" s="724"/>
      <c r="C113" s="726"/>
      <c r="D113" s="724"/>
      <c r="E113" s="726"/>
      <c r="F113" s="724"/>
      <c r="G113" s="726"/>
      <c r="H113" s="724"/>
      <c r="I113" s="726"/>
      <c r="J113" s="724"/>
      <c r="K113" s="726" t="s">
        <v>15</v>
      </c>
      <c r="L113" s="726"/>
      <c r="M113" s="2130"/>
      <c r="N113" s="2130"/>
    </row>
    <row r="114" spans="1:14">
      <c r="A114" s="3031" t="s">
        <v>921</v>
      </c>
      <c r="B114" s="724"/>
      <c r="K114" s="728"/>
      <c r="L114" s="727"/>
      <c r="M114" s="2130"/>
      <c r="N114" s="2130"/>
    </row>
    <row r="115" spans="1:14">
      <c r="A115" s="724" t="s">
        <v>316</v>
      </c>
      <c r="B115" s="1718"/>
      <c r="C115" s="1689">
        <v>0</v>
      </c>
      <c r="D115" s="1686"/>
      <c r="E115" s="1689">
        <v>689.73800000000006</v>
      </c>
      <c r="F115" s="1686"/>
      <c r="G115" s="3808">
        <v>780.60599999999999</v>
      </c>
      <c r="H115" s="1686"/>
      <c r="I115" s="1689">
        <v>90.867999999999995</v>
      </c>
      <c r="J115" s="1718"/>
      <c r="K115" s="640">
        <f t="shared" ref="K115:K130" si="7">ROUND(SUM(C115)+SUM(E115)-SUM(G115)+SUM(I115),3)</f>
        <v>0</v>
      </c>
      <c r="L115" s="2133"/>
      <c r="M115" s="2130"/>
      <c r="N115" s="729"/>
    </row>
    <row r="116" spans="1:14">
      <c r="A116" s="724" t="s">
        <v>317</v>
      </c>
      <c r="B116" s="725"/>
      <c r="C116" s="1689">
        <v>-320.73200000000003</v>
      </c>
      <c r="D116" s="1686"/>
      <c r="E116" s="1689">
        <v>307.90300000000002</v>
      </c>
      <c r="F116" s="1686"/>
      <c r="G116" s="1689">
        <v>173.93600000000001</v>
      </c>
      <c r="H116" s="1686"/>
      <c r="I116" s="1689">
        <v>-10.648999999999999</v>
      </c>
      <c r="J116" s="1718"/>
      <c r="K116" s="640">
        <f t="shared" si="7"/>
        <v>-197.41399999999999</v>
      </c>
      <c r="L116" s="727"/>
      <c r="M116" s="2130"/>
      <c r="N116" s="2130"/>
    </row>
    <row r="117" spans="1:14">
      <c r="A117" s="724" t="s">
        <v>318</v>
      </c>
      <c r="B117" s="724"/>
      <c r="C117" s="1689">
        <v>116.349</v>
      </c>
      <c r="D117" s="1686"/>
      <c r="E117" s="1689">
        <v>1.2999999999999999E-2</v>
      </c>
      <c r="F117" s="1686"/>
      <c r="G117" s="1689">
        <v>1.2789999999999999</v>
      </c>
      <c r="H117" s="1686"/>
      <c r="I117" s="1689">
        <v>0</v>
      </c>
      <c r="J117" s="1718"/>
      <c r="K117" s="640">
        <f t="shared" si="7"/>
        <v>115.083</v>
      </c>
      <c r="L117" s="727"/>
      <c r="M117" s="2130"/>
      <c r="N117" s="2130"/>
    </row>
    <row r="118" spans="1:14">
      <c r="A118" s="724" t="s">
        <v>319</v>
      </c>
      <c r="B118" s="724"/>
      <c r="C118" s="1689">
        <v>14.096</v>
      </c>
      <c r="D118" s="1686"/>
      <c r="E118" s="1689">
        <v>1E-3</v>
      </c>
      <c r="F118" s="1686"/>
      <c r="G118" s="1689">
        <v>0</v>
      </c>
      <c r="H118" s="1686"/>
      <c r="I118" s="1689">
        <v>0</v>
      </c>
      <c r="J118" s="1718"/>
      <c r="K118" s="640">
        <f t="shared" si="7"/>
        <v>14.097</v>
      </c>
      <c r="L118" s="727"/>
      <c r="M118" s="2130"/>
      <c r="N118" s="2130"/>
    </row>
    <row r="119" spans="1:14">
      <c r="A119" s="724" t="s">
        <v>320</v>
      </c>
      <c r="B119" s="724"/>
      <c r="C119" s="1689">
        <v>-70.45</v>
      </c>
      <c r="D119" s="1686"/>
      <c r="E119" s="1689">
        <v>47.56</v>
      </c>
      <c r="F119" s="1686"/>
      <c r="G119" s="1689">
        <v>11.964</v>
      </c>
      <c r="H119" s="1686"/>
      <c r="I119" s="1689">
        <v>0</v>
      </c>
      <c r="J119" s="1718"/>
      <c r="K119" s="640">
        <f t="shared" si="7"/>
        <v>-34.853999999999999</v>
      </c>
      <c r="L119" s="727"/>
      <c r="M119" s="2130"/>
      <c r="N119" s="2130"/>
    </row>
    <row r="120" spans="1:14">
      <c r="A120" s="724" t="s">
        <v>321</v>
      </c>
      <c r="B120" s="724"/>
      <c r="C120" s="1689">
        <v>1.4999999999999999E-2</v>
      </c>
      <c r="D120" s="1686"/>
      <c r="E120" s="1689">
        <v>0</v>
      </c>
      <c r="F120" s="1686"/>
      <c r="G120" s="1689">
        <v>0</v>
      </c>
      <c r="H120" s="1686"/>
      <c r="I120" s="1689">
        <v>0</v>
      </c>
      <c r="J120" s="1718"/>
      <c r="K120" s="640">
        <f t="shared" si="7"/>
        <v>1.4999999999999999E-2</v>
      </c>
      <c r="L120" s="727"/>
      <c r="M120" s="2130"/>
      <c r="N120" s="2130"/>
    </row>
    <row r="121" spans="1:14">
      <c r="A121" s="724" t="s">
        <v>322</v>
      </c>
      <c r="B121" s="724"/>
      <c r="C121" s="1689">
        <v>98.04</v>
      </c>
      <c r="D121" s="1686"/>
      <c r="E121" s="1689">
        <v>15.441000000000001</v>
      </c>
      <c r="F121" s="1686"/>
      <c r="G121" s="1689">
        <v>11.744999999999999</v>
      </c>
      <c r="H121" s="1686"/>
      <c r="I121" s="1689">
        <v>0</v>
      </c>
      <c r="J121" s="1718"/>
      <c r="K121" s="640">
        <f t="shared" si="7"/>
        <v>101.736</v>
      </c>
      <c r="L121" s="727"/>
      <c r="M121" s="2130"/>
      <c r="N121" s="2130"/>
    </row>
    <row r="122" spans="1:14">
      <c r="A122" s="724" t="s">
        <v>323</v>
      </c>
      <c r="B122" s="724"/>
      <c r="C122" s="1689">
        <v>0</v>
      </c>
      <c r="D122" s="1686"/>
      <c r="E122" s="1689">
        <v>0</v>
      </c>
      <c r="F122" s="1686"/>
      <c r="G122" s="1689">
        <v>0</v>
      </c>
      <c r="H122" s="1686"/>
      <c r="I122" s="1689">
        <v>0</v>
      </c>
      <c r="J122" s="1718"/>
      <c r="K122" s="640">
        <f t="shared" si="7"/>
        <v>0</v>
      </c>
      <c r="L122" s="727"/>
      <c r="M122" s="2130"/>
      <c r="N122" s="2130"/>
    </row>
    <row r="123" spans="1:14">
      <c r="A123" s="724" t="s">
        <v>324</v>
      </c>
      <c r="B123" s="724"/>
      <c r="C123" s="1689">
        <v>0.16400000000000001</v>
      </c>
      <c r="D123" s="1686"/>
      <c r="E123" s="1689">
        <v>0</v>
      </c>
      <c r="F123" s="1686"/>
      <c r="G123" s="1689">
        <v>0</v>
      </c>
      <c r="H123" s="1686"/>
      <c r="I123" s="1689">
        <v>0</v>
      </c>
      <c r="J123" s="1718"/>
      <c r="K123" s="640">
        <f t="shared" si="7"/>
        <v>0.16400000000000001</v>
      </c>
      <c r="L123" s="727"/>
      <c r="M123" s="2130"/>
      <c r="N123" s="2130"/>
    </row>
    <row r="124" spans="1:14">
      <c r="A124" s="724" t="s">
        <v>950</v>
      </c>
      <c r="B124" s="724"/>
      <c r="C124" s="1689">
        <v>0</v>
      </c>
      <c r="D124" s="1686"/>
      <c r="E124" s="1689">
        <v>0</v>
      </c>
      <c r="F124" s="1686"/>
      <c r="G124" s="1689">
        <v>0</v>
      </c>
      <c r="H124" s="1686"/>
      <c r="I124" s="1689">
        <v>0</v>
      </c>
      <c r="J124" s="1718"/>
      <c r="K124" s="640">
        <f t="shared" si="7"/>
        <v>0</v>
      </c>
      <c r="L124" s="727"/>
      <c r="M124" s="2130"/>
      <c r="N124" s="2130"/>
    </row>
    <row r="125" spans="1:14">
      <c r="A125" s="724" t="s">
        <v>325</v>
      </c>
      <c r="B125" s="724"/>
      <c r="C125" s="1689">
        <v>0.66800000000000004</v>
      </c>
      <c r="D125" s="1686"/>
      <c r="E125" s="1689">
        <v>0</v>
      </c>
      <c r="F125" s="1686"/>
      <c r="G125" s="1689">
        <v>0</v>
      </c>
      <c r="H125" s="1686"/>
      <c r="I125" s="1689">
        <v>0</v>
      </c>
      <c r="J125" s="1718"/>
      <c r="K125" s="640">
        <f t="shared" si="7"/>
        <v>0.66800000000000004</v>
      </c>
      <c r="L125" s="727"/>
      <c r="M125" s="2130"/>
      <c r="N125" s="2130"/>
    </row>
    <row r="126" spans="1:14">
      <c r="A126" s="724" t="s">
        <v>326</v>
      </c>
      <c r="B126" s="724"/>
      <c r="C126" s="1689">
        <v>3.3279999999999998</v>
      </c>
      <c r="D126" s="1686"/>
      <c r="E126" s="1689">
        <v>0</v>
      </c>
      <c r="F126" s="1686"/>
      <c r="G126" s="1689">
        <v>0</v>
      </c>
      <c r="H126" s="1686"/>
      <c r="I126" s="1689">
        <v>0</v>
      </c>
      <c r="J126" s="1718"/>
      <c r="K126" s="640">
        <f t="shared" si="7"/>
        <v>3.3279999999999998</v>
      </c>
      <c r="L126" s="727"/>
      <c r="M126" s="2130"/>
      <c r="N126" s="2130"/>
    </row>
    <row r="127" spans="1:14">
      <c r="A127" s="724" t="s">
        <v>327</v>
      </c>
      <c r="B127" s="724"/>
      <c r="C127" s="1689">
        <v>1.419</v>
      </c>
      <c r="D127" s="1686"/>
      <c r="E127" s="1689">
        <v>0</v>
      </c>
      <c r="F127" s="1686"/>
      <c r="G127" s="1689">
        <v>0</v>
      </c>
      <c r="H127" s="1686"/>
      <c r="I127" s="1689">
        <v>0</v>
      </c>
      <c r="J127" s="1718"/>
      <c r="K127" s="640">
        <f t="shared" si="7"/>
        <v>1.419</v>
      </c>
      <c r="L127" s="727"/>
      <c r="M127" s="2130"/>
      <c r="N127" s="2130"/>
    </row>
    <row r="128" spans="1:14">
      <c r="A128" s="724" t="s">
        <v>328</v>
      </c>
      <c r="B128" s="724"/>
      <c r="C128" s="1689">
        <v>17.201000000000001</v>
      </c>
      <c r="D128" s="1686"/>
      <c r="E128" s="1689">
        <v>0</v>
      </c>
      <c r="F128" s="1686"/>
      <c r="G128" s="1689">
        <v>0</v>
      </c>
      <c r="H128" s="1686"/>
      <c r="I128" s="1689">
        <v>-1E-3</v>
      </c>
      <c r="J128" s="1718"/>
      <c r="K128" s="640">
        <f t="shared" si="7"/>
        <v>17.2</v>
      </c>
      <c r="L128" s="727"/>
      <c r="M128" s="2130"/>
      <c r="N128" s="2130"/>
    </row>
    <row r="129" spans="1:14">
      <c r="A129" s="724" t="s">
        <v>329</v>
      </c>
      <c r="B129" s="724"/>
      <c r="C129" s="1689">
        <v>4.2549999999999999</v>
      </c>
      <c r="D129" s="1686"/>
      <c r="E129" s="1689">
        <v>0</v>
      </c>
      <c r="F129" s="1686"/>
      <c r="G129" s="1689">
        <v>0</v>
      </c>
      <c r="H129" s="1686"/>
      <c r="I129" s="1689">
        <v>0</v>
      </c>
      <c r="J129" s="1718"/>
      <c r="K129" s="640">
        <f t="shared" si="7"/>
        <v>4.2549999999999999</v>
      </c>
      <c r="L129" s="727"/>
      <c r="M129" s="2130"/>
      <c r="N129" s="729"/>
    </row>
    <row r="130" spans="1:14">
      <c r="A130" s="724" t="s">
        <v>330</v>
      </c>
      <c r="B130" s="724"/>
      <c r="C130" s="1689">
        <v>5.5510000000000002</v>
      </c>
      <c r="D130" s="1686"/>
      <c r="E130" s="1689">
        <v>0</v>
      </c>
      <c r="F130" s="1686"/>
      <c r="G130" s="1689">
        <v>0</v>
      </c>
      <c r="H130" s="1686"/>
      <c r="I130" s="1689">
        <v>0</v>
      </c>
      <c r="J130" s="1718"/>
      <c r="K130" s="640">
        <f t="shared" si="7"/>
        <v>5.5510000000000002</v>
      </c>
      <c r="L130" s="727"/>
      <c r="M130" s="2130"/>
      <c r="N130" s="2130"/>
    </row>
    <row r="131" spans="1:14">
      <c r="A131" s="724" t="s">
        <v>331</v>
      </c>
      <c r="B131" s="724"/>
      <c r="C131" s="3446"/>
      <c r="D131" s="1716"/>
      <c r="E131" s="1719"/>
      <c r="F131" s="1686"/>
      <c r="G131" s="1719" t="s">
        <v>15</v>
      </c>
      <c r="H131" s="1686"/>
      <c r="I131" s="1719"/>
      <c r="J131" s="724"/>
      <c r="K131" s="2228"/>
      <c r="L131" s="727"/>
      <c r="M131" s="2130"/>
      <c r="N131" s="2130"/>
    </row>
    <row r="132" spans="1:14">
      <c r="A132" s="724" t="s">
        <v>332</v>
      </c>
      <c r="B132" s="724"/>
      <c r="C132" s="1689">
        <v>2.778</v>
      </c>
      <c r="D132" s="1686"/>
      <c r="E132" s="1689">
        <v>0</v>
      </c>
      <c r="F132" s="1686"/>
      <c r="G132" s="1689">
        <v>0</v>
      </c>
      <c r="H132" s="1686"/>
      <c r="I132" s="1689">
        <v>0</v>
      </c>
      <c r="J132" s="1718"/>
      <c r="K132" s="640">
        <f t="shared" ref="K132:K153" si="8">ROUND(SUM(C132)+SUM(E132)-SUM(G132)+SUM(I132),3)</f>
        <v>2.778</v>
      </c>
      <c r="L132" s="727"/>
      <c r="M132" s="2130"/>
      <c r="N132" s="2130"/>
    </row>
    <row r="133" spans="1:14">
      <c r="A133" s="724" t="s">
        <v>333</v>
      </c>
      <c r="B133" s="724"/>
      <c r="C133" s="1689">
        <v>1.4279999999999999</v>
      </c>
      <c r="D133" s="1686"/>
      <c r="E133" s="1689">
        <v>0</v>
      </c>
      <c r="F133" s="1686"/>
      <c r="G133" s="1689">
        <v>0</v>
      </c>
      <c r="H133" s="1686"/>
      <c r="I133" s="1689">
        <v>0</v>
      </c>
      <c r="J133" s="1718"/>
      <c r="K133" s="640">
        <f t="shared" si="8"/>
        <v>1.4279999999999999</v>
      </c>
      <c r="L133" s="727"/>
      <c r="M133" s="2130"/>
      <c r="N133" s="2130"/>
    </row>
    <row r="134" spans="1:14">
      <c r="A134" s="724" t="s">
        <v>1198</v>
      </c>
      <c r="B134" s="724"/>
      <c r="C134" s="1689">
        <v>0</v>
      </c>
      <c r="D134" s="1686"/>
      <c r="E134" s="1689">
        <v>0</v>
      </c>
      <c r="F134" s="1686"/>
      <c r="G134" s="1689">
        <v>0</v>
      </c>
      <c r="H134" s="1686"/>
      <c r="I134" s="1689">
        <v>0</v>
      </c>
      <c r="J134" s="1718"/>
      <c r="K134" s="640">
        <f t="shared" si="8"/>
        <v>0</v>
      </c>
      <c r="L134" s="727"/>
      <c r="M134" s="2130"/>
      <c r="N134" s="2130"/>
    </row>
    <row r="135" spans="1:14">
      <c r="A135" s="724" t="s">
        <v>1275</v>
      </c>
      <c r="B135" s="724"/>
      <c r="C135" s="1689">
        <v>0</v>
      </c>
      <c r="D135" s="1686"/>
      <c r="E135" s="1689">
        <v>0</v>
      </c>
      <c r="F135" s="1686"/>
      <c r="G135" s="1689">
        <v>0</v>
      </c>
      <c r="H135" s="1686"/>
      <c r="I135" s="1689">
        <v>0</v>
      </c>
      <c r="J135" s="1718"/>
      <c r="K135" s="640">
        <f t="shared" si="8"/>
        <v>0</v>
      </c>
      <c r="L135" s="727"/>
      <c r="M135" s="2130"/>
      <c r="N135" s="2130"/>
    </row>
    <row r="136" spans="1:14">
      <c r="A136" s="724" t="s">
        <v>334</v>
      </c>
      <c r="B136" s="724"/>
      <c r="C136" s="1689">
        <v>0</v>
      </c>
      <c r="D136" s="1686"/>
      <c r="E136" s="1689">
        <v>0</v>
      </c>
      <c r="F136" s="1686"/>
      <c r="G136" s="1689">
        <v>0</v>
      </c>
      <c r="H136" s="1686"/>
      <c r="I136" s="1689">
        <v>0</v>
      </c>
      <c r="J136" s="1718"/>
      <c r="K136" s="640">
        <f t="shared" si="8"/>
        <v>0</v>
      </c>
      <c r="L136" s="727"/>
      <c r="M136" s="2130"/>
      <c r="N136" s="2130"/>
    </row>
    <row r="137" spans="1:14">
      <c r="A137" s="724" t="s">
        <v>335</v>
      </c>
      <c r="B137" s="724"/>
      <c r="C137" s="1689">
        <v>0</v>
      </c>
      <c r="D137" s="1686"/>
      <c r="E137" s="1689">
        <v>0</v>
      </c>
      <c r="F137" s="1686"/>
      <c r="G137" s="1689">
        <v>0</v>
      </c>
      <c r="H137" s="1686"/>
      <c r="I137" s="1689">
        <v>0</v>
      </c>
      <c r="J137" s="1718"/>
      <c r="K137" s="640">
        <f t="shared" si="8"/>
        <v>0</v>
      </c>
      <c r="L137" s="727"/>
      <c r="M137" s="2130"/>
      <c r="N137" s="2130"/>
    </row>
    <row r="138" spans="1:14">
      <c r="A138" s="724" t="s">
        <v>336</v>
      </c>
      <c r="B138" s="724"/>
      <c r="C138" s="1689">
        <v>-553.29100000000005</v>
      </c>
      <c r="D138" s="1686"/>
      <c r="E138" s="1689">
        <v>167.77500000000001</v>
      </c>
      <c r="F138" s="1686"/>
      <c r="G138" s="1689">
        <v>154.06399999999999</v>
      </c>
      <c r="H138" s="1686"/>
      <c r="I138" s="1689">
        <v>0</v>
      </c>
      <c r="J138" s="1718"/>
      <c r="K138" s="640">
        <f t="shared" si="8"/>
        <v>-539.58000000000004</v>
      </c>
      <c r="L138" s="727"/>
      <c r="M138" s="2130"/>
      <c r="N138" s="2130"/>
    </row>
    <row r="139" spans="1:14">
      <c r="A139" s="724" t="s">
        <v>337</v>
      </c>
      <c r="B139" s="724"/>
      <c r="C139" s="1689">
        <v>1.0820000000000001</v>
      </c>
      <c r="D139" s="1686"/>
      <c r="E139" s="1689">
        <v>0</v>
      </c>
      <c r="F139" s="1686"/>
      <c r="G139" s="1689">
        <v>0</v>
      </c>
      <c r="H139" s="1686"/>
      <c r="I139" s="1689">
        <v>0</v>
      </c>
      <c r="J139" s="1718"/>
      <c r="K139" s="640">
        <f t="shared" si="8"/>
        <v>1.0820000000000001</v>
      </c>
      <c r="L139" s="2133"/>
      <c r="M139" s="2130"/>
      <c r="N139" s="729"/>
    </row>
    <row r="140" spans="1:14">
      <c r="A140" s="725" t="s">
        <v>338</v>
      </c>
      <c r="B140" s="724"/>
      <c r="C140" s="1689">
        <v>-62.231999999999999</v>
      </c>
      <c r="D140" s="1686"/>
      <c r="E140" s="1689">
        <v>19.361000000000001</v>
      </c>
      <c r="F140" s="1686"/>
      <c r="G140" s="1689">
        <v>6.181</v>
      </c>
      <c r="H140" s="1686"/>
      <c r="I140" s="1689">
        <v>-0.67700000000000005</v>
      </c>
      <c r="J140" s="1718"/>
      <c r="K140" s="640">
        <f t="shared" si="8"/>
        <v>-49.728999999999999</v>
      </c>
      <c r="L140" s="727"/>
      <c r="M140" s="2130"/>
      <c r="N140" s="2130"/>
    </row>
    <row r="141" spans="1:14">
      <c r="A141" s="724" t="s">
        <v>339</v>
      </c>
      <c r="B141" s="724"/>
      <c r="C141" s="1689">
        <v>0.53900000000000003</v>
      </c>
      <c r="D141" s="1686"/>
      <c r="E141" s="1689">
        <v>1E-3</v>
      </c>
      <c r="F141" s="1686"/>
      <c r="G141" s="1689">
        <v>0</v>
      </c>
      <c r="H141" s="1686"/>
      <c r="I141" s="1689">
        <v>0</v>
      </c>
      <c r="J141" s="1718"/>
      <c r="K141" s="640">
        <f t="shared" si="8"/>
        <v>0.54</v>
      </c>
      <c r="L141" s="727"/>
      <c r="M141" s="2130"/>
      <c r="N141" s="729"/>
    </row>
    <row r="142" spans="1:14">
      <c r="A142" s="724" t="s">
        <v>340</v>
      </c>
      <c r="B142" s="724"/>
      <c r="C142" s="1689">
        <v>-15.759</v>
      </c>
      <c r="D142" s="1686"/>
      <c r="E142" s="1689">
        <v>0</v>
      </c>
      <c r="F142" s="1686"/>
      <c r="G142" s="1689">
        <v>1.4320000000000002</v>
      </c>
      <c r="H142" s="1686"/>
      <c r="I142" s="1689">
        <v>0</v>
      </c>
      <c r="J142" s="1718"/>
      <c r="K142" s="640">
        <f t="shared" si="8"/>
        <v>-17.190999999999999</v>
      </c>
      <c r="L142" s="727"/>
      <c r="M142" s="2130"/>
      <c r="N142" s="2130"/>
    </row>
    <row r="143" spans="1:14">
      <c r="A143" s="724" t="s">
        <v>341</v>
      </c>
      <c r="B143" s="724"/>
      <c r="C143" s="1689">
        <v>-12.942</v>
      </c>
      <c r="D143" s="1686"/>
      <c r="E143" s="1689">
        <v>0</v>
      </c>
      <c r="F143" s="1686"/>
      <c r="G143" s="1689">
        <v>0</v>
      </c>
      <c r="H143" s="1686"/>
      <c r="I143" s="1689">
        <v>0</v>
      </c>
      <c r="J143" s="1718"/>
      <c r="K143" s="640">
        <f t="shared" si="8"/>
        <v>-12.942</v>
      </c>
      <c r="L143" s="727"/>
      <c r="M143" s="2130"/>
      <c r="N143" s="2130"/>
    </row>
    <row r="144" spans="1:14">
      <c r="A144" s="724" t="s">
        <v>342</v>
      </c>
      <c r="B144" s="724"/>
      <c r="C144" s="1689">
        <v>-424.28699999999998</v>
      </c>
      <c r="D144" s="1686"/>
      <c r="E144" s="1689">
        <v>0</v>
      </c>
      <c r="F144" s="1686"/>
      <c r="G144" s="1689">
        <v>24.111999999999998</v>
      </c>
      <c r="H144" s="1686"/>
      <c r="I144" s="1689">
        <v>0</v>
      </c>
      <c r="J144" s="1718"/>
      <c r="K144" s="640">
        <f t="shared" si="8"/>
        <v>-448.399</v>
      </c>
      <c r="L144" s="727"/>
      <c r="M144" s="2130"/>
      <c r="N144" s="2130"/>
    </row>
    <row r="145" spans="1:15">
      <c r="A145" s="724" t="s">
        <v>343</v>
      </c>
      <c r="B145" s="724"/>
      <c r="C145" s="1689">
        <v>17.899000000000001</v>
      </c>
      <c r="D145" s="1686"/>
      <c r="E145" s="1689">
        <v>2E-3</v>
      </c>
      <c r="F145" s="1686"/>
      <c r="G145" s="2162">
        <v>0.189</v>
      </c>
      <c r="H145" s="1686"/>
      <c r="I145" s="1689">
        <v>0</v>
      </c>
      <c r="J145" s="1718"/>
      <c r="K145" s="640">
        <f t="shared" si="8"/>
        <v>17.712</v>
      </c>
      <c r="L145" s="727"/>
      <c r="M145" s="2130"/>
      <c r="N145" s="2130"/>
    </row>
    <row r="146" spans="1:15">
      <c r="A146" s="724" t="s">
        <v>958</v>
      </c>
      <c r="B146" s="724"/>
      <c r="C146" s="1689">
        <v>-11.968999999999999</v>
      </c>
      <c r="D146" s="1686"/>
      <c r="E146" s="1689">
        <v>0</v>
      </c>
      <c r="F146" s="1686"/>
      <c r="G146" s="1689">
        <v>-1.2999999999999999E-2</v>
      </c>
      <c r="H146" s="1686"/>
      <c r="I146" s="1689">
        <v>0</v>
      </c>
      <c r="J146" s="1718"/>
      <c r="K146" s="640">
        <f t="shared" si="8"/>
        <v>-11.956</v>
      </c>
      <c r="L146" s="727"/>
      <c r="M146" s="2130"/>
      <c r="N146" s="2130"/>
    </row>
    <row r="147" spans="1:15">
      <c r="A147" s="724" t="s">
        <v>344</v>
      </c>
      <c r="B147" s="724"/>
      <c r="C147" s="1689">
        <v>103.009</v>
      </c>
      <c r="D147" s="1686"/>
      <c r="E147" s="1689">
        <v>1.5409999999999999</v>
      </c>
      <c r="F147" s="1686"/>
      <c r="G147" s="1689">
        <v>3.7770000000000001</v>
      </c>
      <c r="H147" s="1686"/>
      <c r="I147" s="1689">
        <v>1.6319999999999999</v>
      </c>
      <c r="J147" s="1718"/>
      <c r="K147" s="640">
        <f t="shared" si="8"/>
        <v>102.405</v>
      </c>
      <c r="L147" s="727"/>
      <c r="M147" s="2130"/>
      <c r="N147" s="2130"/>
    </row>
    <row r="148" spans="1:15">
      <c r="A148" s="724" t="s">
        <v>345</v>
      </c>
      <c r="B148" s="724"/>
      <c r="C148" s="1689">
        <v>3.5000000000000003E-2</v>
      </c>
      <c r="D148" s="1686"/>
      <c r="E148" s="1689">
        <v>1E-3</v>
      </c>
      <c r="F148" s="1686"/>
      <c r="G148" s="1689">
        <v>0</v>
      </c>
      <c r="H148" s="1686"/>
      <c r="I148" s="1689">
        <v>0</v>
      </c>
      <c r="J148" s="1718"/>
      <c r="K148" s="640">
        <f t="shared" si="8"/>
        <v>3.5999999999999997E-2</v>
      </c>
      <c r="L148" s="727"/>
      <c r="M148" s="2130"/>
      <c r="N148" s="2130"/>
    </row>
    <row r="149" spans="1:15">
      <c r="A149" s="724" t="s">
        <v>346</v>
      </c>
      <c r="B149" s="724"/>
      <c r="C149" s="1689">
        <v>-383.56400000000002</v>
      </c>
      <c r="D149" s="1686"/>
      <c r="E149" s="1689">
        <v>4.0000000000000001E-3</v>
      </c>
      <c r="F149" s="1686"/>
      <c r="G149" s="1689">
        <v>11.283000000000001</v>
      </c>
      <c r="H149" s="1686"/>
      <c r="I149" s="1689">
        <v>0</v>
      </c>
      <c r="J149" s="1718"/>
      <c r="K149" s="640">
        <f t="shared" si="8"/>
        <v>-394.84300000000002</v>
      </c>
      <c r="L149" s="2133"/>
      <c r="M149" s="2130"/>
      <c r="N149" s="2130"/>
    </row>
    <row r="150" spans="1:15">
      <c r="A150" s="724" t="s">
        <v>347</v>
      </c>
      <c r="B150" s="724"/>
      <c r="C150" s="1689">
        <v>-212.506</v>
      </c>
      <c r="D150" s="1686"/>
      <c r="E150" s="1689">
        <v>0</v>
      </c>
      <c r="F150" s="1686"/>
      <c r="G150" s="2162">
        <v>20.471</v>
      </c>
      <c r="H150" s="1686"/>
      <c r="I150" s="1689">
        <v>0</v>
      </c>
      <c r="J150" s="1718"/>
      <c r="K150" s="640">
        <f t="shared" si="8"/>
        <v>-232.977</v>
      </c>
      <c r="L150" s="727"/>
      <c r="M150" s="2130"/>
      <c r="N150" s="2130"/>
    </row>
    <row r="151" spans="1:15">
      <c r="A151" s="724" t="s">
        <v>348</v>
      </c>
      <c r="B151" s="724"/>
      <c r="C151" s="1689">
        <v>153.51599999999999</v>
      </c>
      <c r="D151" s="1686"/>
      <c r="E151" s="1689">
        <v>5.1999999999999998E-2</v>
      </c>
      <c r="F151" s="1686"/>
      <c r="G151" s="2162">
        <v>3.8580000000000001</v>
      </c>
      <c r="H151" s="1686"/>
      <c r="I151" s="1689">
        <v>-1.9450000000000001</v>
      </c>
      <c r="J151" s="1718"/>
      <c r="K151" s="640">
        <f t="shared" si="8"/>
        <v>147.76499999999999</v>
      </c>
      <c r="L151" s="727"/>
      <c r="M151" s="2130"/>
      <c r="N151" s="2130"/>
    </row>
    <row r="152" spans="1:15">
      <c r="A152" s="724" t="s">
        <v>349</v>
      </c>
      <c r="B152" s="724"/>
      <c r="C152" s="1689">
        <v>-53.101999999999997</v>
      </c>
      <c r="D152" s="1686"/>
      <c r="E152" s="1689">
        <v>1.31</v>
      </c>
      <c r="F152" s="1686"/>
      <c r="G152" s="1689">
        <v>1.806</v>
      </c>
      <c r="H152" s="1686"/>
      <c r="I152" s="1689">
        <v>0</v>
      </c>
      <c r="J152" s="1718"/>
      <c r="K152" s="640">
        <f t="shared" si="8"/>
        <v>-53.597999999999999</v>
      </c>
      <c r="L152" s="727"/>
      <c r="M152" s="2130"/>
      <c r="N152" s="729"/>
    </row>
    <row r="153" spans="1:15">
      <c r="A153" s="724" t="s">
        <v>1205</v>
      </c>
      <c r="B153" s="724"/>
      <c r="C153" s="1689">
        <v>90.519000000000005</v>
      </c>
      <c r="D153" s="1686"/>
      <c r="E153" s="1689">
        <v>0</v>
      </c>
      <c r="F153" s="1686"/>
      <c r="G153" s="1689">
        <v>57.387</v>
      </c>
      <c r="H153" s="1686"/>
      <c r="I153" s="1689">
        <v>0</v>
      </c>
      <c r="J153" s="1718"/>
      <c r="K153" s="640">
        <f t="shared" si="8"/>
        <v>33.131999999999998</v>
      </c>
      <c r="L153" s="727"/>
      <c r="M153" s="2130"/>
      <c r="N153" s="2130"/>
    </row>
    <row r="154" spans="1:15">
      <c r="A154" s="432" t="s">
        <v>1491</v>
      </c>
      <c r="B154" s="724"/>
      <c r="C154" s="433">
        <f>ROUND(SUM(C115:C153),3)</f>
        <v>-1488.943</v>
      </c>
      <c r="D154" s="432"/>
      <c r="E154" s="433">
        <f>ROUND(SUM(E115:E153),3)</f>
        <v>1250.703</v>
      </c>
      <c r="F154" s="432"/>
      <c r="G154" s="433">
        <f>ROUND(SUM(G115:G153),3)</f>
        <v>1264.077</v>
      </c>
      <c r="H154" s="432"/>
      <c r="I154" s="433">
        <f>ROUND(SUM(I115:I153),3)</f>
        <v>79.227999999999994</v>
      </c>
      <c r="J154" s="432"/>
      <c r="K154" s="433">
        <f>ROUND(SUM(K115:K153),3)</f>
        <v>-1423.0889999999999</v>
      </c>
      <c r="L154" s="434"/>
      <c r="M154" s="3025"/>
      <c r="N154" s="3025"/>
      <c r="O154" s="3032"/>
    </row>
    <row r="155" spans="1:15">
      <c r="A155" s="432"/>
      <c r="B155" s="724"/>
      <c r="C155" s="726"/>
      <c r="D155" s="724"/>
      <c r="E155" s="730"/>
      <c r="F155" s="731"/>
      <c r="G155" s="730"/>
      <c r="H155" s="731"/>
      <c r="I155" s="730"/>
      <c r="J155" s="724"/>
      <c r="K155" s="726"/>
      <c r="L155" s="726"/>
    </row>
    <row r="156" spans="1:15" ht="16" thickBot="1">
      <c r="A156" s="432" t="s">
        <v>350</v>
      </c>
      <c r="B156" s="435"/>
      <c r="C156" s="436">
        <f>ROUND(SUM(C24+C102+C112+C154),3)</f>
        <v>25800.535</v>
      </c>
      <c r="D156" s="435"/>
      <c r="E156" s="436">
        <f>ROUND(SUM(E24+E102+E112+E154),3)</f>
        <v>14728.201999999999</v>
      </c>
      <c r="F156" s="437"/>
      <c r="G156" s="436">
        <f>ROUND(SUM(G24+G102+G112+G154),3)</f>
        <v>11529.956</v>
      </c>
      <c r="H156" s="437"/>
      <c r="I156" s="436">
        <f>ROUND(SUM(I24+I102+I112+I154),3)</f>
        <v>-6.9420000000000002</v>
      </c>
      <c r="J156" s="435"/>
      <c r="K156" s="436">
        <f>ROUND(SUM(K24+K102+K112+K154),3)</f>
        <v>28991.839</v>
      </c>
      <c r="L156" s="438"/>
    </row>
    <row r="157" spans="1:15" ht="16" thickTop="1">
      <c r="A157" s="724"/>
      <c r="B157" s="724"/>
      <c r="C157" s="726" t="s">
        <v>15</v>
      </c>
      <c r="D157" s="724"/>
      <c r="E157" s="726"/>
      <c r="F157" s="724"/>
      <c r="G157" s="726"/>
      <c r="H157" s="724"/>
      <c r="I157" s="726"/>
      <c r="J157" s="724"/>
      <c r="K157" s="726"/>
      <c r="L157" s="726"/>
    </row>
    <row r="158" spans="1:15">
      <c r="A158" s="724"/>
      <c r="B158" s="724"/>
      <c r="C158" s="724"/>
      <c r="D158" s="724"/>
      <c r="E158" s="724"/>
      <c r="F158" s="724"/>
      <c r="G158" s="724"/>
      <c r="H158" s="724"/>
      <c r="I158" s="724"/>
      <c r="J158" s="724"/>
      <c r="K158" s="724"/>
      <c r="L158" s="726"/>
    </row>
    <row r="159" spans="1:15">
      <c r="A159" s="431"/>
      <c r="B159" s="724"/>
      <c r="C159" s="724"/>
      <c r="D159" s="724"/>
      <c r="E159" s="3432"/>
      <c r="F159" s="724"/>
      <c r="G159" s="724"/>
      <c r="H159" s="724"/>
      <c r="I159" s="731"/>
      <c r="J159" s="724"/>
      <c r="K159" s="3433"/>
      <c r="L159" s="726"/>
    </row>
    <row r="160" spans="1:15">
      <c r="A160" s="724" t="s">
        <v>15</v>
      </c>
      <c r="B160" s="724"/>
      <c r="C160" s="724"/>
      <c r="D160" s="724"/>
      <c r="E160" s="724"/>
      <c r="F160" s="724"/>
      <c r="G160" s="728"/>
      <c r="H160" s="724"/>
      <c r="I160" s="724"/>
      <c r="J160" s="724"/>
      <c r="K160" s="724"/>
      <c r="L160" s="726"/>
    </row>
    <row r="161" spans="1:12">
      <c r="A161" s="724"/>
      <c r="B161" s="724"/>
      <c r="C161" s="724"/>
      <c r="D161" s="724"/>
      <c r="E161" s="724"/>
      <c r="F161" s="724"/>
      <c r="G161" s="724"/>
      <c r="H161" s="724"/>
      <c r="I161" s="724"/>
      <c r="J161" s="724"/>
      <c r="K161" s="724"/>
      <c r="L161" s="726"/>
    </row>
    <row r="162" spans="1:12">
      <c r="A162" s="732"/>
      <c r="B162" s="724"/>
      <c r="C162" s="724"/>
      <c r="D162" s="724"/>
      <c r="E162" s="724"/>
      <c r="F162" s="724"/>
      <c r="G162" s="724"/>
      <c r="H162" s="724"/>
      <c r="I162" s="733"/>
      <c r="J162" s="724"/>
      <c r="K162" s="724"/>
      <c r="L162" s="726"/>
    </row>
    <row r="163" spans="1:12">
      <c r="I163" s="2215"/>
    </row>
    <row r="164" spans="1:12">
      <c r="I164" s="2215"/>
    </row>
    <row r="165" spans="1:12">
      <c r="I165" s="2215"/>
    </row>
    <row r="166" spans="1:12">
      <c r="I166" s="2215"/>
    </row>
    <row r="167" spans="1:12">
      <c r="I167" s="438"/>
    </row>
    <row r="168" spans="1:12">
      <c r="I168" s="2215"/>
    </row>
    <row r="169" spans="1:12">
      <c r="I169" s="2215"/>
    </row>
    <row r="170" spans="1:12">
      <c r="I170" s="2215"/>
    </row>
    <row r="171" spans="1:12">
      <c r="I171" s="2215"/>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69140625" defaultRowHeight="17.5"/>
  <cols>
    <col min="1" max="1" width="55.69140625" style="2216" customWidth="1"/>
    <col min="2" max="2" width="6.07421875" style="2216" customWidth="1"/>
    <col min="3" max="3" width="20.07421875" style="2216" customWidth="1"/>
    <col min="4" max="4" width="3.07421875" style="2216" customWidth="1"/>
    <col min="5" max="5" width="17.07421875" style="2216" customWidth="1"/>
    <col min="6" max="6" width="3.53515625" style="2216" customWidth="1"/>
    <col min="7" max="7" width="18.07421875" style="2216" customWidth="1"/>
    <col min="8" max="8" width="3.07421875" style="2216" customWidth="1"/>
    <col min="9" max="9" width="18.53515625" style="2216" customWidth="1"/>
    <col min="10" max="10" width="3.4609375" style="2216" customWidth="1"/>
    <col min="11" max="11" width="22.07421875" style="2216" customWidth="1"/>
    <col min="12" max="12" width="15.53515625" style="2216" customWidth="1"/>
    <col min="13" max="13" width="9.69140625" style="2216" bestFit="1" customWidth="1"/>
    <col min="14" max="16384" width="8.69140625" style="2216"/>
  </cols>
  <sheetData>
    <row r="1" spans="1:15">
      <c r="A1" s="1499" t="s">
        <v>963</v>
      </c>
    </row>
    <row r="2" spans="1:15">
      <c r="A2" s="3057"/>
    </row>
    <row r="3" spans="1:15" s="441" customFormat="1" ht="18" customHeight="1">
      <c r="A3" s="445" t="s">
        <v>0</v>
      </c>
      <c r="B3" s="3058"/>
      <c r="C3" s="3058"/>
      <c r="D3" s="3058"/>
      <c r="E3" s="2217"/>
      <c r="F3" s="2217"/>
      <c r="G3" s="439"/>
      <c r="H3" s="439"/>
      <c r="I3" s="445"/>
      <c r="J3" s="445"/>
      <c r="K3" s="448" t="s">
        <v>351</v>
      </c>
      <c r="L3" s="439"/>
      <c r="M3" s="439"/>
      <c r="N3" s="439"/>
      <c r="O3" s="439"/>
    </row>
    <row r="4" spans="1:15" s="441" customFormat="1" ht="18" customHeight="1">
      <c r="A4" s="445" t="s">
        <v>352</v>
      </c>
      <c r="B4" s="3058"/>
      <c r="C4" s="3058"/>
      <c r="D4" s="3058"/>
      <c r="E4" s="2217"/>
      <c r="F4" s="2217"/>
      <c r="G4" s="439"/>
      <c r="H4" s="439"/>
      <c r="I4" s="445"/>
      <c r="J4" s="445"/>
      <c r="K4" s="445"/>
      <c r="L4" s="439"/>
      <c r="M4" s="439"/>
      <c r="N4" s="439"/>
      <c r="O4" s="439"/>
    </row>
    <row r="5" spans="1:15" s="441" customFormat="1" ht="18" customHeight="1">
      <c r="A5" s="451" t="s">
        <v>1278</v>
      </c>
      <c r="B5" s="3058"/>
      <c r="C5" s="3058"/>
      <c r="D5" s="3058"/>
      <c r="E5" s="2217"/>
      <c r="F5" s="2217"/>
      <c r="G5" s="439"/>
      <c r="H5" s="439"/>
      <c r="I5" s="445"/>
      <c r="J5" s="445"/>
      <c r="K5" s="445"/>
      <c r="L5" s="439"/>
      <c r="M5" s="439"/>
      <c r="N5" s="439"/>
      <c r="O5" s="439"/>
    </row>
    <row r="6" spans="1:15" s="441" customFormat="1" ht="18" customHeight="1">
      <c r="A6" s="451" t="s">
        <v>353</v>
      </c>
      <c r="B6" s="3058"/>
      <c r="C6" s="3058"/>
      <c r="D6" s="3058"/>
      <c r="E6" s="2217"/>
      <c r="F6" s="2217"/>
      <c r="G6" s="439"/>
      <c r="H6" s="439"/>
      <c r="I6" s="445"/>
      <c r="J6" s="445"/>
      <c r="K6" s="445"/>
      <c r="L6" s="439"/>
      <c r="M6" s="439"/>
      <c r="N6" s="439"/>
      <c r="O6" s="439"/>
    </row>
    <row r="7" spans="1:15" s="441" customFormat="1" ht="18" customHeight="1">
      <c r="A7" s="451" t="s">
        <v>1468</v>
      </c>
      <c r="B7" s="3058"/>
      <c r="C7" s="3058"/>
      <c r="D7" s="3058"/>
      <c r="E7" s="2217"/>
      <c r="F7" s="2217"/>
      <c r="G7" s="439"/>
      <c r="H7" s="439"/>
      <c r="I7" s="445"/>
      <c r="J7" s="445"/>
      <c r="K7" s="445"/>
      <c r="L7" s="439"/>
      <c r="M7" s="439"/>
      <c r="N7" s="439"/>
      <c r="O7" s="439"/>
    </row>
    <row r="8" spans="1:15" s="441" customFormat="1" ht="18" customHeight="1">
      <c r="A8" s="451" t="str">
        <f>'Sch 1 '!A8</f>
        <v>FOR THE MONTH OF OCTOBER 2020</v>
      </c>
      <c r="B8" s="3058"/>
      <c r="C8" s="3058"/>
      <c r="D8" s="3058"/>
      <c r="E8" s="2217"/>
      <c r="G8" s="2217"/>
      <c r="H8" s="439"/>
      <c r="I8" s="445"/>
      <c r="J8" s="445"/>
      <c r="K8" s="445"/>
      <c r="L8" s="439"/>
      <c r="M8" s="439"/>
      <c r="N8" s="439"/>
      <c r="O8" s="439"/>
    </row>
    <row r="9" spans="1:15" s="441" customFormat="1" ht="18" customHeight="1">
      <c r="A9" s="445" t="s">
        <v>1365</v>
      </c>
      <c r="B9" s="3058"/>
      <c r="C9" s="3058"/>
      <c r="D9" s="3058"/>
      <c r="E9" s="2217"/>
      <c r="F9" s="2217"/>
      <c r="G9" s="439"/>
      <c r="H9" s="439"/>
      <c r="I9" s="445"/>
      <c r="J9" s="445"/>
      <c r="K9" s="445"/>
      <c r="L9" s="439"/>
      <c r="M9" s="439"/>
      <c r="N9" s="439"/>
      <c r="O9" s="439"/>
    </row>
    <row r="10" spans="1:15" s="441" customFormat="1" ht="18">
      <c r="A10" s="445"/>
      <c r="B10" s="445"/>
      <c r="C10" s="439"/>
      <c r="D10" s="445"/>
      <c r="E10" s="439"/>
      <c r="F10" s="439"/>
      <c r="G10" s="439"/>
      <c r="H10" s="439"/>
      <c r="I10" s="439"/>
      <c r="J10" s="439"/>
      <c r="K10" s="439"/>
      <c r="L10" s="439"/>
      <c r="M10" s="439"/>
      <c r="N10" s="439"/>
      <c r="O10" s="439"/>
    </row>
    <row r="11" spans="1:15" s="441" customFormat="1" ht="18">
      <c r="A11" s="445"/>
      <c r="B11" s="445"/>
      <c r="C11" s="445"/>
      <c r="D11" s="445"/>
      <c r="E11" s="445"/>
      <c r="F11" s="445"/>
      <c r="G11" s="445"/>
      <c r="H11" s="445"/>
      <c r="I11" s="445"/>
      <c r="J11" s="445"/>
      <c r="K11" s="445"/>
      <c r="L11" s="439"/>
      <c r="M11" s="439"/>
      <c r="N11" s="439"/>
      <c r="O11" s="439"/>
    </row>
    <row r="12" spans="1:15" s="441" customFormat="1" ht="18">
      <c r="A12" s="445"/>
      <c r="B12" s="445"/>
      <c r="C12" s="690"/>
      <c r="D12" s="445"/>
      <c r="E12" s="445"/>
      <c r="F12" s="445"/>
      <c r="G12" s="445"/>
      <c r="H12" s="445"/>
      <c r="I12" s="690" t="s">
        <v>354</v>
      </c>
      <c r="J12" s="445"/>
      <c r="K12" s="690"/>
      <c r="L12" s="439"/>
      <c r="M12" s="439"/>
      <c r="N12" s="439"/>
      <c r="O12" s="439"/>
    </row>
    <row r="13" spans="1:15" s="441" customFormat="1" ht="18">
      <c r="A13" s="445"/>
      <c r="B13" s="445"/>
      <c r="C13" s="690" t="s">
        <v>233</v>
      </c>
      <c r="D13" s="445"/>
      <c r="E13" s="445"/>
      <c r="F13" s="445"/>
      <c r="G13" s="445"/>
      <c r="H13" s="445"/>
      <c r="I13" s="690" t="s">
        <v>355</v>
      </c>
      <c r="J13" s="445"/>
      <c r="K13" s="690" t="s">
        <v>233</v>
      </c>
      <c r="L13" s="439"/>
      <c r="M13" s="439"/>
      <c r="N13" s="439"/>
      <c r="O13" s="439"/>
    </row>
    <row r="14" spans="1:15" s="441" customFormat="1" ht="18">
      <c r="A14" s="465" t="s">
        <v>356</v>
      </c>
      <c r="B14" s="445"/>
      <c r="C14" s="3441" t="str">
        <f>'Sch 1 '!C11</f>
        <v>OCTOBER 1, 2020</v>
      </c>
      <c r="D14" s="445"/>
      <c r="E14" s="690" t="s">
        <v>235</v>
      </c>
      <c r="F14" s="445"/>
      <c r="G14" s="690" t="s">
        <v>236</v>
      </c>
      <c r="H14" s="445"/>
      <c r="I14" s="690" t="s">
        <v>237</v>
      </c>
      <c r="J14" s="445"/>
      <c r="K14" s="904" t="str">
        <f>'Sch 1 '!K11</f>
        <v>OCTOBER 31, 2020</v>
      </c>
      <c r="L14" s="439"/>
      <c r="M14" s="439"/>
      <c r="N14" s="439"/>
      <c r="O14" s="439"/>
    </row>
    <row r="15" spans="1:15" s="441" customFormat="1" ht="12" customHeight="1">
      <c r="A15" s="439"/>
      <c r="B15" s="439"/>
      <c r="C15" s="3442"/>
      <c r="D15" s="439"/>
      <c r="E15" s="2218"/>
      <c r="F15" s="439"/>
      <c r="G15" s="2218"/>
      <c r="H15" s="439"/>
      <c r="I15" s="2218"/>
      <c r="J15" s="439"/>
      <c r="K15" s="2218"/>
      <c r="L15" s="439"/>
      <c r="M15" s="439"/>
      <c r="N15" s="439"/>
      <c r="O15" s="439"/>
    </row>
    <row r="16" spans="1:15" s="441" customFormat="1" ht="18">
      <c r="A16" s="452" t="s">
        <v>215</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399999999999999" customHeight="1">
      <c r="A18" s="439" t="s">
        <v>357</v>
      </c>
      <c r="B18" s="440"/>
      <c r="C18" s="1690">
        <v>0.114</v>
      </c>
      <c r="D18" s="1691"/>
      <c r="E18" s="1690">
        <v>2E-3</v>
      </c>
      <c r="F18" s="1691"/>
      <c r="G18" s="1690">
        <v>0</v>
      </c>
      <c r="H18" s="1691"/>
      <c r="I18" s="1690">
        <v>0</v>
      </c>
      <c r="J18" s="3042"/>
      <c r="K18" s="1693">
        <f t="shared" ref="K18:K24" si="0">ROUND(SUM(C18)+SUM(E18)-SUM(G18)+SUM(I18),3)</f>
        <v>0.11600000000000001</v>
      </c>
      <c r="L18" s="439"/>
      <c r="M18" s="439"/>
      <c r="N18" s="439"/>
      <c r="O18" s="439"/>
    </row>
    <row r="19" spans="1:15" s="441" customFormat="1" ht="15.75" customHeight="1">
      <c r="A19" s="439" t="s">
        <v>358</v>
      </c>
      <c r="B19" s="439"/>
      <c r="C19" s="1694">
        <v>2.0569999999999999</v>
      </c>
      <c r="D19" s="1691"/>
      <c r="E19" s="1694">
        <v>1.9E-2</v>
      </c>
      <c r="F19" s="1691"/>
      <c r="G19" s="1694">
        <v>0.36299999999999999</v>
      </c>
      <c r="H19" s="1691"/>
      <c r="I19" s="1694">
        <v>0</v>
      </c>
      <c r="J19" s="3042"/>
      <c r="K19" s="1695">
        <f>ROUND(SUM(C19)+SUM(E19)-SUM(G19)+SUM(I19),3)</f>
        <v>1.7130000000000001</v>
      </c>
      <c r="L19" s="439"/>
      <c r="M19" s="439"/>
      <c r="N19" s="439"/>
      <c r="O19" s="439"/>
    </row>
    <row r="20" spans="1:15" s="441" customFormat="1" ht="16.399999999999999" customHeight="1">
      <c r="A20" s="439" t="s">
        <v>359</v>
      </c>
      <c r="B20" s="439"/>
      <c r="C20" s="1694">
        <v>3.669</v>
      </c>
      <c r="D20" s="1691"/>
      <c r="E20" s="1694">
        <v>3.8290000000000002</v>
      </c>
      <c r="F20" s="1691"/>
      <c r="G20" s="1694">
        <v>3.4209999999999998</v>
      </c>
      <c r="H20" s="1691"/>
      <c r="I20" s="1694">
        <v>0</v>
      </c>
      <c r="J20" s="3042"/>
      <c r="K20" s="1695">
        <f t="shared" si="0"/>
        <v>4.077</v>
      </c>
      <c r="L20" s="439"/>
      <c r="M20" s="439"/>
      <c r="N20" s="439"/>
      <c r="O20" s="439"/>
    </row>
    <row r="21" spans="1:15" s="441" customFormat="1" ht="16.399999999999999" customHeight="1">
      <c r="A21" s="439" t="s">
        <v>995</v>
      </c>
      <c r="B21" s="439"/>
      <c r="C21" s="1694">
        <v>11.004</v>
      </c>
      <c r="D21" s="1691"/>
      <c r="E21" s="1694">
        <v>0.47499999999999998</v>
      </c>
      <c r="F21" s="1691"/>
      <c r="G21" s="1694">
        <v>1.3620000000000001</v>
      </c>
      <c r="H21" s="1691"/>
      <c r="I21" s="1694">
        <v>0</v>
      </c>
      <c r="J21" s="3042"/>
      <c r="K21" s="1695">
        <f t="shared" si="0"/>
        <v>10.117000000000001</v>
      </c>
      <c r="L21" s="439" t="s">
        <v>15</v>
      </c>
      <c r="M21" s="439"/>
      <c r="N21" s="439"/>
      <c r="O21" s="439"/>
    </row>
    <row r="22" spans="1:15" s="441" customFormat="1" ht="16.399999999999999" customHeight="1">
      <c r="A22" s="439" t="s">
        <v>996</v>
      </c>
      <c r="B22" s="439"/>
      <c r="C22" s="1694">
        <v>2.2410000000000001</v>
      </c>
      <c r="D22" s="1691"/>
      <c r="E22" s="1694">
        <v>1.2E-2</v>
      </c>
      <c r="F22" s="1691"/>
      <c r="G22" s="1694">
        <v>0.01</v>
      </c>
      <c r="H22" s="1691"/>
      <c r="I22" s="1694">
        <v>0</v>
      </c>
      <c r="J22" s="3042"/>
      <c r="K22" s="1695">
        <f t="shared" si="0"/>
        <v>2.2429999999999999</v>
      </c>
      <c r="L22" s="439" t="s">
        <v>15</v>
      </c>
      <c r="M22" s="439"/>
      <c r="N22" s="439"/>
      <c r="O22" s="439"/>
    </row>
    <row r="23" spans="1:15" s="441" customFormat="1" ht="16.399999999999999" customHeight="1">
      <c r="A23" s="439" t="s">
        <v>997</v>
      </c>
      <c r="B23" s="439"/>
      <c r="C23" s="1694">
        <v>1.887</v>
      </c>
      <c r="D23" s="1691"/>
      <c r="E23" s="1694">
        <v>2E-3</v>
      </c>
      <c r="F23" s="1691"/>
      <c r="G23" s="1694">
        <v>0</v>
      </c>
      <c r="H23" s="1691"/>
      <c r="I23" s="1694">
        <v>0</v>
      </c>
      <c r="J23" s="3042"/>
      <c r="K23" s="1695">
        <f t="shared" si="0"/>
        <v>1.889</v>
      </c>
      <c r="L23" s="439"/>
      <c r="M23" s="439"/>
      <c r="N23" s="439"/>
      <c r="O23" s="439"/>
    </row>
    <row r="24" spans="1:15" s="441" customFormat="1" ht="16.399999999999999" customHeight="1">
      <c r="A24" s="439" t="s">
        <v>360</v>
      </c>
      <c r="B24" s="439"/>
      <c r="C24" s="1694">
        <v>4.9429999999999996</v>
      </c>
      <c r="D24" s="1691"/>
      <c r="E24" s="1694">
        <v>8.4000000000000005E-2</v>
      </c>
      <c r="F24" s="1691"/>
      <c r="G24" s="1694">
        <v>9.5000000000000001E-2</v>
      </c>
      <c r="H24" s="1691"/>
      <c r="I24" s="1694">
        <v>0</v>
      </c>
      <c r="J24" s="3042"/>
      <c r="K24" s="1695">
        <f t="shared" si="0"/>
        <v>4.9320000000000004</v>
      </c>
      <c r="L24" s="439"/>
      <c r="M24" s="439"/>
      <c r="N24" s="439"/>
      <c r="O24" s="439"/>
    </row>
    <row r="25" spans="1:15" s="441" customFormat="1" ht="16.399999999999999" customHeight="1">
      <c r="A25" s="3413" t="s">
        <v>1384</v>
      </c>
      <c r="B25" s="439"/>
      <c r="C25" s="1694">
        <v>16.143000000000001</v>
      </c>
      <c r="D25" s="1691"/>
      <c r="E25" s="1694">
        <v>3102.904</v>
      </c>
      <c r="F25" s="1691"/>
      <c r="G25" s="1694">
        <v>3102.875</v>
      </c>
      <c r="H25" s="1691"/>
      <c r="I25" s="1694">
        <v>0</v>
      </c>
      <c r="J25" s="3042"/>
      <c r="K25" s="1695">
        <f>ROUND(SUM(C25)+SUM(E25)-SUM(G25)+SUM(I25),3)</f>
        <v>16.172000000000001</v>
      </c>
      <c r="L25" s="439"/>
      <c r="M25" s="439"/>
      <c r="N25" s="439"/>
      <c r="O25" s="439"/>
    </row>
    <row r="26" spans="1:15" s="441" customFormat="1" ht="20.149999999999999" customHeight="1">
      <c r="A26" s="445" t="s">
        <v>361</v>
      </c>
      <c r="B26" s="439"/>
      <c r="C26" s="1551">
        <f>ROUND(SUM(C18:C25),3)</f>
        <v>42.058</v>
      </c>
      <c r="D26" s="1579"/>
      <c r="E26" s="1551">
        <f>ROUND(SUM(E18:E25),3)</f>
        <v>3107.3270000000002</v>
      </c>
      <c r="F26" s="1579"/>
      <c r="G26" s="1551">
        <f>ROUND(SUM(G18:G25),3)</f>
        <v>3108.1260000000002</v>
      </c>
      <c r="H26" s="697"/>
      <c r="I26" s="1551">
        <f>ROUND(SUM(I18:I25),3)</f>
        <v>0</v>
      </c>
      <c r="J26" s="697"/>
      <c r="K26" s="1551">
        <f>ROUND(SUM(K18:K25),3)</f>
        <v>41.259</v>
      </c>
      <c r="L26" s="3043"/>
      <c r="M26" s="439"/>
      <c r="N26" s="439"/>
      <c r="O26" s="439"/>
    </row>
    <row r="27" spans="1:15" s="441" customFormat="1" ht="15" customHeight="1">
      <c r="A27" s="439"/>
      <c r="B27" s="439"/>
      <c r="C27" s="699"/>
      <c r="D27" s="442"/>
      <c r="E27" s="699"/>
      <c r="F27" s="442"/>
      <c r="G27" s="699"/>
      <c r="H27" s="442"/>
      <c r="I27" s="443"/>
      <c r="J27" s="442"/>
      <c r="K27" s="699"/>
      <c r="L27" s="439"/>
      <c r="M27" s="439"/>
      <c r="N27" s="439"/>
      <c r="O27" s="439"/>
    </row>
    <row r="28" spans="1:15" s="441" customFormat="1" ht="15" customHeight="1">
      <c r="A28" s="439"/>
      <c r="B28" s="439"/>
      <c r="C28" s="442"/>
      <c r="D28" s="3053" t="s">
        <v>232</v>
      </c>
      <c r="E28" s="442"/>
      <c r="F28" s="442"/>
      <c r="G28" s="442"/>
      <c r="H28" s="442"/>
      <c r="I28" s="442"/>
      <c r="J28" s="442"/>
      <c r="K28" s="442"/>
      <c r="L28" s="439"/>
      <c r="M28" s="439"/>
      <c r="N28" s="439"/>
      <c r="O28" s="439"/>
    </row>
    <row r="29" spans="1:15" s="441" customFormat="1" ht="15" customHeight="1">
      <c r="A29" s="439"/>
      <c r="B29" s="439"/>
      <c r="C29" s="442"/>
      <c r="D29" s="442"/>
      <c r="E29" s="442"/>
      <c r="F29" s="442"/>
      <c r="G29" s="442"/>
      <c r="H29" s="442"/>
      <c r="I29" s="442"/>
      <c r="J29" s="442"/>
      <c r="K29" s="442"/>
      <c r="L29" s="439"/>
      <c r="M29" s="439"/>
      <c r="N29" s="439"/>
      <c r="O29" s="439"/>
    </row>
    <row r="30" spans="1:15" s="441" customFormat="1" ht="18" customHeight="1">
      <c r="A30" s="452" t="s">
        <v>220</v>
      </c>
      <c r="B30" s="439"/>
      <c r="C30" s="442"/>
      <c r="D30" s="442"/>
      <c r="E30" s="442"/>
      <c r="F30" s="442"/>
      <c r="G30" s="442"/>
      <c r="H30" s="442"/>
      <c r="I30" s="442"/>
      <c r="J30" s="442"/>
      <c r="K30" s="442"/>
      <c r="L30" s="439"/>
      <c r="M30" s="439"/>
      <c r="N30" s="439"/>
      <c r="O30" s="439"/>
    </row>
    <row r="31" spans="1:15" s="441" customFormat="1" ht="15" customHeight="1">
      <c r="A31" s="452"/>
      <c r="B31" s="439"/>
      <c r="C31" s="442"/>
      <c r="D31" s="442"/>
      <c r="E31" s="442"/>
      <c r="F31" s="442"/>
      <c r="G31" s="442"/>
      <c r="H31" s="442"/>
      <c r="I31" s="442"/>
      <c r="J31" s="442"/>
      <c r="K31" s="442"/>
      <c r="L31" s="439"/>
      <c r="M31" s="439"/>
      <c r="N31" s="439"/>
      <c r="O31" s="439"/>
    </row>
    <row r="32" spans="1:15" s="441" customFormat="1" ht="16.399999999999999" customHeight="1">
      <c r="A32" s="439" t="s">
        <v>998</v>
      </c>
      <c r="B32" s="439"/>
      <c r="C32" s="1694">
        <v>-117.864</v>
      </c>
      <c r="D32" s="1691"/>
      <c r="E32" s="1694">
        <v>30.635000000000002</v>
      </c>
      <c r="F32" s="1691"/>
      <c r="G32" s="1694">
        <v>29.800999999999998</v>
      </c>
      <c r="H32" s="1691"/>
      <c r="I32" s="3641">
        <v>1.34</v>
      </c>
      <c r="J32" s="3042"/>
      <c r="K32" s="1695">
        <f t="shared" ref="K32:K39" si="1">ROUND(SUM(C32)+SUM(E32)-SUM(G32)+SUM(I32),3)</f>
        <v>-115.69</v>
      </c>
      <c r="L32" s="439"/>
      <c r="M32" s="442"/>
      <c r="N32" s="439"/>
      <c r="O32" s="439"/>
    </row>
    <row r="33" spans="1:15" s="441" customFormat="1" ht="16.399999999999999" customHeight="1">
      <c r="A33" s="439" t="s">
        <v>362</v>
      </c>
      <c r="B33" s="439"/>
      <c r="C33" s="1694">
        <v>-143.179</v>
      </c>
      <c r="D33" s="1691"/>
      <c r="E33" s="1694">
        <v>11.797000000000001</v>
      </c>
      <c r="F33" s="1691"/>
      <c r="G33" s="1694">
        <v>37.720999999999997</v>
      </c>
      <c r="H33" s="1691"/>
      <c r="I33" s="1694">
        <v>5.9009999999999998</v>
      </c>
      <c r="J33" s="3042"/>
      <c r="K33" s="1695">
        <f t="shared" si="1"/>
        <v>-163.202</v>
      </c>
      <c r="L33" s="439"/>
      <c r="M33" s="442"/>
      <c r="N33" s="439"/>
      <c r="O33" s="439"/>
    </row>
    <row r="34" spans="1:15" s="441" customFormat="1" ht="16.399999999999999" customHeight="1">
      <c r="A34" s="439" t="s">
        <v>363</v>
      </c>
      <c r="B34" s="439"/>
      <c r="C34" s="1694">
        <v>-0.104</v>
      </c>
      <c r="D34" s="1691"/>
      <c r="E34" s="1694">
        <v>4.2000000000000003E-2</v>
      </c>
      <c r="F34" s="1691"/>
      <c r="G34" s="1694">
        <v>5.3999999999999999E-2</v>
      </c>
      <c r="H34" s="1691"/>
      <c r="I34" s="1694">
        <v>0</v>
      </c>
      <c r="J34" s="3042"/>
      <c r="K34" s="1695">
        <f t="shared" si="1"/>
        <v>-0.11600000000000001</v>
      </c>
      <c r="L34" s="439"/>
      <c r="M34" s="442"/>
      <c r="N34" s="439"/>
      <c r="O34" s="439"/>
    </row>
    <row r="35" spans="1:15" s="441" customFormat="1" ht="16.399999999999999" customHeight="1">
      <c r="A35" s="439" t="s">
        <v>364</v>
      </c>
      <c r="B35" s="439"/>
      <c r="C35" s="1694">
        <v>7.9000000000000001E-2</v>
      </c>
      <c r="D35" s="1691"/>
      <c r="E35" s="1694">
        <v>0</v>
      </c>
      <c r="F35" s="1691"/>
      <c r="G35" s="1694">
        <v>0</v>
      </c>
      <c r="H35" s="1691"/>
      <c r="I35" s="1694">
        <v>0</v>
      </c>
      <c r="J35" s="3042"/>
      <c r="K35" s="1695">
        <f t="shared" si="1"/>
        <v>7.9000000000000001E-2</v>
      </c>
      <c r="L35" s="439"/>
      <c r="M35" s="442"/>
      <c r="N35" s="439"/>
      <c r="O35" s="439"/>
    </row>
    <row r="36" spans="1:15" s="441" customFormat="1" ht="16.399999999999999" customHeight="1">
      <c r="A36" s="439" t="s">
        <v>999</v>
      </c>
      <c r="B36" s="439"/>
      <c r="C36" s="1694">
        <v>0.09</v>
      </c>
      <c r="D36" s="1691"/>
      <c r="E36" s="1694">
        <v>0.45900000000000002</v>
      </c>
      <c r="F36" s="1691"/>
      <c r="G36" s="1694">
        <v>6.3E-2</v>
      </c>
      <c r="H36" s="1691"/>
      <c r="I36" s="1694">
        <v>0</v>
      </c>
      <c r="J36" s="3042"/>
      <c r="K36" s="1695">
        <f t="shared" si="1"/>
        <v>0.48599999999999999</v>
      </c>
      <c r="L36" s="439"/>
      <c r="M36" s="442"/>
      <c r="N36" s="439"/>
      <c r="O36" s="439"/>
    </row>
    <row r="37" spans="1:15" s="441" customFormat="1" ht="16.399999999999999" customHeight="1">
      <c r="A37" s="439" t="s">
        <v>365</v>
      </c>
      <c r="B37" s="439"/>
      <c r="C37" s="1694">
        <v>-57.215000000000003</v>
      </c>
      <c r="D37" s="1691"/>
      <c r="E37" s="1694">
        <v>0</v>
      </c>
      <c r="F37" s="1691"/>
      <c r="G37" s="1694">
        <v>3.29</v>
      </c>
      <c r="H37" s="1691"/>
      <c r="I37" s="1694">
        <v>-6.9000000000000006E-2</v>
      </c>
      <c r="J37" s="3042"/>
      <c r="K37" s="1695">
        <f t="shared" si="1"/>
        <v>-60.573999999999998</v>
      </c>
      <c r="L37" s="439"/>
      <c r="M37" s="442"/>
      <c r="N37" s="439"/>
      <c r="O37" s="439"/>
    </row>
    <row r="38" spans="1:15" s="441" customFormat="1" ht="16.399999999999999" customHeight="1">
      <c r="A38" s="439" t="s">
        <v>366</v>
      </c>
      <c r="B38" s="439"/>
      <c r="C38" s="1694">
        <v>-10.377000000000001</v>
      </c>
      <c r="D38" s="1691"/>
      <c r="E38" s="1694">
        <v>7.8680000000000003</v>
      </c>
      <c r="F38" s="1691"/>
      <c r="G38" s="1694">
        <v>0.71799999999999997</v>
      </c>
      <c r="H38" s="1691"/>
      <c r="I38" s="1694">
        <v>-0.22500000000000001</v>
      </c>
      <c r="J38" s="3042"/>
      <c r="K38" s="1695">
        <f t="shared" si="1"/>
        <v>-3.452</v>
      </c>
      <c r="L38" s="439"/>
      <c r="M38" s="442"/>
      <c r="N38" s="439"/>
      <c r="O38" s="439"/>
    </row>
    <row r="39" spans="1:15" s="441" customFormat="1" ht="16.399999999999999" customHeight="1">
      <c r="A39" s="439" t="s">
        <v>367</v>
      </c>
      <c r="B39" s="439"/>
      <c r="C39" s="1694">
        <v>-44.082999999999998</v>
      </c>
      <c r="D39" s="1691"/>
      <c r="E39" s="1694">
        <v>2.202</v>
      </c>
      <c r="F39" s="1691"/>
      <c r="G39" s="1694">
        <v>4.7380000000000004</v>
      </c>
      <c r="H39" s="1691"/>
      <c r="I39" s="1694">
        <v>-5.0000000000000001E-3</v>
      </c>
      <c r="J39" s="3042"/>
      <c r="K39" s="1695">
        <f t="shared" si="1"/>
        <v>-46.624000000000002</v>
      </c>
      <c r="L39" s="439"/>
      <c r="M39" s="442"/>
      <c r="N39" s="439"/>
      <c r="O39" s="439"/>
    </row>
    <row r="40" spans="1:15" s="441" customFormat="1" ht="20.149999999999999" customHeight="1">
      <c r="A40" s="445" t="s">
        <v>368</v>
      </c>
      <c r="B40" s="439"/>
      <c r="C40" s="1551">
        <f>ROUND(SUM(C32:C39),3)</f>
        <v>-372.65300000000002</v>
      </c>
      <c r="D40" s="700"/>
      <c r="E40" s="1551">
        <f>ROUND(SUM(E32:E39),3)</f>
        <v>53.003</v>
      </c>
      <c r="F40" s="700"/>
      <c r="G40" s="1551">
        <f>ROUND(SUM(G32:G39),3)</f>
        <v>76.385000000000005</v>
      </c>
      <c r="H40" s="698"/>
      <c r="I40" s="1551">
        <f>ROUND(SUM(I32:I39),3)</f>
        <v>6.9420000000000002</v>
      </c>
      <c r="J40" s="698"/>
      <c r="K40" s="1551">
        <f>ROUND(SUM(K32:K39),3)</f>
        <v>-389.09300000000002</v>
      </c>
      <c r="L40" s="3059"/>
      <c r="M40" s="439"/>
      <c r="N40" s="439"/>
      <c r="O40" s="439"/>
    </row>
    <row r="41" spans="1:15" s="441" customFormat="1" ht="15" customHeight="1">
      <c r="A41" s="445"/>
      <c r="B41" s="439"/>
      <c r="C41" s="3443"/>
      <c r="D41" s="2220"/>
      <c r="E41" s="2219"/>
      <c r="F41" s="2220"/>
      <c r="G41" s="2219"/>
      <c r="H41" s="2220"/>
      <c r="I41" s="3044"/>
      <c r="J41" s="2220"/>
      <c r="K41" s="2219"/>
      <c r="L41" s="439"/>
      <c r="M41" s="439"/>
      <c r="N41" s="439"/>
      <c r="O41" s="439"/>
    </row>
    <row r="42" spans="1:15" s="441" customFormat="1" ht="15" customHeight="1">
      <c r="A42" s="445"/>
      <c r="B42" s="439"/>
      <c r="C42" s="3044"/>
      <c r="D42" s="2220"/>
      <c r="E42" s="2220"/>
      <c r="F42" s="2220"/>
      <c r="G42" s="2220" t="s">
        <v>15</v>
      </c>
      <c r="H42" s="2220"/>
      <c r="I42" s="3060"/>
      <c r="J42" s="2220"/>
      <c r="K42" s="2220"/>
      <c r="L42" s="439"/>
      <c r="M42" s="439"/>
      <c r="N42" s="439"/>
      <c r="O42" s="439"/>
    </row>
    <row r="43" spans="1:15" s="441" customFormat="1" ht="20.149999999999999" customHeight="1" thickBot="1">
      <c r="A43" s="445" t="s">
        <v>64</v>
      </c>
      <c r="B43" s="440"/>
      <c r="C43" s="2221">
        <f>ROUND(SUM(C40)+SUM(C26),3)</f>
        <v>-330.59500000000003</v>
      </c>
      <c r="D43" s="708"/>
      <c r="E43" s="2221">
        <f>ROUND(SUM(E40)+SUM(E26),3)</f>
        <v>3160.33</v>
      </c>
      <c r="F43" s="708"/>
      <c r="G43" s="2221">
        <f>ROUND(SUM(G40)+SUM(G26),3)</f>
        <v>3184.511</v>
      </c>
      <c r="H43" s="708"/>
      <c r="I43" s="2221">
        <f>ROUND(SUM(I40)+SUM(I26),3)</f>
        <v>6.9420000000000002</v>
      </c>
      <c r="J43" s="708"/>
      <c r="K43" s="2221">
        <f>ROUND(SUM(K40)+SUM(K26),3)</f>
        <v>-347.834</v>
      </c>
      <c r="L43" s="3043"/>
      <c r="M43" s="439"/>
      <c r="N43" s="439"/>
      <c r="O43" s="439"/>
    </row>
    <row r="44" spans="1:15" s="441" customFormat="1" ht="18" thickTop="1">
      <c r="A44" s="439"/>
      <c r="B44" s="439"/>
      <c r="C44" s="2222"/>
      <c r="D44" s="2220"/>
      <c r="E44" s="2222" t="s">
        <v>15</v>
      </c>
      <c r="F44" s="2220"/>
      <c r="G44" s="2222"/>
      <c r="H44" s="2220"/>
      <c r="I44" s="693"/>
      <c r="J44" s="2220"/>
      <c r="K44" s="2222"/>
      <c r="L44" s="439"/>
      <c r="M44" s="439"/>
      <c r="N44" s="439"/>
      <c r="O44" s="439"/>
    </row>
    <row r="45" spans="1:15" s="441" customFormat="1">
      <c r="A45" s="3061"/>
      <c r="B45" s="2216"/>
      <c r="C45" s="2225"/>
      <c r="D45" s="2225"/>
      <c r="E45" s="2223" t="s">
        <v>15</v>
      </c>
      <c r="F45" s="2223"/>
      <c r="G45" s="3062"/>
      <c r="H45" s="2223"/>
      <c r="I45" s="3063"/>
      <c r="J45" s="2225"/>
      <c r="K45" s="3064"/>
      <c r="L45" s="2216"/>
      <c r="M45" s="2216"/>
      <c r="N45" s="2216"/>
      <c r="O45" s="2216"/>
    </row>
    <row r="46" spans="1:15" s="441" customFormat="1">
      <c r="A46" s="2216"/>
      <c r="B46" s="2216"/>
      <c r="C46" s="2225"/>
      <c r="D46" s="2225"/>
      <c r="E46" s="2224" t="s">
        <v>15</v>
      </c>
      <c r="F46" s="2224"/>
      <c r="G46" s="2224"/>
      <c r="H46" s="2224"/>
      <c r="I46" s="2224" t="s">
        <v>15</v>
      </c>
      <c r="J46" s="2224"/>
      <c r="K46" s="2224"/>
      <c r="L46" s="2216"/>
      <c r="M46" s="2216"/>
      <c r="N46" s="2216"/>
      <c r="O46" s="2216"/>
    </row>
    <row r="47" spans="1:15" s="441" customFormat="1">
      <c r="A47" s="2216"/>
      <c r="B47" s="2216"/>
      <c r="C47" s="2225"/>
      <c r="D47" s="2225"/>
      <c r="E47" s="2225" t="s">
        <v>15</v>
      </c>
      <c r="F47" s="2225"/>
      <c r="G47" s="3065"/>
      <c r="H47" s="2216"/>
      <c r="I47" s="3066"/>
      <c r="J47" s="2225"/>
      <c r="K47" s="2225"/>
      <c r="L47" s="2216"/>
      <c r="M47" s="2216"/>
      <c r="N47" s="2216"/>
      <c r="O47" s="2216"/>
    </row>
    <row r="48" spans="1:15" s="441" customFormat="1">
      <c r="A48" s="2216"/>
      <c r="B48" s="2216"/>
      <c r="C48" s="2225"/>
      <c r="D48" s="2225"/>
      <c r="E48" s="2224" t="s">
        <v>15</v>
      </c>
      <c r="F48" s="2225"/>
      <c r="G48" s="2225"/>
      <c r="H48" s="2216"/>
      <c r="I48" s="3066" t="s">
        <v>15</v>
      </c>
      <c r="J48" s="2225"/>
      <c r="K48" s="2225"/>
      <c r="L48" s="2216"/>
      <c r="M48" s="2216"/>
      <c r="N48" s="2216"/>
      <c r="O48" s="2216"/>
    </row>
    <row r="49" spans="1:15" s="441" customFormat="1">
      <c r="A49" s="2216"/>
      <c r="B49" s="2216"/>
      <c r="C49" s="2225"/>
      <c r="D49" s="2225"/>
      <c r="E49" s="2224" t="s">
        <v>15</v>
      </c>
      <c r="F49" s="2225"/>
      <c r="G49" s="2225"/>
      <c r="H49" s="2216"/>
      <c r="I49" s="3066" t="s">
        <v>15</v>
      </c>
      <c r="J49" s="2225"/>
      <c r="K49" s="2225"/>
      <c r="L49" s="2216"/>
      <c r="M49" s="2216"/>
      <c r="N49" s="2216"/>
      <c r="O49" s="2216"/>
    </row>
    <row r="50" spans="1:15" s="441" customFormat="1">
      <c r="A50" s="2216"/>
      <c r="B50" s="2216"/>
      <c r="C50" s="2225"/>
      <c r="D50" s="2225"/>
      <c r="E50" s="2225"/>
      <c r="F50" s="2225"/>
      <c r="G50" s="2225"/>
      <c r="H50" s="2216"/>
      <c r="I50" s="3066" t="s">
        <v>15</v>
      </c>
      <c r="J50" s="2225"/>
      <c r="K50" s="2225"/>
      <c r="L50" s="2216"/>
      <c r="M50" s="2216"/>
      <c r="N50" s="2216"/>
      <c r="O50" s="2216"/>
    </row>
    <row r="51" spans="1:15" s="441" customFormat="1">
      <c r="A51" s="439"/>
      <c r="B51" s="2216"/>
      <c r="C51" s="2225"/>
      <c r="D51" s="2225"/>
      <c r="E51" s="2225"/>
      <c r="F51" s="2225"/>
      <c r="G51" s="2225"/>
      <c r="H51" s="2216"/>
      <c r="I51" s="3066" t="s">
        <v>15</v>
      </c>
      <c r="J51" s="2225"/>
      <c r="K51" s="2225"/>
      <c r="L51" s="2216"/>
      <c r="M51" s="2216"/>
      <c r="N51" s="2216"/>
      <c r="O51" s="2216"/>
    </row>
    <row r="52" spans="1:15" s="441" customFormat="1">
      <c r="A52" s="2216"/>
      <c r="B52" s="2216"/>
      <c r="C52" s="2225"/>
      <c r="D52" s="2225"/>
      <c r="E52" s="2225"/>
      <c r="F52" s="2225"/>
      <c r="G52" s="2225"/>
      <c r="H52" s="2216"/>
      <c r="I52" s="2216"/>
      <c r="J52" s="2225"/>
      <c r="K52" s="2225"/>
      <c r="L52" s="2216"/>
      <c r="M52" s="2216"/>
      <c r="N52" s="2216"/>
      <c r="O52" s="2216"/>
    </row>
    <row r="53" spans="1:15" s="441" customFormat="1">
      <c r="A53" s="2216"/>
      <c r="B53" s="2216"/>
      <c r="C53" s="2225"/>
      <c r="D53" s="2225"/>
      <c r="E53" s="2225"/>
      <c r="F53" s="2225"/>
      <c r="G53" s="2225"/>
      <c r="H53" s="2216"/>
      <c r="I53" s="2216"/>
      <c r="J53" s="2225"/>
      <c r="K53" s="2225"/>
      <c r="L53" s="2216"/>
      <c r="M53" s="2216"/>
      <c r="N53" s="2216"/>
      <c r="O53" s="2216"/>
    </row>
    <row r="54" spans="1:15" s="441" customFormat="1">
      <c r="A54" s="2216"/>
      <c r="B54" s="2216"/>
      <c r="C54" s="2225"/>
      <c r="D54" s="2225"/>
      <c r="E54" s="2225"/>
      <c r="F54" s="2225"/>
      <c r="G54" s="2225"/>
      <c r="H54" s="2216"/>
      <c r="I54" s="2216"/>
      <c r="J54" s="2225"/>
      <c r="K54" s="2225"/>
      <c r="L54" s="2216"/>
      <c r="M54" s="2216"/>
      <c r="N54" s="2216"/>
      <c r="O54" s="2216"/>
    </row>
    <row r="55" spans="1:15" s="441" customFormat="1">
      <c r="A55" s="2216"/>
      <c r="B55" s="2216"/>
      <c r="C55" s="2225"/>
      <c r="D55" s="2225"/>
      <c r="E55" s="2225"/>
      <c r="F55" s="2225"/>
      <c r="G55" s="2225"/>
      <c r="H55" s="2216"/>
      <c r="I55" s="2216"/>
      <c r="J55" s="2225"/>
      <c r="K55" s="2225"/>
      <c r="L55" s="2216"/>
      <c r="M55" s="2216"/>
      <c r="N55" s="2216"/>
      <c r="O55" s="2216"/>
    </row>
    <row r="56" spans="1:15" s="441" customFormat="1">
      <c r="A56" s="2216"/>
      <c r="B56" s="2216"/>
      <c r="C56" s="2225"/>
      <c r="D56" s="2225"/>
      <c r="E56" s="2225"/>
      <c r="F56" s="2225"/>
      <c r="G56" s="2225"/>
      <c r="H56" s="2216"/>
      <c r="I56" s="2216"/>
      <c r="J56" s="2225"/>
      <c r="K56" s="2225"/>
      <c r="L56" s="2216"/>
      <c r="M56" s="2216"/>
      <c r="N56" s="2216"/>
      <c r="O56" s="2216"/>
    </row>
    <row r="57" spans="1:15" s="441" customFormat="1">
      <c r="A57" s="2216"/>
      <c r="B57" s="2216"/>
      <c r="C57" s="2225"/>
      <c r="D57" s="2225"/>
      <c r="E57" s="2225"/>
      <c r="F57" s="2225"/>
      <c r="G57" s="2225"/>
      <c r="H57" s="2216"/>
      <c r="I57" s="2216"/>
      <c r="J57" s="2225"/>
      <c r="K57" s="2225"/>
      <c r="L57" s="2216"/>
      <c r="M57" s="2216"/>
      <c r="N57" s="2216"/>
      <c r="O57" s="2216"/>
    </row>
    <row r="58" spans="1:15" s="441" customFormat="1">
      <c r="A58" s="2216"/>
      <c r="B58" s="2216"/>
      <c r="C58" s="2225"/>
      <c r="D58" s="2225"/>
      <c r="E58" s="2225"/>
      <c r="F58" s="2225"/>
      <c r="G58" s="2225"/>
      <c r="H58" s="2216"/>
      <c r="I58" s="2216"/>
      <c r="J58" s="2225"/>
      <c r="K58" s="2225"/>
      <c r="L58" s="2216"/>
      <c r="M58" s="2216"/>
      <c r="N58" s="2216"/>
      <c r="O58" s="2216"/>
    </row>
    <row r="59" spans="1:15" s="441" customFormat="1">
      <c r="A59" s="2216"/>
      <c r="B59" s="2216"/>
      <c r="C59" s="2225"/>
      <c r="D59" s="2225"/>
      <c r="E59" s="2225"/>
      <c r="F59" s="2225"/>
      <c r="G59" s="2225"/>
      <c r="H59" s="2216"/>
      <c r="I59" s="2216"/>
      <c r="J59" s="2225"/>
      <c r="K59" s="2225"/>
      <c r="L59" s="2216"/>
      <c r="M59" s="2216"/>
      <c r="N59" s="2216"/>
      <c r="O59" s="2216"/>
    </row>
    <row r="60" spans="1:15" s="441" customFormat="1">
      <c r="A60" s="2216"/>
      <c r="B60" s="2216"/>
      <c r="C60" s="2225"/>
      <c r="D60" s="2225"/>
      <c r="E60" s="2225"/>
      <c r="F60" s="2225"/>
      <c r="G60" s="2225"/>
      <c r="H60" s="2216"/>
      <c r="I60" s="2216"/>
      <c r="J60" s="2225"/>
      <c r="K60" s="2225"/>
      <c r="L60" s="2216"/>
      <c r="M60" s="2216"/>
      <c r="N60" s="2216"/>
      <c r="O60" s="2216"/>
    </row>
    <row r="61" spans="1:15" s="441" customFormat="1">
      <c r="A61" s="2216"/>
      <c r="B61" s="2216"/>
      <c r="C61" s="2225"/>
      <c r="D61" s="2225"/>
      <c r="E61" s="2225"/>
      <c r="F61" s="2225"/>
      <c r="G61" s="2225"/>
      <c r="H61" s="2216"/>
      <c r="I61" s="2216"/>
      <c r="J61" s="2225"/>
      <c r="K61" s="2225"/>
      <c r="L61" s="2216"/>
      <c r="M61" s="2216"/>
      <c r="N61" s="2216"/>
      <c r="O61" s="2216"/>
    </row>
    <row r="62" spans="1:15" s="441" customFormat="1">
      <c r="A62" s="2216"/>
      <c r="B62" s="2216"/>
      <c r="C62" s="2225"/>
      <c r="D62" s="2225"/>
      <c r="E62" s="2225"/>
      <c r="F62" s="2225"/>
      <c r="G62" s="2225"/>
      <c r="H62" s="2216"/>
      <c r="I62" s="2216"/>
      <c r="J62" s="2225"/>
      <c r="K62" s="2225"/>
      <c r="L62" s="2216"/>
      <c r="M62" s="2216"/>
      <c r="N62" s="2216"/>
      <c r="O62" s="2216"/>
    </row>
    <row r="63" spans="1:15" s="441" customFormat="1">
      <c r="A63" s="2216"/>
      <c r="B63" s="2216"/>
      <c r="C63" s="2225"/>
      <c r="D63" s="2225"/>
      <c r="E63" s="2225"/>
      <c r="F63" s="2225"/>
      <c r="G63" s="2225"/>
      <c r="H63" s="2216"/>
      <c r="I63" s="2216"/>
      <c r="J63" s="2225"/>
      <c r="K63" s="2225"/>
      <c r="L63" s="2216"/>
      <c r="M63" s="2216"/>
      <c r="N63" s="2216"/>
      <c r="O63" s="2216"/>
    </row>
    <row r="64" spans="1:15" s="441" customFormat="1">
      <c r="A64" s="2216"/>
      <c r="B64" s="2216"/>
      <c r="C64" s="2225"/>
      <c r="D64" s="2225"/>
      <c r="E64" s="2225"/>
      <c r="F64" s="2225"/>
      <c r="G64" s="2225"/>
      <c r="H64" s="2216"/>
      <c r="I64" s="2216"/>
      <c r="J64" s="2225"/>
      <c r="K64" s="2225"/>
      <c r="L64" s="2216"/>
      <c r="M64" s="2216"/>
      <c r="N64" s="2216"/>
      <c r="O64" s="2216"/>
    </row>
    <row r="65" spans="1:15" s="441" customFormat="1">
      <c r="A65" s="2216"/>
      <c r="B65" s="2216"/>
      <c r="C65" s="2225"/>
      <c r="D65" s="2225"/>
      <c r="E65" s="2225"/>
      <c r="F65" s="2225"/>
      <c r="G65" s="2225"/>
      <c r="H65" s="2216"/>
      <c r="I65" s="2216"/>
      <c r="J65" s="2225"/>
      <c r="K65" s="2225"/>
      <c r="L65" s="2216"/>
      <c r="M65" s="2216"/>
      <c r="N65" s="2216"/>
      <c r="O65" s="2216"/>
    </row>
    <row r="66" spans="1:15" s="441" customFormat="1">
      <c r="A66" s="2216"/>
      <c r="B66" s="2216"/>
      <c r="C66" s="2225"/>
      <c r="D66" s="2225"/>
      <c r="E66" s="2225"/>
      <c r="F66" s="2225"/>
      <c r="G66" s="2225"/>
      <c r="H66" s="2216"/>
      <c r="I66" s="2216"/>
      <c r="J66" s="2225"/>
      <c r="K66" s="2225"/>
      <c r="L66" s="2216"/>
      <c r="M66" s="2216"/>
      <c r="N66" s="2216"/>
      <c r="O66" s="2216"/>
    </row>
    <row r="67" spans="1:15" s="441" customFormat="1">
      <c r="A67" s="2216"/>
      <c r="B67" s="2216"/>
      <c r="C67" s="2225"/>
      <c r="D67" s="2225"/>
      <c r="E67" s="2225"/>
      <c r="F67" s="2225"/>
      <c r="G67" s="2225"/>
      <c r="H67" s="2216"/>
      <c r="I67" s="2216"/>
      <c r="J67" s="2225"/>
      <c r="K67" s="2225"/>
      <c r="L67" s="2216"/>
      <c r="M67" s="2216"/>
      <c r="N67" s="2216"/>
      <c r="O67" s="2216"/>
    </row>
    <row r="68" spans="1:15" s="441" customFormat="1">
      <c r="A68" s="2216"/>
      <c r="B68" s="2216"/>
      <c r="C68" s="2225"/>
      <c r="D68" s="2225"/>
      <c r="E68" s="2225"/>
      <c r="F68" s="2225"/>
      <c r="G68" s="2225"/>
      <c r="H68" s="2216"/>
      <c r="I68" s="2216"/>
      <c r="J68" s="2225"/>
      <c r="K68" s="2225"/>
      <c r="L68" s="2216"/>
      <c r="M68" s="2216"/>
      <c r="N68" s="2216"/>
      <c r="O68" s="2216"/>
    </row>
    <row r="69" spans="1:15" s="441" customFormat="1">
      <c r="A69" s="2216"/>
      <c r="B69" s="2216"/>
      <c r="C69" s="2225"/>
      <c r="D69" s="2225"/>
      <c r="E69" s="2225"/>
      <c r="F69" s="2225"/>
      <c r="G69" s="2225"/>
      <c r="H69" s="2216"/>
      <c r="I69" s="2216"/>
      <c r="J69" s="2225"/>
      <c r="K69" s="2225"/>
      <c r="L69" s="2216"/>
      <c r="M69" s="2216"/>
      <c r="N69" s="2216"/>
      <c r="O69" s="2216"/>
    </row>
    <row r="70" spans="1:15" s="441" customFormat="1">
      <c r="A70" s="2216"/>
      <c r="B70" s="2216"/>
      <c r="C70" s="2225"/>
      <c r="D70" s="2225"/>
      <c r="E70" s="2225"/>
      <c r="F70" s="2225"/>
      <c r="G70" s="2225"/>
      <c r="H70" s="2216"/>
      <c r="I70" s="2216"/>
      <c r="J70" s="2225"/>
      <c r="K70" s="2225"/>
      <c r="L70" s="2216"/>
      <c r="M70" s="2216"/>
      <c r="N70" s="2216"/>
      <c r="O70" s="2216"/>
    </row>
    <row r="71" spans="1:15" s="441" customFormat="1">
      <c r="A71" s="2216"/>
      <c r="B71" s="2216"/>
      <c r="C71" s="2225"/>
      <c r="D71" s="2225"/>
      <c r="E71" s="2225"/>
      <c r="F71" s="2225"/>
      <c r="G71" s="2225"/>
      <c r="H71" s="2216"/>
      <c r="I71" s="2216"/>
      <c r="J71" s="2225"/>
      <c r="K71" s="2225"/>
      <c r="L71" s="2216"/>
      <c r="M71" s="2216"/>
      <c r="N71" s="2216"/>
      <c r="O71" s="2216"/>
    </row>
    <row r="72" spans="1:15" s="441" customFormat="1">
      <c r="A72" s="2216"/>
      <c r="B72" s="2216"/>
      <c r="C72" s="2225"/>
      <c r="D72" s="2225"/>
      <c r="E72" s="2225"/>
      <c r="F72" s="2225"/>
      <c r="G72" s="2225"/>
      <c r="H72" s="2216"/>
      <c r="I72" s="2216"/>
      <c r="J72" s="2225"/>
      <c r="K72" s="2225"/>
      <c r="L72" s="2216"/>
      <c r="M72" s="2216"/>
      <c r="N72" s="2216"/>
      <c r="O72" s="2216"/>
    </row>
    <row r="73" spans="1:15" s="441" customFormat="1">
      <c r="A73" s="2216"/>
      <c r="B73" s="2216"/>
      <c r="C73" s="2225"/>
      <c r="D73" s="2225"/>
      <c r="E73" s="2225"/>
      <c r="F73" s="2225"/>
      <c r="G73" s="2225"/>
      <c r="H73" s="2216"/>
      <c r="I73" s="2216"/>
      <c r="J73" s="2225"/>
      <c r="K73" s="2225"/>
      <c r="L73" s="2216"/>
      <c r="M73" s="2216"/>
      <c r="N73" s="2216"/>
      <c r="O73" s="2216"/>
    </row>
    <row r="74" spans="1:15" s="441" customFormat="1">
      <c r="A74" s="2216"/>
      <c r="B74" s="2216"/>
      <c r="C74" s="2225"/>
      <c r="D74" s="2225"/>
      <c r="E74" s="2225"/>
      <c r="F74" s="2225"/>
      <c r="G74" s="2225"/>
      <c r="H74" s="2216"/>
      <c r="I74" s="2216"/>
      <c r="J74" s="2225"/>
      <c r="K74" s="2225"/>
      <c r="L74" s="2216"/>
      <c r="M74" s="2216"/>
      <c r="N74" s="2216"/>
      <c r="O74" s="2216"/>
    </row>
    <row r="75" spans="1:15" s="441" customFormat="1">
      <c r="A75" s="2216"/>
      <c r="B75" s="2216"/>
      <c r="C75" s="2225"/>
      <c r="D75" s="2225"/>
      <c r="E75" s="2225"/>
      <c r="F75" s="2225"/>
      <c r="G75" s="2225"/>
      <c r="H75" s="2216"/>
      <c r="I75" s="2216"/>
      <c r="J75" s="2225"/>
      <c r="K75" s="2225"/>
      <c r="L75" s="2216"/>
      <c r="M75" s="2216"/>
      <c r="N75" s="2216"/>
      <c r="O75" s="2216"/>
    </row>
    <row r="76" spans="1:15" s="441" customFormat="1">
      <c r="A76" s="2216"/>
      <c r="B76" s="2216"/>
      <c r="C76" s="2225"/>
      <c r="D76" s="2225"/>
      <c r="E76" s="2225"/>
      <c r="F76" s="2225"/>
      <c r="G76" s="2225"/>
      <c r="H76" s="2216"/>
      <c r="I76" s="2216"/>
      <c r="J76" s="2225"/>
      <c r="K76" s="2225"/>
      <c r="L76" s="2216"/>
      <c r="M76" s="2216"/>
      <c r="N76" s="2216"/>
      <c r="O76" s="2216"/>
    </row>
    <row r="77" spans="1:15" s="441" customFormat="1">
      <c r="A77" s="2216"/>
      <c r="B77" s="2216"/>
      <c r="C77" s="2225"/>
      <c r="D77" s="2225"/>
      <c r="E77" s="2225"/>
      <c r="F77" s="2225"/>
      <c r="G77" s="2225"/>
      <c r="H77" s="2216"/>
      <c r="I77" s="2216"/>
      <c r="J77" s="2225"/>
      <c r="K77" s="2225"/>
      <c r="L77" s="2216"/>
      <c r="M77" s="2216"/>
      <c r="N77" s="2216"/>
      <c r="O77" s="2216"/>
    </row>
    <row r="78" spans="1:15" s="441" customFormat="1">
      <c r="A78" s="2216"/>
      <c r="B78" s="2216"/>
      <c r="C78" s="2225"/>
      <c r="D78" s="2225"/>
      <c r="E78" s="2225"/>
      <c r="F78" s="2225"/>
      <c r="G78" s="2225"/>
      <c r="H78" s="2216"/>
      <c r="I78" s="2216"/>
      <c r="J78" s="2225"/>
      <c r="K78" s="2225"/>
      <c r="L78" s="2216"/>
      <c r="M78" s="2216"/>
      <c r="N78" s="2216"/>
      <c r="O78" s="2216"/>
    </row>
    <row r="79" spans="1:15" s="441" customFormat="1">
      <c r="A79" s="2216"/>
      <c r="B79" s="2216"/>
      <c r="C79" s="2225"/>
      <c r="D79" s="2225"/>
      <c r="E79" s="2225"/>
      <c r="F79" s="2225"/>
      <c r="G79" s="2225"/>
      <c r="H79" s="2216"/>
      <c r="I79" s="2216"/>
      <c r="J79" s="2225"/>
      <c r="K79" s="2225"/>
      <c r="L79" s="2216"/>
      <c r="M79" s="2216"/>
      <c r="N79" s="2216"/>
      <c r="O79" s="2216"/>
    </row>
    <row r="80" spans="1:15" s="441" customFormat="1">
      <c r="A80" s="2216"/>
      <c r="B80" s="2216"/>
      <c r="C80" s="2225"/>
      <c r="D80" s="2225"/>
      <c r="E80" s="2225"/>
      <c r="F80" s="2225"/>
      <c r="G80" s="2225"/>
      <c r="H80" s="2216"/>
      <c r="I80" s="2216"/>
      <c r="J80" s="2225"/>
      <c r="K80" s="2225"/>
      <c r="L80" s="2216"/>
      <c r="M80" s="2216"/>
      <c r="N80" s="2216"/>
      <c r="O80" s="2216"/>
    </row>
    <row r="81" spans="1:15" s="441" customFormat="1">
      <c r="A81" s="2216"/>
      <c r="B81" s="2216"/>
      <c r="C81" s="2225"/>
      <c r="D81" s="2225"/>
      <c r="E81" s="2225"/>
      <c r="F81" s="2225"/>
      <c r="G81" s="2225"/>
      <c r="H81" s="2216"/>
      <c r="I81" s="2216"/>
      <c r="J81" s="2225"/>
      <c r="K81" s="2225"/>
      <c r="L81" s="2216"/>
      <c r="M81" s="2216"/>
      <c r="N81" s="2216"/>
      <c r="O81" s="2216"/>
    </row>
    <row r="82" spans="1:15" s="441" customFormat="1">
      <c r="A82" s="2216"/>
      <c r="B82" s="2216"/>
      <c r="C82" s="2225"/>
      <c r="D82" s="2225"/>
      <c r="E82" s="2225"/>
      <c r="F82" s="2225"/>
      <c r="G82" s="2225"/>
      <c r="H82" s="2216"/>
      <c r="I82" s="2216"/>
      <c r="J82" s="2225"/>
      <c r="K82" s="2225"/>
      <c r="L82" s="2216"/>
      <c r="M82" s="2216"/>
      <c r="N82" s="2216"/>
      <c r="O82" s="2216"/>
    </row>
    <row r="83" spans="1:15" s="441" customFormat="1">
      <c r="A83" s="2216"/>
      <c r="B83" s="2216"/>
      <c r="C83" s="2225"/>
      <c r="D83" s="2225"/>
      <c r="E83" s="2225"/>
      <c r="F83" s="2225"/>
      <c r="G83" s="2225"/>
      <c r="H83" s="2216"/>
      <c r="I83" s="2216"/>
      <c r="J83" s="2225"/>
      <c r="K83" s="2225"/>
      <c r="L83" s="2216"/>
      <c r="M83" s="2216"/>
      <c r="N83" s="2216"/>
      <c r="O83" s="2216"/>
    </row>
    <row r="84" spans="1:15" s="441" customFormat="1">
      <c r="A84" s="2216"/>
      <c r="B84" s="2216"/>
      <c r="C84" s="2225"/>
      <c r="D84" s="2225"/>
      <c r="E84" s="2225"/>
      <c r="F84" s="2225"/>
      <c r="G84" s="2225"/>
      <c r="H84" s="2216"/>
      <c r="I84" s="2216"/>
      <c r="J84" s="2225"/>
      <c r="K84" s="2225"/>
      <c r="L84" s="2216"/>
      <c r="M84" s="2216"/>
      <c r="N84" s="2216"/>
      <c r="O84" s="2216"/>
    </row>
    <row r="85" spans="1:15" s="441" customFormat="1">
      <c r="A85" s="2216"/>
      <c r="B85" s="2216"/>
      <c r="C85" s="2225"/>
      <c r="D85" s="2225"/>
      <c r="E85" s="2225"/>
      <c r="F85" s="2225"/>
      <c r="G85" s="2225"/>
      <c r="H85" s="2216"/>
      <c r="I85" s="2216"/>
      <c r="J85" s="2225"/>
      <c r="K85" s="2225"/>
      <c r="L85" s="2216"/>
      <c r="M85" s="2216"/>
      <c r="N85" s="2216"/>
      <c r="O85" s="2216"/>
    </row>
    <row r="86" spans="1:15" s="441" customFormat="1">
      <c r="A86" s="2216"/>
      <c r="B86" s="2216"/>
      <c r="C86" s="2225"/>
      <c r="D86" s="2225"/>
      <c r="E86" s="2225"/>
      <c r="F86" s="2225"/>
      <c r="G86" s="2225"/>
      <c r="H86" s="2216"/>
      <c r="I86" s="2216"/>
      <c r="J86" s="2225"/>
      <c r="K86" s="2225"/>
      <c r="L86" s="2216"/>
      <c r="M86" s="2216"/>
      <c r="N86" s="2216"/>
      <c r="O86" s="2216"/>
    </row>
    <row r="87" spans="1:15" s="441" customFormat="1">
      <c r="A87" s="2216"/>
      <c r="B87" s="2216"/>
      <c r="C87" s="2225"/>
      <c r="D87" s="2225"/>
      <c r="E87" s="2225"/>
      <c r="F87" s="2225"/>
      <c r="G87" s="2225"/>
      <c r="H87" s="2216"/>
      <c r="I87" s="2216"/>
      <c r="J87" s="2225"/>
      <c r="K87" s="2225"/>
      <c r="L87" s="2216"/>
      <c r="M87" s="2216"/>
      <c r="N87" s="2216"/>
      <c r="O87" s="2216"/>
    </row>
    <row r="88" spans="1:15" s="441" customFormat="1">
      <c r="A88" s="2216"/>
      <c r="B88" s="2216"/>
      <c r="C88" s="2225"/>
      <c r="D88" s="2225"/>
      <c r="E88" s="2225"/>
      <c r="F88" s="2225"/>
      <c r="G88" s="2225"/>
      <c r="H88" s="2216"/>
      <c r="I88" s="2216"/>
      <c r="J88" s="2225"/>
      <c r="K88" s="2225"/>
      <c r="L88" s="2216"/>
      <c r="M88" s="2216"/>
      <c r="N88" s="2216"/>
      <c r="O88" s="2216"/>
    </row>
    <row r="89" spans="1:15" s="441" customFormat="1">
      <c r="A89" s="2216"/>
      <c r="B89" s="2216"/>
      <c r="C89" s="2225"/>
      <c r="D89" s="2225"/>
      <c r="E89" s="2225"/>
      <c r="F89" s="2225"/>
      <c r="G89" s="2225"/>
      <c r="H89" s="2216"/>
      <c r="I89" s="2216"/>
      <c r="J89" s="2225"/>
      <c r="K89" s="2225"/>
      <c r="L89" s="2216"/>
      <c r="M89" s="2216"/>
      <c r="N89" s="2216"/>
      <c r="O89" s="2216"/>
    </row>
    <row r="90" spans="1:15" s="441" customFormat="1">
      <c r="A90" s="2216"/>
      <c r="B90" s="2216"/>
      <c r="C90" s="2225"/>
      <c r="D90" s="2225"/>
      <c r="E90" s="2225"/>
      <c r="F90" s="2225"/>
      <c r="G90" s="2225"/>
      <c r="H90" s="2216"/>
      <c r="I90" s="2216"/>
      <c r="J90" s="2225"/>
      <c r="K90" s="2225"/>
      <c r="L90" s="2216"/>
      <c r="M90" s="2216"/>
      <c r="N90" s="2216"/>
      <c r="O90" s="2216"/>
    </row>
    <row r="91" spans="1:15" s="441" customFormat="1">
      <c r="A91" s="2216"/>
      <c r="B91" s="2216"/>
      <c r="C91" s="2225"/>
      <c r="D91" s="2225"/>
      <c r="E91" s="2225"/>
      <c r="F91" s="2225"/>
      <c r="G91" s="2225"/>
      <c r="H91" s="2216"/>
      <c r="I91" s="2216"/>
      <c r="J91" s="2225"/>
      <c r="K91" s="2225"/>
      <c r="L91" s="2216"/>
      <c r="M91" s="2216"/>
      <c r="N91" s="2216"/>
      <c r="O91" s="2216"/>
    </row>
    <row r="92" spans="1:15" s="441" customFormat="1">
      <c r="A92" s="2216"/>
      <c r="B92" s="2216"/>
      <c r="C92" s="2225"/>
      <c r="D92" s="2225"/>
      <c r="E92" s="2225"/>
      <c r="F92" s="2225"/>
      <c r="G92" s="2225"/>
      <c r="H92" s="2216"/>
      <c r="I92" s="2216"/>
      <c r="J92" s="2225"/>
      <c r="K92" s="2225"/>
      <c r="L92" s="2216"/>
      <c r="M92" s="2216"/>
      <c r="N92" s="2216"/>
      <c r="O92" s="2216"/>
    </row>
    <row r="93" spans="1:15" s="441" customFormat="1">
      <c r="A93" s="2216"/>
      <c r="B93" s="2216"/>
      <c r="C93" s="2225"/>
      <c r="D93" s="2225"/>
      <c r="E93" s="2225"/>
      <c r="F93" s="2225"/>
      <c r="G93" s="2225"/>
      <c r="H93" s="2216"/>
      <c r="I93" s="2216"/>
      <c r="J93" s="2225"/>
      <c r="K93" s="2225"/>
      <c r="L93" s="2216"/>
      <c r="M93" s="2216"/>
      <c r="N93" s="2216"/>
      <c r="O93" s="2216"/>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69140625" defaultRowHeight="12.5"/>
  <cols>
    <col min="1" max="1" width="56.07421875" style="444" customWidth="1"/>
    <col min="2" max="2" width="5.69140625" style="444" customWidth="1"/>
    <col min="3" max="3" width="9.69140625" style="444" customWidth="1"/>
    <col min="4" max="4" width="21.07421875" style="444" customWidth="1"/>
    <col min="5" max="5" width="1.69140625" style="444" customWidth="1"/>
    <col min="6" max="6" width="16.69140625" style="444" customWidth="1"/>
    <col min="7" max="7" width="2.07421875" style="444" customWidth="1"/>
    <col min="8" max="8" width="19.07421875" style="444" customWidth="1"/>
    <col min="9" max="9" width="1.69140625" style="444" customWidth="1"/>
    <col min="10" max="10" width="20.69140625" style="444" customWidth="1"/>
    <col min="11" max="11" width="2.07421875" style="444" customWidth="1"/>
    <col min="12" max="12" width="22.4609375" style="444" customWidth="1"/>
    <col min="13" max="13" width="2.4609375" style="444" customWidth="1"/>
    <col min="14" max="14" width="10.69140625" style="444" bestFit="1" customWidth="1"/>
    <col min="15" max="15" width="12.53515625" style="444" bestFit="1" customWidth="1"/>
    <col min="16" max="16384" width="8.69140625" style="444"/>
  </cols>
  <sheetData>
    <row r="1" spans="1:256" ht="15.5">
      <c r="A1" s="642" t="s">
        <v>963</v>
      </c>
    </row>
    <row r="2" spans="1:256" ht="18" customHeight="1"/>
    <row r="3" spans="1:256" ht="18">
      <c r="A3" s="445" t="s">
        <v>0</v>
      </c>
      <c r="B3" s="446"/>
      <c r="C3" s="446"/>
      <c r="D3" s="447"/>
      <c r="E3" s="447"/>
      <c r="F3" s="446"/>
      <c r="G3" s="446" t="s">
        <v>15</v>
      </c>
      <c r="H3" s="446"/>
      <c r="I3" s="446"/>
      <c r="J3" s="446"/>
      <c r="K3" s="446"/>
      <c r="L3" s="448" t="s">
        <v>369</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8">
      <c r="A4" s="445" t="s">
        <v>370</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8">
      <c r="A5" s="451" t="s">
        <v>1277</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8">
      <c r="A6" s="451" t="s">
        <v>1468</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8">
      <c r="A7" s="451" t="str">
        <f>'Sch 2 '!A8</f>
        <v>FOR THE MONTH OF OCTOBER 2020</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8">
      <c r="A8" s="801" t="s">
        <v>1365</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8">
      <c r="A9" s="445"/>
      <c r="B9" s="445"/>
      <c r="C9" s="445"/>
      <c r="D9" s="690"/>
      <c r="E9" s="445"/>
      <c r="F9" s="445"/>
      <c r="G9" s="445"/>
      <c r="H9" s="445"/>
      <c r="I9" s="445"/>
      <c r="J9" s="690" t="s">
        <v>354</v>
      </c>
      <c r="K9" s="445"/>
      <c r="L9" s="690"/>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8">
      <c r="A10" s="445"/>
      <c r="B10" s="445"/>
      <c r="C10" s="445"/>
      <c r="D10" s="690" t="s">
        <v>233</v>
      </c>
      <c r="E10" s="445"/>
      <c r="F10" s="445"/>
      <c r="G10" s="445"/>
      <c r="H10" s="445"/>
      <c r="I10" s="445"/>
      <c r="J10" s="690" t="s">
        <v>355</v>
      </c>
      <c r="K10" s="445"/>
      <c r="L10" s="690" t="s">
        <v>233</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8">
      <c r="A11" s="465" t="s">
        <v>356</v>
      </c>
      <c r="B11" s="445"/>
      <c r="C11" s="445"/>
      <c r="D11" s="904" t="str">
        <f>'Sch 1 '!C11</f>
        <v>OCTOBER 1, 2020</v>
      </c>
      <c r="E11" s="445"/>
      <c r="F11" s="690" t="s">
        <v>235</v>
      </c>
      <c r="G11" s="445"/>
      <c r="H11" s="690" t="s">
        <v>236</v>
      </c>
      <c r="I11" s="445"/>
      <c r="J11" s="690" t="s">
        <v>237</v>
      </c>
      <c r="K11" s="445"/>
      <c r="L11" s="904" t="str">
        <f>'Sch 1 '!K11</f>
        <v>OCTOBER 31, 2020</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15</v>
      </c>
      <c r="B12" s="445"/>
      <c r="C12" s="445"/>
      <c r="D12" s="691" t="s">
        <v>15</v>
      </c>
      <c r="E12" s="445"/>
      <c r="F12" s="691" t="s">
        <v>15</v>
      </c>
      <c r="G12" s="445"/>
      <c r="H12" s="691" t="s">
        <v>15</v>
      </c>
      <c r="I12" s="445"/>
      <c r="J12" s="691" t="s">
        <v>15</v>
      </c>
      <c r="K12" s="445" t="s">
        <v>15</v>
      </c>
      <c r="L12" s="691" t="s">
        <v>15</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223</v>
      </c>
      <c r="B13" s="449"/>
      <c r="C13" s="449"/>
      <c r="D13" s="692"/>
      <c r="E13" s="692"/>
      <c r="F13" s="468"/>
      <c r="G13" s="439"/>
      <c r="H13" s="468"/>
      <c r="I13" s="692"/>
      <c r="J13" s="692"/>
      <c r="K13" s="692"/>
      <c r="L13" s="692"/>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92"/>
      <c r="E14" s="692"/>
      <c r="F14" s="692"/>
      <c r="G14" s="692"/>
      <c r="H14" s="692"/>
      <c r="I14" s="692"/>
      <c r="J14" s="692"/>
      <c r="K14" s="692"/>
      <c r="L14" s="692"/>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1000</v>
      </c>
      <c r="B15" s="449"/>
      <c r="C15" s="449"/>
      <c r="D15" s="3439">
        <v>-4.2130000000000001</v>
      </c>
      <c r="E15" s="1691"/>
      <c r="F15" s="1690">
        <v>11.054</v>
      </c>
      <c r="G15" s="1691"/>
      <c r="H15" s="1690">
        <v>9.7080000000000002</v>
      </c>
      <c r="I15" s="1691"/>
      <c r="J15" s="1690">
        <v>0</v>
      </c>
      <c r="K15" s="1692"/>
      <c r="L15" s="1693">
        <f>ROUND(SUM(D15)+SUM(F15)-SUM(H15)+SUM(J15),3)</f>
        <v>-2.867</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440" t="s">
        <v>15</v>
      </c>
      <c r="E16" s="693"/>
      <c r="F16" s="694" t="s">
        <v>15</v>
      </c>
      <c r="G16" s="693"/>
      <c r="H16" s="694" t="s">
        <v>15</v>
      </c>
      <c r="I16" s="693"/>
      <c r="J16" s="695" t="s">
        <v>15</v>
      </c>
      <c r="K16" s="693"/>
      <c r="L16" s="696" t="s">
        <v>15</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371</v>
      </c>
      <c r="B17" s="449"/>
      <c r="C17" s="449"/>
      <c r="D17" s="697">
        <f>ROUND(SUM(D15),3)</f>
        <v>-4.2130000000000001</v>
      </c>
      <c r="E17" s="698"/>
      <c r="F17" s="697">
        <f>ROUND(SUM(F15),3)</f>
        <v>11.054</v>
      </c>
      <c r="G17" s="698"/>
      <c r="H17" s="697">
        <f>ROUND(SUM(H15),3)</f>
        <v>9.7080000000000002</v>
      </c>
      <c r="I17" s="698"/>
      <c r="J17" s="896">
        <f>ROUND(SUM(J15),3)</f>
        <v>0</v>
      </c>
      <c r="K17" s="698"/>
      <c r="L17" s="697">
        <f>ROUND(SUM(L15),3)</f>
        <v>-2.867</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9"/>
      <c r="E18" s="442"/>
      <c r="F18" s="699"/>
      <c r="G18" s="442"/>
      <c r="H18" s="699"/>
      <c r="I18" s="442"/>
      <c r="J18" s="443"/>
      <c r="K18" s="442"/>
      <c r="L18" s="699"/>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227</v>
      </c>
      <c r="B19" s="445"/>
      <c r="C19" s="445"/>
      <c r="D19" s="700"/>
      <c r="E19" s="700"/>
      <c r="F19" s="700"/>
      <c r="G19" s="700"/>
      <c r="H19" s="700"/>
      <c r="I19" s="700"/>
      <c r="J19" s="700"/>
      <c r="K19" s="700"/>
      <c r="L19" s="700"/>
      <c r="M19" s="447"/>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700"/>
      <c r="E20" s="700"/>
      <c r="F20" s="700"/>
      <c r="G20" s="700"/>
      <c r="H20" s="700"/>
      <c r="I20" s="700"/>
      <c r="J20" s="700"/>
      <c r="K20" s="700"/>
      <c r="L20" s="442"/>
      <c r="M20" s="447"/>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6.5" customHeight="1">
      <c r="A21" s="701" t="s">
        <v>372</v>
      </c>
      <c r="B21" s="445"/>
      <c r="C21" s="467"/>
      <c r="D21" s="1694">
        <v>3.0590000000000002</v>
      </c>
      <c r="E21" s="1691"/>
      <c r="F21" s="1694">
        <v>1E-3</v>
      </c>
      <c r="G21" s="1691"/>
      <c r="H21" s="1694">
        <v>1.7000000000000001E-2</v>
      </c>
      <c r="I21" s="1691"/>
      <c r="J21" s="1694">
        <v>0</v>
      </c>
      <c r="K21" s="1692"/>
      <c r="L21" s="1695">
        <f>ROUND(SUM(D21)+SUM(F21)-SUM(H21)+SUM(J21),3)</f>
        <v>3.0430000000000001</v>
      </c>
      <c r="M21" s="447"/>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5.75" customHeight="1">
      <c r="A22" s="701" t="s">
        <v>373</v>
      </c>
      <c r="B22" s="445"/>
      <c r="C22" s="445"/>
      <c r="D22" s="1696">
        <v>11.074999999999999</v>
      </c>
      <c r="E22" s="1691"/>
      <c r="F22" s="1696">
        <v>0.104</v>
      </c>
      <c r="G22" s="1691"/>
      <c r="H22" s="1696">
        <v>2.1000000000000001E-2</v>
      </c>
      <c r="I22" s="1691"/>
      <c r="J22" s="1696">
        <v>0</v>
      </c>
      <c r="K22" s="1692"/>
      <c r="L22" s="1697">
        <f>ROUND(SUM(D22)+SUM(F22)-SUM(H22)+SUM(J22),3)</f>
        <v>11.157999999999999</v>
      </c>
      <c r="M22" s="447"/>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6.75" customHeight="1">
      <c r="A23" s="701"/>
      <c r="B23" s="445"/>
      <c r="C23" s="445"/>
      <c r="D23" s="443"/>
      <c r="E23" s="442"/>
      <c r="F23" s="443" t="s">
        <v>15</v>
      </c>
      <c r="G23" s="442"/>
      <c r="H23" s="702"/>
      <c r="I23" s="442"/>
      <c r="J23" s="703"/>
      <c r="K23" s="442"/>
      <c r="L23" s="443"/>
      <c r="M23" s="447"/>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17.25" customHeight="1">
      <c r="A24" s="451" t="s">
        <v>1202</v>
      </c>
      <c r="B24" s="445"/>
      <c r="C24" s="467"/>
      <c r="D24" s="704">
        <f>ROUND(SUM(D21:D22),3)</f>
        <v>14.134</v>
      </c>
      <c r="E24" s="700"/>
      <c r="F24" s="704">
        <f>ROUND(SUM(F21:F22),3)</f>
        <v>0.105</v>
      </c>
      <c r="G24" s="700"/>
      <c r="H24" s="704">
        <f>ROUND(SUM(H21:H22),3)</f>
        <v>3.7999999999999999E-2</v>
      </c>
      <c r="I24" s="700"/>
      <c r="J24" s="704">
        <f>ROUND(SUM(J21:J22),3)</f>
        <v>0</v>
      </c>
      <c r="K24" s="700"/>
      <c r="L24" s="704">
        <f>ROUND(SUM(L21:L22),3)</f>
        <v>14.201000000000001</v>
      </c>
      <c r="M24" s="459"/>
      <c r="N24" s="460"/>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2" customHeight="1">
      <c r="A25" s="445"/>
      <c r="B25" s="445"/>
      <c r="C25" s="445"/>
      <c r="D25" s="700"/>
      <c r="E25" s="698"/>
      <c r="F25" s="700"/>
      <c r="G25" s="698"/>
      <c r="H25" s="700"/>
      <c r="I25" s="698"/>
      <c r="J25" s="700"/>
      <c r="K25" s="698"/>
      <c r="L25" s="700"/>
      <c r="M25" s="447"/>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8">
      <c r="A26" s="452" t="s">
        <v>374</v>
      </c>
      <c r="B26" s="445"/>
      <c r="C26" s="445"/>
      <c r="D26" s="698"/>
      <c r="E26" s="698"/>
      <c r="F26" s="698"/>
      <c r="G26" s="698"/>
      <c r="H26" s="698"/>
      <c r="I26" s="698"/>
      <c r="J26" s="698"/>
      <c r="K26" s="698"/>
      <c r="L26" s="698"/>
      <c r="M26" s="447"/>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7.5" customHeight="1">
      <c r="A27" s="449" t="s">
        <v>15</v>
      </c>
      <c r="B27" s="449"/>
      <c r="C27" s="449"/>
      <c r="D27" s="442"/>
      <c r="E27" s="442"/>
      <c r="F27" s="442"/>
      <c r="G27" s="442"/>
      <c r="H27" s="442"/>
      <c r="I27" s="442"/>
      <c r="J27" s="442"/>
      <c r="K27" s="442"/>
      <c r="L27" s="442"/>
      <c r="M27" s="447"/>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16.5" customHeight="1">
      <c r="A28" s="449" t="s">
        <v>991</v>
      </c>
      <c r="B28" s="449"/>
      <c r="C28" s="449" t="s">
        <v>15</v>
      </c>
      <c r="D28" s="1694">
        <v>18.03</v>
      </c>
      <c r="E28" s="1691"/>
      <c r="F28" s="1694">
        <v>5.6000000000000001E-2</v>
      </c>
      <c r="G28" s="1691"/>
      <c r="H28" s="1694">
        <v>0</v>
      </c>
      <c r="I28" s="1691"/>
      <c r="J28" s="1694">
        <v>0</v>
      </c>
      <c r="K28" s="1692"/>
      <c r="L28" s="1695">
        <f t="shared" ref="L28:L44" si="0">ROUND(SUM(D28)+SUM(F28)-SUM(H28)+SUM(J28),3)</f>
        <v>18.085999999999999</v>
      </c>
      <c r="M28" s="456"/>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5.75" customHeight="1">
      <c r="A29" s="701" t="s">
        <v>375</v>
      </c>
      <c r="B29" s="449"/>
      <c r="C29" s="449"/>
      <c r="D29" s="1694">
        <v>0.53800000000000003</v>
      </c>
      <c r="E29" s="1691"/>
      <c r="F29" s="1694">
        <v>0</v>
      </c>
      <c r="G29" s="1691"/>
      <c r="H29" s="1694">
        <v>0</v>
      </c>
      <c r="I29" s="1691"/>
      <c r="J29" s="1694">
        <v>0</v>
      </c>
      <c r="K29" s="1692"/>
      <c r="L29" s="1695">
        <f t="shared" si="0"/>
        <v>0.53800000000000003</v>
      </c>
      <c r="M29" s="456"/>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6.5" customHeight="1">
      <c r="A30" s="449" t="s">
        <v>376</v>
      </c>
      <c r="B30" s="449"/>
      <c r="C30" s="449"/>
      <c r="D30" s="1694">
        <v>1143.184</v>
      </c>
      <c r="E30" s="1691"/>
      <c r="F30" s="1694">
        <v>862.09699999999998</v>
      </c>
      <c r="G30" s="1691"/>
      <c r="H30" s="1694">
        <v>966.75400000000002</v>
      </c>
      <c r="I30" s="1691"/>
      <c r="J30" s="1694">
        <v>0</v>
      </c>
      <c r="K30" s="1692"/>
      <c r="L30" s="1695">
        <f t="shared" si="0"/>
        <v>1038.527</v>
      </c>
      <c r="M30" s="456"/>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377</v>
      </c>
      <c r="B31" s="449"/>
      <c r="C31" s="449" t="s">
        <v>15</v>
      </c>
      <c r="D31" s="1694">
        <v>15.427</v>
      </c>
      <c r="E31" s="1691"/>
      <c r="F31" s="1694">
        <v>93.385999999999996</v>
      </c>
      <c r="G31" s="1691"/>
      <c r="H31" s="1694">
        <v>94.375</v>
      </c>
      <c r="I31" s="1691"/>
      <c r="J31" s="1694">
        <v>0</v>
      </c>
      <c r="K31" s="1692"/>
      <c r="L31" s="1695">
        <f>ROUND(SUM(D31)+SUM(F31)-SUM(H31)+SUM(J31),3)</f>
        <v>14.438000000000001</v>
      </c>
      <c r="M31" s="456"/>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1003</v>
      </c>
      <c r="B32" s="449"/>
      <c r="C32" s="449"/>
      <c r="D32" s="1694">
        <v>61.561</v>
      </c>
      <c r="E32" s="1691"/>
      <c r="F32" s="1694">
        <v>347.584</v>
      </c>
      <c r="G32" s="1691"/>
      <c r="H32" s="1694">
        <v>375.02</v>
      </c>
      <c r="I32" s="1691"/>
      <c r="J32" s="1694">
        <v>0</v>
      </c>
      <c r="K32" s="1692"/>
      <c r="L32" s="1695">
        <f t="shared" si="0"/>
        <v>34.125</v>
      </c>
      <c r="M32" s="456"/>
      <c r="N32" s="394"/>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378</v>
      </c>
      <c r="B33" s="449"/>
      <c r="C33" s="449" t="s">
        <v>15</v>
      </c>
      <c r="D33" s="1694">
        <v>19.582999999999998</v>
      </c>
      <c r="E33" s="1691"/>
      <c r="F33" s="1694">
        <v>5.048</v>
      </c>
      <c r="G33" s="1691"/>
      <c r="H33" s="1694">
        <v>5.774</v>
      </c>
      <c r="I33" s="1691"/>
      <c r="J33" s="1694">
        <v>0</v>
      </c>
      <c r="K33" s="1692"/>
      <c r="L33" s="1695">
        <f t="shared" si="0"/>
        <v>18.856999999999999</v>
      </c>
      <c r="M33" s="456"/>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5.75" customHeight="1">
      <c r="A34" s="449" t="s">
        <v>379</v>
      </c>
      <c r="B34" s="449"/>
      <c r="C34" s="449"/>
      <c r="D34" s="1694">
        <v>0.79400000000000004</v>
      </c>
      <c r="E34" s="1691"/>
      <c r="F34" s="1694">
        <v>0.78200000000000003</v>
      </c>
      <c r="G34" s="1691"/>
      <c r="H34" s="1694">
        <v>0.76300000000000001</v>
      </c>
      <c r="I34" s="1691"/>
      <c r="J34" s="1694">
        <v>0</v>
      </c>
      <c r="K34" s="1692"/>
      <c r="L34" s="1695">
        <f t="shared" si="0"/>
        <v>0.81299999999999994</v>
      </c>
      <c r="M34" s="456"/>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380</v>
      </c>
      <c r="B35" s="449"/>
      <c r="C35" s="449"/>
      <c r="D35" s="1694">
        <v>632.18799999999999</v>
      </c>
      <c r="E35" s="1691"/>
      <c r="F35" s="1694">
        <v>81.58</v>
      </c>
      <c r="G35" s="1691"/>
      <c r="H35" s="1694">
        <v>76.733000000000004</v>
      </c>
      <c r="I35" s="1691"/>
      <c r="J35" s="1694">
        <v>0</v>
      </c>
      <c r="K35" s="1692"/>
      <c r="L35" s="1695">
        <f t="shared" si="0"/>
        <v>637.03499999999997</v>
      </c>
      <c r="M35" s="461"/>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6.5" customHeight="1">
      <c r="A36" s="449" t="s">
        <v>381</v>
      </c>
      <c r="B36" s="449"/>
      <c r="C36" s="449"/>
      <c r="D36" s="1694">
        <v>0.14599999999999999</v>
      </c>
      <c r="E36" s="1691"/>
      <c r="F36" s="1694">
        <v>0</v>
      </c>
      <c r="G36" s="1691"/>
      <c r="H36" s="1694">
        <v>0</v>
      </c>
      <c r="I36" s="1691"/>
      <c r="J36" s="1694">
        <v>0</v>
      </c>
      <c r="K36" s="1692"/>
      <c r="L36" s="1695">
        <f t="shared" si="0"/>
        <v>0.14599999999999999</v>
      </c>
      <c r="M36" s="456"/>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382</v>
      </c>
      <c r="B37" s="449"/>
      <c r="C37" s="449"/>
      <c r="D37" s="1694">
        <v>926.01800000000003</v>
      </c>
      <c r="E37" s="1691"/>
      <c r="F37" s="1694">
        <v>936.41800000000001</v>
      </c>
      <c r="G37" s="1691"/>
      <c r="H37" s="1694">
        <v>932.08</v>
      </c>
      <c r="I37" s="1691"/>
      <c r="J37" s="1694">
        <v>0</v>
      </c>
      <c r="K37" s="1692"/>
      <c r="L37" s="1695">
        <f t="shared" si="0"/>
        <v>930.35599999999999</v>
      </c>
      <c r="M37" s="456"/>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1010</v>
      </c>
      <c r="B38" s="449"/>
      <c r="C38" s="449"/>
      <c r="D38" s="1694">
        <v>31.693000000000001</v>
      </c>
      <c r="E38" s="1691"/>
      <c r="F38" s="1694">
        <v>10.898</v>
      </c>
      <c r="G38" s="1691"/>
      <c r="H38" s="1694">
        <v>14.19</v>
      </c>
      <c r="I38" s="1691"/>
      <c r="J38" s="1694">
        <v>0</v>
      </c>
      <c r="K38" s="1692"/>
      <c r="L38" s="1695">
        <f t="shared" si="0"/>
        <v>28.401</v>
      </c>
      <c r="M38" s="456"/>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383</v>
      </c>
      <c r="B39" s="449"/>
      <c r="C39" s="449"/>
      <c r="D39" s="1694">
        <v>24.097999999999999</v>
      </c>
      <c r="E39" s="1691"/>
      <c r="F39" s="1694">
        <v>180.161</v>
      </c>
      <c r="G39" s="1691"/>
      <c r="H39" s="1694">
        <v>201.52700000000002</v>
      </c>
      <c r="I39" s="1691"/>
      <c r="J39" s="1694">
        <v>0</v>
      </c>
      <c r="K39" s="1692"/>
      <c r="L39" s="1695">
        <f t="shared" si="0"/>
        <v>2.7320000000000002</v>
      </c>
      <c r="M39" s="456"/>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1011</v>
      </c>
      <c r="B40" s="449"/>
      <c r="C40" s="449"/>
      <c r="D40" s="1694">
        <v>3074.8240000000001</v>
      </c>
      <c r="E40" s="1691"/>
      <c r="F40" s="1694">
        <v>6030.4470000000001</v>
      </c>
      <c r="G40" s="1691"/>
      <c r="H40" s="1694">
        <v>8907.15</v>
      </c>
      <c r="I40" s="1691"/>
      <c r="J40" s="1694">
        <v>0</v>
      </c>
      <c r="K40" s="3042"/>
      <c r="L40" s="1695">
        <f t="shared" si="0"/>
        <v>198.12100000000001</v>
      </c>
      <c r="M40" s="456"/>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384</v>
      </c>
      <c r="B41" s="449"/>
      <c r="C41" s="449"/>
      <c r="D41" s="1694">
        <v>0</v>
      </c>
      <c r="E41" s="1691"/>
      <c r="F41" s="1694">
        <v>0</v>
      </c>
      <c r="G41" s="1691"/>
      <c r="H41" s="1694">
        <v>0</v>
      </c>
      <c r="I41" s="1691"/>
      <c r="J41" s="1694">
        <v>0</v>
      </c>
      <c r="K41" s="1692"/>
      <c r="L41" s="1695">
        <f t="shared" si="0"/>
        <v>0</v>
      </c>
      <c r="M41" s="456"/>
      <c r="N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1001</v>
      </c>
      <c r="B42" s="449"/>
      <c r="C42" s="449"/>
      <c r="D42" s="1694">
        <v>236.126</v>
      </c>
      <c r="E42" s="1691"/>
      <c r="F42" s="1694">
        <v>-136.12200000000001</v>
      </c>
      <c r="G42" s="1691"/>
      <c r="H42" s="1694">
        <v>0</v>
      </c>
      <c r="I42" s="1691"/>
      <c r="J42" s="1694">
        <v>0</v>
      </c>
      <c r="K42" s="1692"/>
      <c r="L42" s="1695">
        <f t="shared" si="0"/>
        <v>100.004</v>
      </c>
      <c r="M42" s="456"/>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1002</v>
      </c>
      <c r="B43" s="449"/>
      <c r="C43" s="449"/>
      <c r="D43" s="1694">
        <v>-7.1320000000000006</v>
      </c>
      <c r="E43" s="1691"/>
      <c r="F43" s="1694">
        <v>43.931999999999995</v>
      </c>
      <c r="G43" s="1691"/>
      <c r="H43" s="1694">
        <v>39.999000000000002</v>
      </c>
      <c r="I43" s="1691"/>
      <c r="J43" s="1694">
        <v>0</v>
      </c>
      <c r="K43" s="1692"/>
      <c r="L43" s="1695">
        <f t="shared" si="0"/>
        <v>-3.1989999999999998</v>
      </c>
      <c r="M43" s="456"/>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1204</v>
      </c>
      <c r="B44" s="449"/>
      <c r="C44" s="449"/>
      <c r="D44" s="1694">
        <v>0</v>
      </c>
      <c r="E44" s="1691"/>
      <c r="F44" s="1694">
        <v>0</v>
      </c>
      <c r="G44" s="1691"/>
      <c r="H44" s="1694">
        <v>0</v>
      </c>
      <c r="I44" s="1691"/>
      <c r="J44" s="1694">
        <v>0</v>
      </c>
      <c r="K44" s="1692"/>
      <c r="L44" s="1695">
        <f t="shared" si="0"/>
        <v>0</v>
      </c>
      <c r="M44" s="456"/>
      <c r="N44" s="449"/>
      <c r="O44" s="462"/>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1199</v>
      </c>
      <c r="B45" s="449"/>
      <c r="C45" s="449"/>
      <c r="D45" s="705">
        <f>ROUND(SUM(D28:D44),3)</f>
        <v>6177.0780000000004</v>
      </c>
      <c r="E45" s="697"/>
      <c r="F45" s="705">
        <f>ROUND(SUM(F28:F44),3)</f>
        <v>8456.2669999999998</v>
      </c>
      <c r="G45" s="697"/>
      <c r="H45" s="705">
        <f>ROUND(SUM(H28:H44),3)</f>
        <v>11614.365</v>
      </c>
      <c r="I45" s="697"/>
      <c r="J45" s="705">
        <f>ROUND(SUM(J28:J44),3)</f>
        <v>0</v>
      </c>
      <c r="K45" s="697"/>
      <c r="L45" s="705">
        <f>ROUND(SUM(L28:L44),3)</f>
        <v>3018.98</v>
      </c>
      <c r="M45" s="457"/>
      <c r="N45" s="395"/>
      <c r="O45" s="460"/>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9" t="s">
        <v>15</v>
      </c>
      <c r="E46" s="442"/>
      <c r="F46" s="699" t="s">
        <v>15</v>
      </c>
      <c r="G46" s="442"/>
      <c r="H46" s="699" t="s">
        <v>15</v>
      </c>
      <c r="I46" s="442"/>
      <c r="J46" s="443" t="s">
        <v>15</v>
      </c>
      <c r="K46" s="442"/>
      <c r="L46" s="699" t="s">
        <v>15</v>
      </c>
      <c r="M46" s="456"/>
      <c r="N46" s="449"/>
      <c r="O46" s="462"/>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706"/>
      <c r="E47" s="706"/>
      <c r="F47" s="706"/>
      <c r="G47" s="706"/>
      <c r="H47" s="706"/>
      <c r="I47" s="706"/>
      <c r="J47" s="706"/>
      <c r="K47" s="706"/>
      <c r="L47" s="706"/>
      <c r="M47" s="456"/>
      <c r="N47" s="449"/>
      <c r="O47" s="462"/>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5" thickBot="1">
      <c r="A48" s="445" t="s">
        <v>1200</v>
      </c>
      <c r="B48" s="449"/>
      <c r="C48" s="467"/>
      <c r="D48" s="707">
        <f>ROUND(D17+D24+D45,3)</f>
        <v>6186.9989999999998</v>
      </c>
      <c r="E48" s="708"/>
      <c r="F48" s="707">
        <f>ROUND(F17+F24+F45,3)</f>
        <v>8467.4259999999995</v>
      </c>
      <c r="G48" s="708"/>
      <c r="H48" s="707">
        <f>ROUND(H17+H24+H45,3)</f>
        <v>11624.111000000001</v>
      </c>
      <c r="I48" s="709"/>
      <c r="J48" s="707">
        <f>ROUND(J17+J24+J45,3)</f>
        <v>0</v>
      </c>
      <c r="K48" s="708"/>
      <c r="L48" s="707">
        <f>ROUND(L17+L24+L45,3)</f>
        <v>3030.3139999999999</v>
      </c>
      <c r="M48" s="457"/>
      <c r="N48" s="460"/>
      <c r="O48" s="462"/>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10" t="s">
        <v>15</v>
      </c>
      <c r="E49" s="693"/>
      <c r="F49" s="710" t="s">
        <v>15</v>
      </c>
      <c r="G49" s="693"/>
      <c r="H49" s="710" t="s">
        <v>15</v>
      </c>
      <c r="I49" s="693"/>
      <c r="J49" s="692" t="s">
        <v>15</v>
      </c>
      <c r="K49" s="693"/>
      <c r="L49" s="710" t="s">
        <v>15</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11"/>
      <c r="B50" s="449"/>
      <c r="C50" s="449"/>
      <c r="D50" s="449"/>
      <c r="E50" s="449"/>
      <c r="F50" s="449"/>
      <c r="G50" s="449"/>
      <c r="H50" s="449"/>
      <c r="I50" s="449"/>
      <c r="J50" s="449" t="s">
        <v>15</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8">
      <c r="A51" s="449"/>
      <c r="B51" s="449"/>
      <c r="C51" s="449"/>
      <c r="D51" s="460" t="s">
        <v>15</v>
      </c>
      <c r="E51" s="449"/>
      <c r="F51" s="1694" t="s">
        <v>15</v>
      </c>
      <c r="G51" s="449"/>
      <c r="H51" s="449"/>
      <c r="I51" s="449"/>
      <c r="J51" s="449" t="s">
        <v>15</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8">
      <c r="A52" s="460"/>
      <c r="B52" s="449"/>
      <c r="C52" s="449"/>
      <c r="D52" s="449"/>
      <c r="E52" s="449"/>
      <c r="F52" s="449"/>
      <c r="G52" s="449"/>
      <c r="H52" s="449"/>
      <c r="I52" s="449"/>
      <c r="J52" s="449" t="s">
        <v>15</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8">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8">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8">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8">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7.5">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7.5">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7.5">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7.5">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8">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8">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8">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7.5">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8">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7.5">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49999999999999"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49999999999999"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49999999999999"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49999999999999"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49999999999999"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49999999999999"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7.5">
      <c r="A73" s="712"/>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7.5">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7.5">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7.5">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7.5">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7.5">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7.5">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7.5">
      <c r="A80" s="712"/>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7.5"/>
    <row r="82" spans="1:256" ht="17.5">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7.5"/>
    <row r="84" spans="1:256" s="449" customFormat="1" ht="17.5"/>
    <row r="85" spans="1:256" s="449" customFormat="1" ht="17.5"/>
    <row r="86" spans="1:256" ht="17.5">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7.5"/>
    <row r="88" spans="1:256" s="449" customFormat="1" ht="17.5"/>
    <row r="89" spans="1:256" s="449" customFormat="1" ht="17.5"/>
    <row r="90" spans="1:256" s="449" customFormat="1" ht="17.5"/>
    <row r="91" spans="1:256" s="449" customFormat="1" ht="17.5"/>
    <row r="92" spans="1:256" s="449" customFormat="1" ht="17.5"/>
    <row r="93" spans="1:256" s="449" customFormat="1" ht="17.5"/>
    <row r="94" spans="1:256" s="449" customFormat="1" ht="17.5"/>
    <row r="95" spans="1:256" s="449" customFormat="1" ht="17.5"/>
    <row r="96" spans="1:256" s="449" customFormat="1" ht="17.5"/>
    <row r="97" s="449" customFormat="1" ht="17.5"/>
    <row r="98" s="449" customFormat="1" ht="17.5"/>
    <row r="99" s="449" customFormat="1" ht="17.5"/>
    <row r="100" s="449" customFormat="1" ht="17.5"/>
    <row r="101" s="449" customFormat="1" ht="17.5"/>
    <row r="102" s="449" customFormat="1" ht="17.5"/>
    <row r="103" s="449" customFormat="1" ht="17.5"/>
    <row r="104" s="449" customFormat="1" ht="17.5"/>
    <row r="105" s="449" customFormat="1" ht="17.5"/>
    <row r="106" s="449" customFormat="1" ht="17.5"/>
    <row r="107" s="449" customFormat="1" ht="17.5"/>
    <row r="108" s="449" customFormat="1" ht="17.5"/>
    <row r="109" s="449" customFormat="1" ht="17.5"/>
    <row r="110" s="449" customFormat="1" ht="17.5"/>
    <row r="111" s="449" customFormat="1" ht="17.5"/>
    <row r="112" s="449" customFormat="1" ht="17.5"/>
    <row r="113" s="449" customFormat="1" ht="17.5"/>
    <row r="114" s="449" customFormat="1" ht="17.5"/>
    <row r="115" s="449" customFormat="1" ht="17.5"/>
    <row r="116" s="449" customFormat="1" ht="17.5"/>
    <row r="117" s="449" customFormat="1" ht="17.5"/>
    <row r="118" s="449" customFormat="1" ht="17.5"/>
    <row r="119" s="449" customFormat="1" ht="17.5"/>
    <row r="120" s="449" customFormat="1" ht="17.5"/>
    <row r="121" s="449" customFormat="1" ht="17.5"/>
    <row r="122" s="449" customFormat="1" ht="17.5"/>
    <row r="123" s="449" customFormat="1" ht="17.5"/>
    <row r="124" s="449" customFormat="1" ht="17.5"/>
    <row r="125" s="449" customFormat="1" ht="17.5"/>
    <row r="126" s="449" customFormat="1" ht="17.5"/>
    <row r="127" s="449" customFormat="1" ht="17.5"/>
    <row r="128" s="449" customFormat="1" ht="17.5"/>
    <row r="129" s="449" customFormat="1" ht="17.5"/>
    <row r="130" s="449" customFormat="1" ht="17.5"/>
    <row r="131" s="449" customFormat="1" ht="17.5"/>
    <row r="132" s="449" customFormat="1" ht="17.5"/>
    <row r="133" s="449" customFormat="1" ht="17.5"/>
    <row r="134" s="449" customFormat="1" ht="17.5"/>
    <row r="135" s="449" customFormat="1" ht="17.5"/>
    <row r="136" s="449" customFormat="1" ht="17.5"/>
  </sheetData>
  <pageMargins left="0.5" right="0.5" top="0.5" bottom="0.5" header="0" footer="0.25"/>
  <pageSetup scale="59"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69140625" defaultRowHeight="12.5"/>
  <cols>
    <col min="1" max="1" width="53.53515625" style="1897" customWidth="1"/>
    <col min="2" max="2" width="1.69140625" style="1897" customWidth="1"/>
    <col min="3" max="3" width="2.69140625" style="1897" customWidth="1"/>
    <col min="4" max="4" width="20.07421875" style="1897" customWidth="1"/>
    <col min="5" max="5" width="7.69140625" style="1897" customWidth="1"/>
    <col min="6" max="6" width="18.69140625" style="1897" customWidth="1"/>
    <col min="7" max="7" width="7.69140625" style="1897" customWidth="1"/>
    <col min="8" max="8" width="18.69140625" style="1897" customWidth="1"/>
    <col min="9" max="9" width="7.69140625" style="1897" customWidth="1"/>
    <col min="10" max="10" width="21.69140625" style="1897" customWidth="1"/>
    <col min="11" max="11" width="10.69140625" style="1897" customWidth="1"/>
    <col min="12" max="16384" width="8.69140625" style="1897"/>
  </cols>
  <sheetData>
    <row r="1" spans="1:10" ht="15.5">
      <c r="A1" s="642" t="s">
        <v>963</v>
      </c>
    </row>
    <row r="2" spans="1:10" ht="15.5">
      <c r="A2" s="1898"/>
    </row>
    <row r="3" spans="1:10" ht="18">
      <c r="A3" s="1899" t="s">
        <v>0</v>
      </c>
      <c r="B3" s="1900"/>
      <c r="C3" s="1900"/>
      <c r="D3" s="1900"/>
      <c r="E3" s="1900"/>
      <c r="F3" s="1900"/>
      <c r="G3" s="1899"/>
      <c r="H3" s="1899"/>
      <c r="I3" s="1899"/>
      <c r="J3" s="1902" t="s">
        <v>385</v>
      </c>
    </row>
    <row r="4" spans="1:10" ht="18">
      <c r="A4" s="1899" t="s">
        <v>386</v>
      </c>
      <c r="B4" s="1900"/>
      <c r="C4" s="1899"/>
      <c r="D4" s="1900"/>
      <c r="E4" s="1900"/>
      <c r="F4" s="1900"/>
      <c r="G4" s="1899"/>
      <c r="H4" s="1899"/>
      <c r="I4" s="1899"/>
      <c r="J4" s="1899"/>
    </row>
    <row r="5" spans="1:10" ht="18">
      <c r="A5" s="1899" t="s">
        <v>387</v>
      </c>
      <c r="B5" s="1900"/>
      <c r="C5" s="1899"/>
      <c r="D5" s="1900"/>
      <c r="E5" s="1900"/>
      <c r="F5" s="1900"/>
      <c r="G5" s="1899"/>
      <c r="H5" s="1899"/>
      <c r="I5" s="1899"/>
      <c r="J5" s="1899"/>
    </row>
    <row r="6" spans="1:10" ht="18">
      <c r="A6" s="1899" t="s">
        <v>1468</v>
      </c>
      <c r="B6" s="1900"/>
      <c r="C6" s="1899"/>
      <c r="D6" s="1900"/>
      <c r="E6" s="1900"/>
      <c r="F6" s="1900"/>
      <c r="G6" s="1899"/>
      <c r="H6" s="1899"/>
      <c r="I6" s="1899"/>
      <c r="J6" s="1899"/>
    </row>
    <row r="7" spans="1:10" ht="18">
      <c r="A7" s="1901" t="str">
        <f>'Sch 3 '!A7</f>
        <v>FOR THE MONTH OF OCTOBER 2020</v>
      </c>
      <c r="B7" s="1900"/>
      <c r="C7" s="1899"/>
      <c r="D7" s="3086"/>
      <c r="E7" s="1900"/>
      <c r="F7" s="1900"/>
      <c r="G7" s="1899"/>
      <c r="H7" s="1899"/>
      <c r="I7" s="1899"/>
      <c r="J7" s="1899"/>
    </row>
    <row r="8" spans="1:10" ht="18">
      <c r="A8" s="1899" t="s">
        <v>1365</v>
      </c>
      <c r="B8" s="1900"/>
      <c r="C8" s="1899"/>
      <c r="D8" s="3086"/>
      <c r="E8" s="1900"/>
      <c r="F8" s="1900"/>
      <c r="G8" s="1899"/>
      <c r="H8" s="1899"/>
      <c r="I8" s="1899"/>
      <c r="J8" s="1899"/>
    </row>
    <row r="9" spans="1:10" ht="18">
      <c r="A9" s="1899"/>
      <c r="B9" s="1900"/>
      <c r="C9" s="1899"/>
      <c r="D9" s="3086"/>
      <c r="E9" s="1900"/>
      <c r="F9" s="1900"/>
      <c r="G9" s="1899"/>
      <c r="H9" s="1899"/>
      <c r="I9" s="1899"/>
      <c r="J9" s="1899"/>
    </row>
    <row r="10" spans="1:10" ht="18">
      <c r="A10" s="1899"/>
      <c r="B10" s="1899"/>
      <c r="C10" s="1899"/>
      <c r="D10" s="3087"/>
      <c r="E10" s="1899"/>
      <c r="F10" s="1899"/>
      <c r="G10" s="1899"/>
      <c r="H10" s="1899"/>
      <c r="I10" s="1899"/>
      <c r="J10" s="1899"/>
    </row>
    <row r="11" spans="1:10" ht="18">
      <c r="A11" s="1899"/>
      <c r="B11" s="1899"/>
      <c r="C11" s="1899"/>
      <c r="D11" s="3088"/>
      <c r="E11" s="1899"/>
      <c r="F11" s="1899"/>
      <c r="G11" s="1899"/>
      <c r="H11" s="1899"/>
      <c r="I11" s="1899"/>
      <c r="J11" s="1902"/>
    </row>
    <row r="12" spans="1:10" ht="18">
      <c r="A12" s="1899"/>
      <c r="B12" s="1899"/>
      <c r="C12" s="1899"/>
      <c r="D12" s="3088" t="s">
        <v>233</v>
      </c>
      <c r="E12" s="1899"/>
      <c r="F12" s="1899"/>
      <c r="G12" s="1899"/>
      <c r="H12" s="1899"/>
      <c r="I12" s="1899"/>
      <c r="J12" s="1902" t="s">
        <v>233</v>
      </c>
    </row>
    <row r="13" spans="1:10" ht="18">
      <c r="A13" s="1903" t="s">
        <v>356</v>
      </c>
      <c r="B13" s="1899"/>
      <c r="C13" s="1899"/>
      <c r="D13" s="3383" t="str">
        <f>'Sch 3 '!D11</f>
        <v>OCTOBER 1, 2020</v>
      </c>
      <c r="E13" s="1899"/>
      <c r="F13" s="1902" t="s">
        <v>235</v>
      </c>
      <c r="G13" s="1899"/>
      <c r="H13" s="1902" t="s">
        <v>236</v>
      </c>
      <c r="I13" s="1899"/>
      <c r="J13" s="1904" t="str">
        <f>'Sch 3 '!L11</f>
        <v>OCTOBER 31, 2020</v>
      </c>
    </row>
    <row r="14" spans="1:10" ht="18">
      <c r="A14" s="1903"/>
      <c r="B14" s="1899"/>
      <c r="C14" s="1899"/>
      <c r="D14" s="3438"/>
      <c r="E14" s="1899"/>
      <c r="F14" s="1905"/>
      <c r="G14" s="1899"/>
      <c r="H14" s="1906" t="s">
        <v>232</v>
      </c>
      <c r="I14" s="1899"/>
      <c r="J14" s="1905"/>
    </row>
    <row r="15" spans="1:10" ht="18">
      <c r="A15" s="1907" t="s">
        <v>388</v>
      </c>
      <c r="B15" s="1899"/>
      <c r="C15" s="1899"/>
      <c r="D15" s="3087"/>
      <c r="E15" s="3087"/>
      <c r="F15" s="3099"/>
      <c r="G15" s="3087"/>
      <c r="H15" s="3087"/>
      <c r="I15" s="3087"/>
      <c r="J15" s="3087"/>
    </row>
    <row r="16" spans="1:10" ht="25.4" customHeight="1">
      <c r="A16" s="1900" t="s">
        <v>389</v>
      </c>
      <c r="B16" s="1899"/>
      <c r="C16" s="1900"/>
      <c r="D16" s="1690">
        <v>2.887</v>
      </c>
      <c r="E16" s="1908"/>
      <c r="F16" s="1690">
        <v>1E-3</v>
      </c>
      <c r="G16" s="1908"/>
      <c r="H16" s="1690">
        <v>0</v>
      </c>
      <c r="I16" s="1908"/>
      <c r="J16" s="1908">
        <f>ROUND(D16+F16-H16,3)</f>
        <v>2.8879999999999999</v>
      </c>
    </row>
    <row r="17" spans="1:14" s="3545" customFormat="1" ht="25.4" customHeight="1">
      <c r="A17" s="3086" t="s">
        <v>1480</v>
      </c>
      <c r="B17" s="3086"/>
      <c r="C17" s="3086"/>
      <c r="D17" s="1694">
        <v>157.03100000000001</v>
      </c>
      <c r="E17" s="1910"/>
      <c r="F17" s="1694">
        <v>160.904</v>
      </c>
      <c r="G17" s="1908"/>
      <c r="H17" s="1694">
        <v>144.64599999999999</v>
      </c>
      <c r="I17" s="1910"/>
      <c r="J17" s="1911">
        <f>ROUND(D17+F17-H17,3)</f>
        <v>173.28899999999999</v>
      </c>
    </row>
    <row r="18" spans="1:14" ht="25.4" customHeight="1">
      <c r="A18" s="1909" t="s">
        <v>1481</v>
      </c>
      <c r="B18" s="1900"/>
      <c r="C18" s="1900"/>
      <c r="D18" s="1694">
        <v>2626.1550000000002</v>
      </c>
      <c r="E18" s="1910"/>
      <c r="F18" s="1694">
        <v>2411.9259999999999</v>
      </c>
      <c r="G18" s="1908"/>
      <c r="H18" s="1694">
        <v>2617.3359999999998</v>
      </c>
      <c r="I18" s="1910"/>
      <c r="J18" s="1911">
        <f>ROUND(D18+F18-H18,3)</f>
        <v>2420.7449999999999</v>
      </c>
    </row>
    <row r="19" spans="1:14" ht="25.4" customHeight="1">
      <c r="A19" s="1900" t="s">
        <v>1306</v>
      </c>
      <c r="B19" s="1900"/>
      <c r="C19" s="1900"/>
      <c r="D19" s="1694">
        <v>0</v>
      </c>
      <c r="E19" s="1910"/>
      <c r="F19" s="1694">
        <v>169.45599999999999</v>
      </c>
      <c r="G19" s="1908"/>
      <c r="H19" s="1694">
        <v>169.45599999999999</v>
      </c>
      <c r="I19" s="1910"/>
      <c r="J19" s="1911">
        <f>ROUND(D19+F19-H19,3)</f>
        <v>0</v>
      </c>
    </row>
    <row r="20" spans="1:14" ht="25.4" customHeight="1" thickBot="1">
      <c r="A20" s="1912" t="s">
        <v>390</v>
      </c>
      <c r="B20" s="1900"/>
      <c r="C20" s="1900"/>
      <c r="D20" s="1913">
        <f>ROUND(SUM(D16:D19),3)</f>
        <v>2786.0729999999999</v>
      </c>
      <c r="E20" s="3100"/>
      <c r="F20" s="1913">
        <f>ROUND(SUM(F16:F19),3)</f>
        <v>2742.2869999999998</v>
      </c>
      <c r="G20" s="3100"/>
      <c r="H20" s="1913">
        <f>ROUND(SUM(H16:H19),3)</f>
        <v>2931.4380000000001</v>
      </c>
      <c r="I20" s="3100"/>
      <c r="J20" s="1913">
        <f>ROUND(SUM(J16:J19),3)</f>
        <v>2596.922</v>
      </c>
      <c r="K20" s="1914"/>
      <c r="L20" s="1914"/>
      <c r="M20" s="1914"/>
      <c r="N20" s="1914"/>
    </row>
    <row r="21" spans="1:14" ht="18" thickTop="1">
      <c r="A21" s="1900"/>
      <c r="B21" s="1900"/>
      <c r="C21" s="1900"/>
      <c r="D21" s="3089"/>
      <c r="E21" s="1900"/>
      <c r="F21" s="1915"/>
      <c r="G21" s="1900"/>
      <c r="H21" s="1915"/>
      <c r="I21" s="1900"/>
      <c r="J21" s="1915"/>
    </row>
    <row r="22" spans="1:14" ht="17.5">
      <c r="A22" s="1900"/>
      <c r="B22" s="1900"/>
      <c r="C22" s="1900"/>
      <c r="D22" s="3089"/>
      <c r="E22" s="1900"/>
      <c r="F22" s="1915"/>
      <c r="G22" s="1900"/>
      <c r="H22" s="1915"/>
      <c r="I22" s="1900"/>
      <c r="J22" s="1915"/>
    </row>
    <row r="23" spans="1:14" ht="6.75" customHeight="1">
      <c r="A23" s="1900"/>
      <c r="B23" s="1900"/>
      <c r="C23" s="1900"/>
      <c r="D23" s="1915"/>
      <c r="E23" s="1900"/>
      <c r="F23" s="1915"/>
      <c r="G23" s="1900"/>
      <c r="H23" s="1915"/>
      <c r="I23" s="1900"/>
      <c r="J23" s="1915"/>
    </row>
    <row r="24" spans="1:14" ht="17.5">
      <c r="A24" s="2163" t="s">
        <v>1482</v>
      </c>
      <c r="B24" s="1900"/>
      <c r="C24" s="1900"/>
      <c r="D24" s="1900"/>
      <c r="E24" s="1900"/>
      <c r="F24" s="1900" t="s">
        <v>15</v>
      </c>
      <c r="G24" s="1900"/>
      <c r="H24" s="1900"/>
      <c r="I24" s="1900"/>
      <c r="J24" s="1900"/>
    </row>
    <row r="25" spans="1:14" ht="6" customHeight="1"/>
    <row r="26" spans="1:14" ht="59.25" customHeight="1">
      <c r="A26" s="3952" t="s">
        <v>1293</v>
      </c>
      <c r="B26" s="3952"/>
      <c r="C26" s="3952"/>
      <c r="D26" s="3952"/>
      <c r="E26" s="3952"/>
      <c r="F26" s="3952"/>
      <c r="G26" s="3952"/>
      <c r="H26" s="3952"/>
      <c r="I26" s="3952"/>
      <c r="J26" s="3952"/>
    </row>
    <row r="27" spans="1:14" ht="43.4" customHeight="1">
      <c r="A27" s="3953" t="s">
        <v>1561</v>
      </c>
      <c r="B27" s="3953"/>
      <c r="C27" s="3953"/>
      <c r="D27" s="3953"/>
      <c r="E27" s="3953"/>
      <c r="F27" s="3953"/>
      <c r="G27" s="3953"/>
      <c r="H27" s="3953"/>
      <c r="I27" s="3953"/>
      <c r="J27" s="3953"/>
    </row>
    <row r="28" spans="1:14" ht="18.75" customHeight="1">
      <c r="A28" s="3954"/>
      <c r="B28" s="3954"/>
      <c r="C28" s="3954"/>
      <c r="D28" s="3954"/>
      <c r="E28" s="3954"/>
      <c r="F28" s="3954"/>
      <c r="G28" s="3954"/>
      <c r="H28" s="3954"/>
      <c r="I28" s="3954"/>
      <c r="J28" s="3954"/>
    </row>
    <row r="29" spans="1:14" ht="18" customHeight="1">
      <c r="A29" s="1916"/>
      <c r="B29" s="1941"/>
      <c r="C29" s="1941"/>
      <c r="D29" s="1941"/>
      <c r="E29" s="1941"/>
      <c r="F29" s="1694"/>
      <c r="G29" s="1941"/>
      <c r="H29" s="1941"/>
      <c r="I29" s="1941"/>
      <c r="J29" s="1941"/>
    </row>
    <row r="30" spans="1:14" ht="20.25" customHeight="1">
      <c r="A30" s="3955"/>
      <c r="B30" s="3955"/>
      <c r="C30" s="3955"/>
      <c r="D30" s="3955"/>
      <c r="E30" s="3955"/>
      <c r="F30" s="3955"/>
      <c r="G30" s="3955"/>
      <c r="H30" s="3955"/>
      <c r="I30" s="3955"/>
      <c r="J30" s="3955"/>
    </row>
    <row r="31" spans="1:14" ht="20.25" customHeight="1">
      <c r="A31" s="1942"/>
      <c r="B31" s="1941"/>
      <c r="C31" s="1941"/>
      <c r="D31" s="1941"/>
      <c r="E31" s="1941"/>
      <c r="F31" s="3783" t="s">
        <v>15</v>
      </c>
      <c r="G31" s="1941"/>
      <c r="H31" s="1941"/>
      <c r="I31" s="1941"/>
      <c r="J31" s="1941"/>
    </row>
    <row r="32" spans="1:14" ht="20.25" customHeight="1">
      <c r="A32" s="1942"/>
      <c r="B32" s="1941"/>
      <c r="C32" s="1941"/>
      <c r="D32" s="1941"/>
      <c r="E32" s="1941"/>
      <c r="F32" s="1941"/>
      <c r="G32" s="1941"/>
      <c r="H32" s="1941"/>
      <c r="I32" s="1941"/>
      <c r="J32" s="1941"/>
    </row>
    <row r="33" spans="1:10" ht="20.25" customHeight="1">
      <c r="A33" s="1942"/>
      <c r="B33" s="1941"/>
      <c r="C33" s="1941"/>
      <c r="D33" s="1941"/>
      <c r="E33" s="1941"/>
      <c r="F33" s="1941"/>
      <c r="G33" s="1941"/>
      <c r="H33" s="1941"/>
      <c r="I33" s="1941"/>
      <c r="J33" s="1941"/>
    </row>
    <row r="34" spans="1:10" ht="20.25" customHeight="1">
      <c r="A34" s="1942"/>
      <c r="B34" s="1941"/>
      <c r="C34" s="1941"/>
      <c r="D34" s="1941"/>
      <c r="E34" s="1941"/>
      <c r="F34" s="1941"/>
      <c r="G34" s="1941"/>
      <c r="H34" s="1941"/>
      <c r="I34" s="1941"/>
      <c r="J34" s="1941"/>
    </row>
    <row r="35" spans="1:10" ht="20.25" customHeight="1">
      <c r="A35" s="1942"/>
      <c r="B35" s="1941"/>
      <c r="C35" s="1941"/>
      <c r="D35" s="1941"/>
      <c r="E35" s="1941"/>
      <c r="F35" s="1941"/>
      <c r="G35" s="1941"/>
      <c r="H35" s="1941"/>
      <c r="I35" s="1941"/>
      <c r="J35" s="1941"/>
    </row>
    <row r="36" spans="1:10" ht="20.25" customHeight="1">
      <c r="A36" s="1942"/>
      <c r="B36" s="1941"/>
      <c r="C36" s="1941"/>
      <c r="D36" s="1941"/>
      <c r="E36" s="1941"/>
      <c r="F36" s="1941"/>
      <c r="G36" s="1941"/>
      <c r="H36" s="1941"/>
      <c r="I36" s="1941"/>
      <c r="J36" s="1941"/>
    </row>
    <row r="37" spans="1:10" ht="20.25" customHeight="1">
      <c r="A37" s="1942"/>
      <c r="B37" s="1941"/>
      <c r="C37" s="1941"/>
      <c r="D37" s="1941"/>
      <c r="E37" s="1941"/>
      <c r="F37" s="1941"/>
      <c r="G37" s="1941"/>
      <c r="H37" s="1941"/>
      <c r="I37" s="1941"/>
      <c r="J37" s="1941"/>
    </row>
    <row r="38" spans="1:10" ht="20.25" customHeight="1">
      <c r="A38" s="1942"/>
      <c r="B38" s="1941"/>
      <c r="C38" s="1941"/>
      <c r="D38" s="1941"/>
      <c r="E38" s="1941"/>
      <c r="F38" s="1941"/>
      <c r="G38" s="1941"/>
      <c r="H38" s="1941"/>
      <c r="I38" s="1941"/>
      <c r="J38" s="1941"/>
    </row>
    <row r="39" spans="1:10" ht="20.25" customHeight="1">
      <c r="A39" s="1942"/>
      <c r="B39" s="1941"/>
      <c r="C39" s="1941"/>
      <c r="D39" s="1941"/>
      <c r="E39" s="1941"/>
      <c r="F39" s="1941"/>
      <c r="G39" s="1941"/>
      <c r="H39" s="1941"/>
      <c r="I39" s="1941"/>
      <c r="J39" s="1941"/>
    </row>
    <row r="40" spans="1:10" ht="20.25" customHeight="1">
      <c r="A40" s="1942"/>
      <c r="B40" s="1941"/>
      <c r="C40" s="1941"/>
      <c r="D40" s="1941"/>
      <c r="E40" s="1941"/>
      <c r="F40" s="1941"/>
      <c r="G40" s="1941"/>
      <c r="H40" s="1941"/>
      <c r="I40" s="1941"/>
      <c r="J40" s="1941"/>
    </row>
    <row r="41" spans="1:10" ht="20.25" customHeight="1">
      <c r="A41" s="1942"/>
      <c r="B41" s="1941"/>
      <c r="C41" s="1941"/>
      <c r="D41" s="1941"/>
      <c r="E41" s="1941"/>
      <c r="F41" s="1941"/>
      <c r="G41" s="1941"/>
      <c r="H41" s="1941"/>
      <c r="I41" s="1941"/>
      <c r="J41" s="1941"/>
    </row>
    <row r="42" spans="1:10" ht="20.25" customHeight="1">
      <c r="A42" s="1942"/>
      <c r="B42" s="1941"/>
      <c r="C42" s="1941"/>
      <c r="D42" s="1941"/>
      <c r="E42" s="1941"/>
      <c r="F42" s="1941"/>
      <c r="G42" s="1941"/>
      <c r="H42" s="1941"/>
      <c r="I42" s="1941"/>
      <c r="J42" s="1941"/>
    </row>
    <row r="43" spans="1:10" ht="21" customHeight="1"/>
    <row r="44" spans="1:10" ht="21" customHeight="1">
      <c r="A44" s="1942"/>
      <c r="B44" s="1941"/>
      <c r="C44" s="1941"/>
      <c r="D44" s="1941"/>
      <c r="E44" s="1941"/>
      <c r="F44" s="1941"/>
      <c r="G44" s="1941"/>
      <c r="H44" s="1941"/>
      <c r="I44" s="1941"/>
      <c r="J44" s="1941"/>
    </row>
    <row r="45" spans="1:10" ht="18" customHeight="1">
      <c r="A45" s="1917"/>
      <c r="B45" s="1918"/>
      <c r="C45" s="1919"/>
      <c r="D45" s="1920"/>
      <c r="E45" s="1919"/>
      <c r="F45" s="1920"/>
      <c r="G45" s="1919"/>
      <c r="H45" s="1920"/>
      <c r="I45" s="1921"/>
    </row>
    <row r="46" spans="1:10" ht="18" customHeight="1">
      <c r="A46" s="1922"/>
      <c r="B46" s="1918"/>
      <c r="C46" s="1918"/>
      <c r="D46" s="1920"/>
      <c r="E46" s="1918"/>
      <c r="F46" s="1923"/>
      <c r="G46" s="1920"/>
      <c r="H46" s="1920"/>
      <c r="I46" s="1921"/>
    </row>
    <row r="47" spans="1:10" ht="18" customHeight="1">
      <c r="A47" s="1922"/>
      <c r="B47" s="1918"/>
      <c r="C47" s="1918"/>
      <c r="D47" s="1920"/>
      <c r="E47" s="1918"/>
      <c r="F47" s="1923"/>
      <c r="G47" s="1920"/>
      <c r="H47" s="1920"/>
      <c r="I47" s="1921"/>
    </row>
    <row r="48" spans="1:10" ht="18" customHeight="1">
      <c r="A48" s="1922"/>
      <c r="B48" s="1918"/>
      <c r="C48" s="1918"/>
      <c r="D48" s="1920"/>
      <c r="E48" s="1918"/>
      <c r="F48" s="1923"/>
      <c r="G48" s="1920"/>
      <c r="H48" s="1920"/>
      <c r="I48" s="1921"/>
    </row>
    <row r="49" spans="1:9" ht="18" customHeight="1">
      <c r="A49" s="1922"/>
      <c r="B49" s="1918"/>
      <c r="C49" s="1918"/>
      <c r="D49" s="1920"/>
      <c r="E49" s="1918"/>
      <c r="F49" s="1920"/>
      <c r="G49" s="1920"/>
      <c r="H49" s="1924"/>
      <c r="I49" s="1921"/>
    </row>
    <row r="50" spans="1:9" ht="18" customHeight="1">
      <c r="A50" s="1925"/>
      <c r="B50" s="1918"/>
      <c r="C50" s="1918"/>
      <c r="D50" s="1920"/>
      <c r="E50" s="1918"/>
      <c r="F50" s="1920"/>
      <c r="G50" s="1920"/>
      <c r="H50" s="1920"/>
      <c r="I50" s="1921"/>
    </row>
    <row r="51" spans="1:9" ht="18" customHeight="1">
      <c r="A51" s="1926"/>
      <c r="B51" s="1918"/>
      <c r="C51" s="1918"/>
      <c r="D51" s="1920"/>
      <c r="E51" s="1918"/>
      <c r="F51" s="1924"/>
      <c r="G51" s="1920"/>
      <c r="H51" s="1920"/>
      <c r="I51" s="1921"/>
    </row>
    <row r="52" spans="1:9" ht="18" customHeight="1">
      <c r="A52" s="1922"/>
      <c r="B52" s="1918"/>
      <c r="C52" s="1918"/>
      <c r="D52" s="1920"/>
      <c r="E52" s="1918"/>
      <c r="F52" s="1923"/>
      <c r="G52" s="1920"/>
      <c r="H52" s="1920"/>
      <c r="I52" s="1921"/>
    </row>
    <row r="53" spans="1:9" ht="18" customHeight="1">
      <c r="A53" s="1922"/>
      <c r="B53" s="1918"/>
      <c r="C53" s="1918"/>
      <c r="D53" s="1920"/>
      <c r="E53" s="1918"/>
      <c r="F53" s="1927"/>
      <c r="G53" s="1920"/>
      <c r="H53" s="1924"/>
      <c r="I53" s="1921"/>
    </row>
    <row r="54" spans="1:9" ht="18" customHeight="1">
      <c r="A54" s="1925"/>
      <c r="B54" s="1918"/>
      <c r="C54" s="1919"/>
      <c r="D54" s="1928"/>
      <c r="E54" s="1919"/>
      <c r="G54" s="1919"/>
      <c r="H54" s="1928"/>
      <c r="I54" s="1921"/>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70" workbookViewId="0"/>
  </sheetViews>
  <sheetFormatPr defaultColWidth="8.69140625" defaultRowHeight="12.5"/>
  <cols>
    <col min="1" max="1" width="40.07421875" style="623" customWidth="1"/>
    <col min="2" max="2" width="2.07421875" style="623" customWidth="1"/>
    <col min="3" max="3" width="17.07421875" style="802" customWidth="1"/>
    <col min="4" max="4" width="2.07421875" style="623" customWidth="1"/>
    <col min="5" max="5" width="15.4609375" style="623" customWidth="1"/>
    <col min="6" max="6" width="2.07421875" style="623" customWidth="1"/>
    <col min="7" max="7" width="16.07421875" style="623" customWidth="1"/>
    <col min="8" max="8" width="2.07421875" style="623" customWidth="1"/>
    <col min="9" max="9" width="15.53515625" style="624" customWidth="1"/>
    <col min="10" max="10" width="2.07421875" style="623" customWidth="1"/>
    <col min="11" max="11" width="16.4609375" style="624" bestFit="1" customWidth="1"/>
    <col min="12" max="12" width="2.07421875" style="623" customWidth="1"/>
    <col min="13" max="13" width="17.07421875" style="802" customWidth="1"/>
    <col min="14" max="14" width="1.69140625" style="623" customWidth="1"/>
    <col min="15" max="15" width="1.07421875" style="623" customWidth="1"/>
    <col min="16" max="16" width="2" style="623" customWidth="1"/>
    <col min="17" max="17" width="15.4609375" style="623" customWidth="1"/>
    <col min="18" max="18" width="2.07421875" style="623" customWidth="1"/>
    <col min="19" max="19" width="16.4609375" style="623" bestFit="1" customWidth="1"/>
    <col min="20" max="20" width="11.69140625" style="623" customWidth="1"/>
    <col min="21" max="21" width="12.4609375" style="623" customWidth="1"/>
    <col min="22" max="22" width="8" style="623" bestFit="1" customWidth="1"/>
    <col min="23" max="16384" width="8.69140625" style="623"/>
  </cols>
  <sheetData>
    <row r="1" spans="1:23" ht="15.5">
      <c r="A1" s="642" t="s">
        <v>963</v>
      </c>
    </row>
    <row r="2" spans="1:23" ht="15.5">
      <c r="A2" s="1588"/>
    </row>
    <row r="3" spans="1:23" ht="18">
      <c r="A3" s="622" t="s">
        <v>0</v>
      </c>
      <c r="S3" s="622" t="s">
        <v>391</v>
      </c>
    </row>
    <row r="4" spans="1:23" ht="18">
      <c r="A4" s="622" t="s">
        <v>184</v>
      </c>
      <c r="J4" s="623" t="s">
        <v>15</v>
      </c>
    </row>
    <row r="5" spans="1:23" ht="18">
      <c r="A5" s="622" t="s">
        <v>392</v>
      </c>
    </row>
    <row r="6" spans="1:23" ht="18">
      <c r="A6" s="1589" t="str">
        <f>'Cashflow Governmental'!A6</f>
        <v xml:space="preserve">FISCAL YEAR 2020-2021   </v>
      </c>
    </row>
    <row r="9" spans="1:23" ht="13">
      <c r="C9" s="3527"/>
      <c r="D9" s="1518"/>
      <c r="E9" s="3956" t="s">
        <v>1505</v>
      </c>
      <c r="F9" s="3956"/>
      <c r="G9" s="3956"/>
      <c r="H9" s="1521"/>
      <c r="I9" s="3580" t="s">
        <v>1297</v>
      </c>
      <c r="J9" s="3581"/>
      <c r="K9" s="3581"/>
      <c r="L9" s="1518"/>
      <c r="M9" s="1518"/>
      <c r="N9" s="1518"/>
      <c r="O9" s="1523"/>
      <c r="P9" s="1518"/>
    </row>
    <row r="10" spans="1:23" ht="13">
      <c r="C10" s="1526" t="s">
        <v>121</v>
      </c>
      <c r="D10" s="1525"/>
      <c r="E10" s="3575"/>
      <c r="F10" s="3576"/>
      <c r="G10" s="3577"/>
      <c r="H10" s="1518"/>
      <c r="I10" s="3578"/>
      <c r="J10" s="3579"/>
      <c r="K10" s="3579"/>
      <c r="L10" s="1518"/>
      <c r="M10" s="1526" t="s">
        <v>121</v>
      </c>
      <c r="N10" s="1518"/>
      <c r="O10" s="1527"/>
      <c r="P10" s="1518"/>
      <c r="Q10" s="1524" t="s">
        <v>925</v>
      </c>
      <c r="R10" s="1524"/>
      <c r="S10" s="1524"/>
    </row>
    <row r="11" spans="1:23" ht="13">
      <c r="C11" s="1526" t="s">
        <v>393</v>
      </c>
      <c r="D11" s="1525"/>
      <c r="E11" s="3587" t="s">
        <v>7</v>
      </c>
      <c r="F11" s="1525"/>
      <c r="G11" s="1528" t="s">
        <v>1549</v>
      </c>
      <c r="H11" s="1518"/>
      <c r="I11" s="1525" t="s">
        <v>394</v>
      </c>
      <c r="J11" s="1520" t="s">
        <v>15</v>
      </c>
      <c r="K11" s="1525" t="str">
        <f>G11</f>
        <v>7 MONTHS ENDED</v>
      </c>
      <c r="L11" s="1518"/>
      <c r="M11" s="1526" t="s">
        <v>393</v>
      </c>
      <c r="N11" s="1518"/>
      <c r="O11" s="1527"/>
      <c r="P11" s="1518"/>
      <c r="Q11" s="1525" t="s">
        <v>394</v>
      </c>
      <c r="R11" s="1520" t="s">
        <v>15</v>
      </c>
      <c r="S11" s="1525" t="str">
        <f>K11</f>
        <v>7 MONTHS ENDED</v>
      </c>
    </row>
    <row r="12" spans="1:23" ht="13">
      <c r="A12" s="1590" t="s">
        <v>395</v>
      </c>
      <c r="C12" s="3528" t="s">
        <v>1471</v>
      </c>
      <c r="D12" s="2156"/>
      <c r="E12" s="3588" t="s">
        <v>144</v>
      </c>
      <c r="F12" s="2156"/>
      <c r="G12" s="1591" t="s">
        <v>1548</v>
      </c>
      <c r="H12" s="1518"/>
      <c r="I12" s="1591" t="str">
        <f>E12</f>
        <v>OCTOBER</v>
      </c>
      <c r="J12" s="1518"/>
      <c r="K12" s="1519" t="str">
        <f>G12</f>
        <v>OCTOBER 31, 2020</v>
      </c>
      <c r="L12" s="1518"/>
      <c r="M12" s="1519" t="str">
        <f>K12</f>
        <v>OCTOBER 31, 2020</v>
      </c>
      <c r="N12" s="1518"/>
      <c r="O12" s="1527"/>
      <c r="P12" s="1518"/>
      <c r="Q12" s="1522" t="str">
        <f>I12</f>
        <v>OCTOBER</v>
      </c>
      <c r="R12" s="1518"/>
      <c r="S12" s="1519" t="str">
        <f>M12</f>
        <v>OCTOBER 31, 2020</v>
      </c>
    </row>
    <row r="13" spans="1:23">
      <c r="K13" s="1547"/>
      <c r="O13" s="1592"/>
    </row>
    <row r="14" spans="1:23" ht="13">
      <c r="A14" s="625" t="s">
        <v>396</v>
      </c>
      <c r="K14" s="1547"/>
      <c r="O14" s="1592"/>
      <c r="Q14" s="624"/>
    </row>
    <row r="15" spans="1:23" ht="12" customHeight="1">
      <c r="A15" s="625"/>
      <c r="K15" s="1547"/>
      <c r="M15" s="802" t="s">
        <v>15</v>
      </c>
      <c r="O15" s="1592"/>
      <c r="Q15" s="624"/>
    </row>
    <row r="16" spans="1:23">
      <c r="A16" s="623" t="s">
        <v>974</v>
      </c>
      <c r="B16" s="624"/>
      <c r="C16" s="3521">
        <v>11445463</v>
      </c>
      <c r="D16" s="1546"/>
      <c r="E16" s="3521">
        <v>0</v>
      </c>
      <c r="F16" s="1546"/>
      <c r="G16" s="3521">
        <v>0</v>
      </c>
      <c r="H16" s="3521"/>
      <c r="I16" s="3521">
        <v>0</v>
      </c>
      <c r="J16" s="1546"/>
      <c r="K16" s="3521">
        <v>720219</v>
      </c>
      <c r="L16" s="1546"/>
      <c r="M16" s="3521">
        <f>ROUND(SUM(C16)-SUM(K16)+SUM(G16),0)</f>
        <v>10725244</v>
      </c>
      <c r="N16" s="638"/>
      <c r="O16" s="1593"/>
      <c r="P16" s="624"/>
      <c r="Q16" s="3521">
        <v>82145</v>
      </c>
      <c r="R16" s="3521"/>
      <c r="S16" s="3521">
        <v>265099.98</v>
      </c>
      <c r="T16" s="627"/>
      <c r="U16" s="1546"/>
      <c r="V16" s="2150"/>
      <c r="W16" s="720"/>
    </row>
    <row r="17" spans="1:23">
      <c r="C17" s="803"/>
      <c r="D17" s="718"/>
      <c r="E17" s="629"/>
      <c r="F17" s="718"/>
      <c r="G17" s="803"/>
      <c r="H17" s="638"/>
      <c r="I17" s="629"/>
      <c r="J17" s="638"/>
      <c r="K17" s="1547"/>
      <c r="L17" s="638"/>
      <c r="M17" s="803"/>
      <c r="N17" s="638"/>
      <c r="O17" s="1593"/>
      <c r="P17" s="638"/>
      <c r="Q17" s="629"/>
      <c r="R17" s="638"/>
      <c r="S17" s="1547"/>
      <c r="U17" s="629"/>
      <c r="V17" s="719"/>
      <c r="W17" s="720"/>
    </row>
    <row r="18" spans="1:23">
      <c r="A18" s="623" t="s">
        <v>397</v>
      </c>
      <c r="C18" s="803"/>
      <c r="D18" s="718"/>
      <c r="E18" s="624"/>
      <c r="F18" s="718"/>
      <c r="G18" s="803"/>
      <c r="H18" s="638"/>
      <c r="J18" s="624"/>
      <c r="K18" s="1547"/>
      <c r="L18" s="638"/>
      <c r="M18" s="803"/>
      <c r="N18" s="638"/>
      <c r="O18" s="1593"/>
      <c r="P18" s="638"/>
      <c r="Q18" s="624"/>
      <c r="R18" s="624"/>
      <c r="S18" s="1547"/>
      <c r="U18" s="624"/>
      <c r="V18" s="719"/>
      <c r="W18" s="627"/>
    </row>
    <row r="19" spans="1:23" ht="12" customHeight="1">
      <c r="A19" s="623" t="s">
        <v>975</v>
      </c>
      <c r="C19" s="3523">
        <v>1795354</v>
      </c>
      <c r="D19" s="1548"/>
      <c r="E19" s="3523">
        <v>0</v>
      </c>
      <c r="F19" s="1548"/>
      <c r="G19" s="3523">
        <v>0</v>
      </c>
      <c r="H19" s="3523"/>
      <c r="I19" s="3523">
        <v>0</v>
      </c>
      <c r="J19" s="1548"/>
      <c r="K19" s="3523">
        <v>0</v>
      </c>
      <c r="L19" s="1548" t="s">
        <v>15</v>
      </c>
      <c r="M19" s="3523">
        <f>ROUND(SUM(C19)-SUM(K19)+SUM(G19),0)</f>
        <v>1795354</v>
      </c>
      <c r="N19" s="638"/>
      <c r="O19" s="1593"/>
      <c r="P19" s="638" t="s">
        <v>15</v>
      </c>
      <c r="Q19" s="3523">
        <v>0</v>
      </c>
      <c r="R19" s="3523"/>
      <c r="S19" s="3523">
        <v>25936.35</v>
      </c>
      <c r="T19" s="627"/>
      <c r="U19" s="803"/>
      <c r="V19" s="719"/>
      <c r="W19" s="720"/>
    </row>
    <row r="20" spans="1:23">
      <c r="A20" s="623" t="s">
        <v>398</v>
      </c>
      <c r="C20" s="3523">
        <v>0</v>
      </c>
      <c r="D20" s="1548"/>
      <c r="E20" s="3523">
        <v>0</v>
      </c>
      <c r="F20" s="1548"/>
      <c r="G20" s="3523">
        <v>0</v>
      </c>
      <c r="H20" s="3523"/>
      <c r="I20" s="3523">
        <v>0</v>
      </c>
      <c r="J20" s="1548"/>
      <c r="K20" s="3523">
        <v>0</v>
      </c>
      <c r="L20" s="1548"/>
      <c r="M20" s="3523">
        <f>ROUND(SUM(C20)-SUM(K20)+SUM(G20),2)</f>
        <v>0</v>
      </c>
      <c r="N20" s="638"/>
      <c r="O20" s="1593"/>
      <c r="P20" s="638"/>
      <c r="Q20" s="3523">
        <v>0</v>
      </c>
      <c r="R20" s="3523"/>
      <c r="S20" s="3523">
        <v>0</v>
      </c>
      <c r="T20" s="627"/>
      <c r="U20" s="803"/>
      <c r="V20" s="719"/>
      <c r="W20" s="720"/>
    </row>
    <row r="21" spans="1:23">
      <c r="A21" s="623" t="s">
        <v>1290</v>
      </c>
      <c r="C21" s="3523">
        <v>298595491</v>
      </c>
      <c r="D21" s="1548"/>
      <c r="E21" s="3523">
        <v>0</v>
      </c>
      <c r="F21" s="1548"/>
      <c r="G21" s="3523">
        <v>0</v>
      </c>
      <c r="H21" s="3523"/>
      <c r="I21" s="3523">
        <v>0</v>
      </c>
      <c r="J21" s="1548"/>
      <c r="K21" s="3523">
        <v>10184660</v>
      </c>
      <c r="L21" s="1548"/>
      <c r="M21" s="3523">
        <f>ROUND(SUM(C21)-SUM(K21)+SUM(G21),0)</f>
        <v>288410831</v>
      </c>
      <c r="N21" s="638"/>
      <c r="O21" s="1593"/>
      <c r="P21" s="638"/>
      <c r="Q21" s="3523">
        <v>1133273</v>
      </c>
      <c r="R21" s="3523"/>
      <c r="S21" s="3523">
        <v>6522249.79</v>
      </c>
      <c r="T21" s="627"/>
      <c r="U21" s="803"/>
      <c r="V21" s="719"/>
      <c r="W21" s="720"/>
    </row>
    <row r="22" spans="1:23">
      <c r="A22" s="623" t="s">
        <v>399</v>
      </c>
      <c r="C22" s="3523">
        <v>16287590</v>
      </c>
      <c r="D22" s="1548"/>
      <c r="E22" s="3523">
        <v>0</v>
      </c>
      <c r="F22" s="1548"/>
      <c r="G22" s="3523">
        <v>0</v>
      </c>
      <c r="H22" s="3523"/>
      <c r="I22" s="3523">
        <v>0</v>
      </c>
      <c r="J22" s="1548"/>
      <c r="K22" s="3523">
        <v>1659267</v>
      </c>
      <c r="L22" s="1548"/>
      <c r="M22" s="3523">
        <f>ROUND(SUM(C22)-SUM(K22)+SUM(G22),0)</f>
        <v>14628323</v>
      </c>
      <c r="N22" s="638"/>
      <c r="O22" s="1593"/>
      <c r="P22" s="638"/>
      <c r="Q22" s="3523">
        <v>23580</v>
      </c>
      <c r="R22" s="3523"/>
      <c r="S22" s="3523">
        <v>356228.83</v>
      </c>
      <c r="T22" s="627"/>
      <c r="U22" s="803"/>
      <c r="V22" s="719"/>
      <c r="W22" s="720"/>
    </row>
    <row r="23" spans="1:23">
      <c r="A23" s="623" t="s">
        <v>976</v>
      </c>
      <c r="C23" s="3523">
        <v>40070447</v>
      </c>
      <c r="D23" s="1548"/>
      <c r="E23" s="3523">
        <v>0</v>
      </c>
      <c r="F23" s="1548"/>
      <c r="G23" s="3523">
        <v>0</v>
      </c>
      <c r="H23" s="3523"/>
      <c r="I23" s="3523">
        <v>0</v>
      </c>
      <c r="J23" s="1548"/>
      <c r="K23" s="3523">
        <v>160000</v>
      </c>
      <c r="L23" s="1548"/>
      <c r="M23" s="3523">
        <f>ROUND(SUM(C23)-SUM(K23)+SUM(G23),0)</f>
        <v>39910447</v>
      </c>
      <c r="N23" s="638"/>
      <c r="O23" s="1593"/>
      <c r="P23" s="638"/>
      <c r="Q23" s="3523">
        <v>8375</v>
      </c>
      <c r="R23" s="3523"/>
      <c r="S23" s="3523">
        <v>750961.57</v>
      </c>
      <c r="T23" s="627"/>
      <c r="U23" s="803"/>
      <c r="V23" s="719"/>
      <c r="W23" s="720"/>
    </row>
    <row r="24" spans="1:23">
      <c r="C24" s="3523"/>
      <c r="D24" s="803"/>
      <c r="E24" s="3522"/>
      <c r="F24" s="803"/>
      <c r="G24" s="3522"/>
      <c r="H24" s="3522"/>
      <c r="I24" s="3522"/>
      <c r="J24" s="803"/>
      <c r="K24" s="3522"/>
      <c r="L24" s="803"/>
      <c r="M24" s="3522"/>
      <c r="N24" s="638"/>
      <c r="O24" s="1593"/>
      <c r="P24" s="638"/>
      <c r="Q24" s="3523"/>
      <c r="R24" s="3523"/>
      <c r="S24" s="3523"/>
      <c r="U24" s="629"/>
      <c r="V24" s="719"/>
      <c r="W24" s="720"/>
    </row>
    <row r="25" spans="1:23">
      <c r="A25" s="623" t="s">
        <v>881</v>
      </c>
      <c r="C25" s="3523"/>
      <c r="D25" s="803"/>
      <c r="E25" s="3522"/>
      <c r="F25" s="803"/>
      <c r="G25" s="3522"/>
      <c r="H25" s="3522"/>
      <c r="I25" s="3522"/>
      <c r="J25" s="803"/>
      <c r="K25" s="3522"/>
      <c r="L25" s="803"/>
      <c r="M25" s="3522"/>
      <c r="N25" s="638"/>
      <c r="O25" s="1593"/>
      <c r="P25" s="638"/>
      <c r="Q25" s="3523"/>
      <c r="R25" s="3523"/>
      <c r="S25" s="3523"/>
      <c r="U25" s="629"/>
      <c r="V25" s="719"/>
      <c r="W25" s="627"/>
    </row>
    <row r="26" spans="1:23">
      <c r="A26" s="623" t="s">
        <v>992</v>
      </c>
      <c r="C26" s="3523">
        <v>1198754</v>
      </c>
      <c r="D26" s="1548"/>
      <c r="E26" s="3523">
        <v>0</v>
      </c>
      <c r="F26" s="1548"/>
      <c r="G26" s="3523">
        <v>0</v>
      </c>
      <c r="H26" s="3523"/>
      <c r="I26" s="3523">
        <v>0</v>
      </c>
      <c r="J26" s="1548"/>
      <c r="K26" s="3523">
        <v>176298</v>
      </c>
      <c r="L26" s="1548"/>
      <c r="M26" s="3523">
        <f>ROUND(SUM(C26)-SUM(K26)+SUM(G26),0)</f>
        <v>1022456</v>
      </c>
      <c r="N26" s="638"/>
      <c r="O26" s="1593"/>
      <c r="P26" s="638"/>
      <c r="Q26" s="3523">
        <v>22550</v>
      </c>
      <c r="R26" s="3523"/>
      <c r="S26" s="3523">
        <v>48907.66</v>
      </c>
      <c r="T26" s="627"/>
      <c r="U26" s="803"/>
      <c r="V26" s="719"/>
      <c r="W26" s="720"/>
    </row>
    <row r="27" spans="1:23">
      <c r="C27" s="3523"/>
      <c r="D27" s="803" t="s">
        <v>15</v>
      </c>
      <c r="E27" s="3522"/>
      <c r="F27" s="803"/>
      <c r="G27" s="3522"/>
      <c r="H27" s="3522"/>
      <c r="I27" s="3522"/>
      <c r="J27" s="803"/>
      <c r="K27" s="3522"/>
      <c r="L27" s="803"/>
      <c r="M27" s="3522"/>
      <c r="N27" s="638"/>
      <c r="O27" s="1593"/>
      <c r="P27" s="638"/>
      <c r="Q27" s="3523"/>
      <c r="R27" s="3523"/>
      <c r="S27" s="3523"/>
      <c r="U27" s="629"/>
      <c r="V27" s="719"/>
      <c r="W27" s="720"/>
    </row>
    <row r="28" spans="1:23">
      <c r="A28" s="623" t="s">
        <v>1239</v>
      </c>
      <c r="C28" s="3523"/>
      <c r="D28" s="803" t="s">
        <v>15</v>
      </c>
      <c r="E28" s="3522"/>
      <c r="F28" s="803"/>
      <c r="G28" s="3522"/>
      <c r="H28" s="3522"/>
      <c r="I28" s="3522"/>
      <c r="J28" s="803"/>
      <c r="K28" s="3522"/>
      <c r="L28" s="803"/>
      <c r="M28" s="3522"/>
      <c r="N28" s="638"/>
      <c r="O28" s="1593"/>
      <c r="P28" s="638"/>
      <c r="Q28" s="3523"/>
      <c r="R28" s="3523"/>
      <c r="S28" s="3523"/>
      <c r="U28" s="629"/>
      <c r="V28" s="719"/>
    </row>
    <row r="29" spans="1:23">
      <c r="A29" s="623" t="s">
        <v>400</v>
      </c>
      <c r="C29" s="3523">
        <v>3184</v>
      </c>
      <c r="D29" s="1548"/>
      <c r="E29" s="3523">
        <v>0</v>
      </c>
      <c r="F29" s="1548"/>
      <c r="G29" s="3523">
        <v>0</v>
      </c>
      <c r="H29" s="3523"/>
      <c r="I29" s="3523">
        <v>0</v>
      </c>
      <c r="J29" s="1548"/>
      <c r="K29" s="3523">
        <v>0</v>
      </c>
      <c r="L29" s="1548"/>
      <c r="M29" s="3523">
        <f>ROUND(SUM(C29)-SUM(K29)+SUM(G29),0)</f>
        <v>3184</v>
      </c>
      <c r="N29" s="638"/>
      <c r="O29" s="1593"/>
      <c r="P29" s="638"/>
      <c r="Q29" s="3523">
        <v>0</v>
      </c>
      <c r="R29" s="3523"/>
      <c r="S29" s="3523">
        <v>64.48</v>
      </c>
      <c r="T29" s="627"/>
      <c r="U29" s="803"/>
      <c r="V29" s="719"/>
      <c r="W29" s="720"/>
    </row>
    <row r="30" spans="1:23">
      <c r="A30" s="623" t="s">
        <v>977</v>
      </c>
      <c r="C30" s="3523">
        <v>4939861</v>
      </c>
      <c r="D30" s="1548"/>
      <c r="E30" s="3523">
        <v>0</v>
      </c>
      <c r="F30" s="1548"/>
      <c r="G30" s="3523">
        <v>0</v>
      </c>
      <c r="H30" s="3523"/>
      <c r="I30" s="3523">
        <v>0</v>
      </c>
      <c r="J30" s="1548"/>
      <c r="K30" s="3523">
        <v>25000</v>
      </c>
      <c r="L30" s="1548"/>
      <c r="M30" s="3523">
        <f>ROUND(SUM(C30)-SUM(K30)+SUM(G30),0)</f>
        <v>4914861</v>
      </c>
      <c r="N30" s="638"/>
      <c r="O30" s="1593"/>
      <c r="P30" s="638"/>
      <c r="Q30" s="3523">
        <v>1250</v>
      </c>
      <c r="R30" s="3523"/>
      <c r="S30" s="3523">
        <v>121640.57</v>
      </c>
      <c r="T30" s="627"/>
      <c r="U30" s="803"/>
      <c r="V30" s="719"/>
      <c r="W30" s="720"/>
    </row>
    <row r="31" spans="1:23">
      <c r="A31" s="623" t="s">
        <v>401</v>
      </c>
      <c r="C31" s="3523">
        <v>6370803</v>
      </c>
      <c r="D31" s="1548"/>
      <c r="E31" s="3523">
        <v>0</v>
      </c>
      <c r="F31" s="1548"/>
      <c r="G31" s="3523">
        <v>0</v>
      </c>
      <c r="H31" s="3523"/>
      <c r="I31" s="3523">
        <v>0</v>
      </c>
      <c r="J31" s="1548"/>
      <c r="K31" s="3523">
        <v>715000</v>
      </c>
      <c r="L31" s="1548"/>
      <c r="M31" s="3523">
        <f>ROUND(SUM(C31)-SUM(K31)+SUM(G31),0)</f>
        <v>5655803</v>
      </c>
      <c r="N31" s="638"/>
      <c r="O31" s="1593"/>
      <c r="P31" s="638"/>
      <c r="Q31" s="3523">
        <v>42875</v>
      </c>
      <c r="R31" s="3523"/>
      <c r="S31" s="3523">
        <v>168873.85</v>
      </c>
      <c r="T31" s="627"/>
      <c r="U31" s="803"/>
      <c r="V31" s="719"/>
      <c r="W31" s="720"/>
    </row>
    <row r="32" spans="1:23">
      <c r="C32" s="3523"/>
      <c r="D32" s="803"/>
      <c r="E32" s="3522"/>
      <c r="F32" s="803"/>
      <c r="G32" s="3522"/>
      <c r="H32" s="3522"/>
      <c r="I32" s="3522"/>
      <c r="J32" s="803"/>
      <c r="K32" s="3522"/>
      <c r="L32" s="803"/>
      <c r="M32" s="3522"/>
      <c r="N32" s="638"/>
      <c r="O32" s="1593"/>
      <c r="P32" s="638"/>
      <c r="Q32" s="3523"/>
      <c r="R32" s="3523"/>
      <c r="S32" s="3523"/>
      <c r="U32" s="629"/>
      <c r="V32" s="719"/>
      <c r="W32" s="720"/>
    </row>
    <row r="33" spans="1:24">
      <c r="A33" s="623" t="s">
        <v>402</v>
      </c>
      <c r="C33" s="3523"/>
      <c r="D33" s="803"/>
      <c r="E33" s="3522"/>
      <c r="F33" s="803"/>
      <c r="G33" s="3522"/>
      <c r="H33" s="3522"/>
      <c r="I33" s="3522"/>
      <c r="J33" s="803"/>
      <c r="K33" s="3522"/>
      <c r="L33" s="803"/>
      <c r="M33" s="3522"/>
      <c r="N33" s="638"/>
      <c r="O33" s="1593"/>
      <c r="P33" s="638"/>
      <c r="Q33" s="3523"/>
      <c r="R33" s="3523"/>
      <c r="S33" s="3523"/>
      <c r="U33" s="629"/>
      <c r="V33" s="719"/>
      <c r="W33" s="627"/>
    </row>
    <row r="34" spans="1:24">
      <c r="A34" s="623" t="s">
        <v>1240</v>
      </c>
      <c r="C34" s="3523">
        <v>5309545</v>
      </c>
      <c r="D34" s="1548"/>
      <c r="E34" s="3523">
        <v>0</v>
      </c>
      <c r="F34" s="1548"/>
      <c r="G34" s="3523">
        <v>0</v>
      </c>
      <c r="H34" s="3523"/>
      <c r="I34" s="3523">
        <v>0</v>
      </c>
      <c r="J34" s="1548"/>
      <c r="K34" s="3523">
        <v>486025</v>
      </c>
      <c r="L34" s="1548"/>
      <c r="M34" s="3523">
        <f>ROUND(SUM(C34)-SUM(K34)+SUM(G34),0)</f>
        <v>4823520</v>
      </c>
      <c r="N34" s="638"/>
      <c r="O34" s="1593"/>
      <c r="P34" s="638"/>
      <c r="Q34" s="3523">
        <v>11571</v>
      </c>
      <c r="R34" s="3523"/>
      <c r="S34" s="3523">
        <v>126240.66</v>
      </c>
      <c r="T34" s="627"/>
      <c r="U34" s="803"/>
      <c r="V34" s="719"/>
      <c r="W34" s="720"/>
    </row>
    <row r="35" spans="1:24">
      <c r="A35" s="623" t="s">
        <v>403</v>
      </c>
      <c r="C35" s="3523">
        <v>91992747</v>
      </c>
      <c r="D35" s="1548"/>
      <c r="E35" s="3523">
        <v>0</v>
      </c>
      <c r="F35" s="1548"/>
      <c r="G35" s="3523">
        <v>0</v>
      </c>
      <c r="H35" s="3523"/>
      <c r="I35" s="3523">
        <v>0</v>
      </c>
      <c r="J35" s="1548"/>
      <c r="K35" s="3523">
        <v>7260923</v>
      </c>
      <c r="L35" s="1548"/>
      <c r="M35" s="3523">
        <f>ROUND(SUM(C35)-SUM(K35)+SUM(G35),0)</f>
        <v>84731824</v>
      </c>
      <c r="N35" s="638"/>
      <c r="O35" s="1593"/>
      <c r="P35" s="638"/>
      <c r="Q35" s="3523">
        <v>666496</v>
      </c>
      <c r="R35" s="3523"/>
      <c r="S35" s="3523">
        <v>2401672.02</v>
      </c>
      <c r="T35" s="627"/>
      <c r="U35" s="803"/>
      <c r="V35" s="719"/>
      <c r="W35" s="720"/>
      <c r="X35" s="627"/>
    </row>
    <row r="36" spans="1:24">
      <c r="C36" s="3523"/>
      <c r="D36" s="803"/>
      <c r="E36" s="3522"/>
      <c r="F36" s="803"/>
      <c r="G36" s="3522"/>
      <c r="H36" s="3522"/>
      <c r="I36" s="3522"/>
      <c r="J36" s="803"/>
      <c r="K36" s="3522"/>
      <c r="L36" s="803"/>
      <c r="M36" s="3522"/>
      <c r="N36" s="638"/>
      <c r="O36" s="1593"/>
      <c r="P36" s="638"/>
      <c r="Q36" s="3523"/>
      <c r="R36" s="3523"/>
      <c r="S36" s="3523"/>
      <c r="U36" s="629"/>
      <c r="V36" s="719"/>
      <c r="W36" s="720"/>
    </row>
    <row r="37" spans="1:24">
      <c r="A37" s="623" t="s">
        <v>404</v>
      </c>
      <c r="C37" s="3523"/>
      <c r="D37" s="803"/>
      <c r="E37" s="3522"/>
      <c r="F37" s="803"/>
      <c r="G37" s="3522"/>
      <c r="H37" s="3522"/>
      <c r="I37" s="3522"/>
      <c r="J37" s="803"/>
      <c r="K37" s="3522"/>
      <c r="L37" s="803"/>
      <c r="M37" s="3522"/>
      <c r="N37" s="638"/>
      <c r="O37" s="1593"/>
      <c r="P37" s="638"/>
      <c r="Q37" s="3523"/>
      <c r="R37" s="3523"/>
      <c r="S37" s="3523"/>
      <c r="U37" s="1835"/>
      <c r="V37" s="719"/>
      <c r="W37" s="627"/>
    </row>
    <row r="38" spans="1:24">
      <c r="A38" s="623" t="s">
        <v>1291</v>
      </c>
      <c r="C38" s="3523">
        <v>5840000</v>
      </c>
      <c r="D38" s="1548"/>
      <c r="E38" s="3523">
        <v>0</v>
      </c>
      <c r="F38" s="1548"/>
      <c r="G38" s="3523">
        <v>0</v>
      </c>
      <c r="H38" s="3523"/>
      <c r="I38" s="3523">
        <v>1060000</v>
      </c>
      <c r="J38" s="1548"/>
      <c r="K38" s="3523">
        <v>1060000</v>
      </c>
      <c r="L38" s="1548"/>
      <c r="M38" s="3523">
        <f>ROUND(SUM(C38)-SUM(K38)+SUM(G38),0)</f>
        <v>4780000</v>
      </c>
      <c r="N38" s="638"/>
      <c r="O38" s="1593"/>
      <c r="P38" s="638"/>
      <c r="Q38" s="3523">
        <v>87600</v>
      </c>
      <c r="R38" s="3523"/>
      <c r="S38" s="3523">
        <v>87600</v>
      </c>
      <c r="T38" s="627"/>
      <c r="U38" s="803"/>
      <c r="V38" s="719"/>
      <c r="W38" s="720"/>
    </row>
    <row r="39" spans="1:24">
      <c r="A39" s="623" t="s">
        <v>978</v>
      </c>
      <c r="C39" s="3523">
        <v>4035000</v>
      </c>
      <c r="D39" s="1548"/>
      <c r="E39" s="3523">
        <v>0</v>
      </c>
      <c r="F39" s="1548"/>
      <c r="G39" s="3523">
        <v>0</v>
      </c>
      <c r="H39" s="3523"/>
      <c r="I39" s="3523">
        <v>0</v>
      </c>
      <c r="J39" s="1548"/>
      <c r="K39" s="3523">
        <v>2240000</v>
      </c>
      <c r="L39" s="1548"/>
      <c r="M39" s="3523">
        <f>ROUND(SUM(C39)-SUM(K39)+SUM(G39),0)</f>
        <v>1795000</v>
      </c>
      <c r="N39" s="638"/>
      <c r="O39" s="1593"/>
      <c r="P39" s="638"/>
      <c r="Q39" s="3523">
        <v>0</v>
      </c>
      <c r="R39" s="3523"/>
      <c r="S39" s="3523">
        <v>80717.5</v>
      </c>
      <c r="T39" s="627"/>
      <c r="U39" s="803"/>
      <c r="V39" s="719"/>
      <c r="W39" s="720"/>
    </row>
    <row r="40" spans="1:24">
      <c r="C40" s="3523"/>
      <c r="D40" s="803"/>
      <c r="E40" s="3522"/>
      <c r="F40" s="803"/>
      <c r="G40" s="3522"/>
      <c r="H40" s="3522"/>
      <c r="I40" s="3522"/>
      <c r="J40" s="803"/>
      <c r="K40" s="3522"/>
      <c r="L40" s="803"/>
      <c r="M40" s="3522"/>
      <c r="N40" s="638"/>
      <c r="O40" s="1593"/>
      <c r="P40" s="638"/>
      <c r="Q40" s="3523"/>
      <c r="R40" s="3523"/>
      <c r="S40" s="3523"/>
      <c r="U40" s="1835"/>
      <c r="V40" s="719"/>
      <c r="W40" s="720"/>
    </row>
    <row r="41" spans="1:24">
      <c r="A41" s="623" t="s">
        <v>979</v>
      </c>
      <c r="C41" s="3523">
        <v>0</v>
      </c>
      <c r="D41" s="1548"/>
      <c r="E41" s="3523">
        <v>0</v>
      </c>
      <c r="F41" s="1548"/>
      <c r="G41" s="3523">
        <v>0</v>
      </c>
      <c r="H41" s="3523"/>
      <c r="I41" s="3523">
        <v>0</v>
      </c>
      <c r="J41" s="1548"/>
      <c r="K41" s="3523">
        <v>0</v>
      </c>
      <c r="L41" s="1548"/>
      <c r="M41" s="3523">
        <f>ROUND(SUM(C41)-SUM(K41)+SUM(G41),2)</f>
        <v>0</v>
      </c>
      <c r="N41" s="638"/>
      <c r="O41" s="1593"/>
      <c r="P41" s="638"/>
      <c r="Q41" s="3523">
        <v>0</v>
      </c>
      <c r="R41" s="3523"/>
      <c r="S41" s="3523">
        <v>0</v>
      </c>
      <c r="T41" s="627"/>
      <c r="U41" s="803"/>
      <c r="V41" s="719"/>
      <c r="W41" s="720"/>
    </row>
    <row r="42" spans="1:24">
      <c r="C42" s="3523"/>
      <c r="D42" s="1548"/>
      <c r="E42" s="3523"/>
      <c r="F42" s="1548"/>
      <c r="G42" s="3523"/>
      <c r="H42" s="3523"/>
      <c r="I42" s="3523"/>
      <c r="J42" s="1548"/>
      <c r="K42" s="3523"/>
      <c r="L42" s="1548"/>
      <c r="M42" s="3523"/>
      <c r="N42" s="638"/>
      <c r="O42" s="1593"/>
      <c r="P42" s="638"/>
      <c r="Q42" s="3523"/>
      <c r="R42" s="3523"/>
      <c r="S42" s="3523"/>
      <c r="U42" s="1835"/>
      <c r="V42" s="719"/>
      <c r="W42" s="720"/>
    </row>
    <row r="43" spans="1:24">
      <c r="A43" s="623" t="s">
        <v>405</v>
      </c>
      <c r="C43" s="3523">
        <v>15498329</v>
      </c>
      <c r="D43" s="1548"/>
      <c r="E43" s="3523">
        <v>0</v>
      </c>
      <c r="F43" s="1548"/>
      <c r="G43" s="3523">
        <v>0</v>
      </c>
      <c r="H43" s="3523"/>
      <c r="I43" s="3523">
        <v>0</v>
      </c>
      <c r="J43" s="1548"/>
      <c r="K43" s="3523">
        <v>1846959</v>
      </c>
      <c r="L43" s="1548"/>
      <c r="M43" s="3523">
        <f>ROUND(SUM(C43)-SUM(K43)+SUM(G43),0)</f>
        <v>13651370</v>
      </c>
      <c r="N43" s="638"/>
      <c r="O43" s="1593"/>
      <c r="P43" s="638"/>
      <c r="Q43" s="3523">
        <v>107528</v>
      </c>
      <c r="R43" s="3523"/>
      <c r="S43" s="3523">
        <v>389780.59</v>
      </c>
      <c r="T43" s="627"/>
      <c r="U43" s="803"/>
      <c r="V43" s="719"/>
      <c r="W43" s="720"/>
    </row>
    <row r="44" spans="1:24">
      <c r="C44" s="3523"/>
      <c r="D44" s="1548"/>
      <c r="E44" s="3523"/>
      <c r="F44" s="1548"/>
      <c r="G44" s="3523"/>
      <c r="H44" s="3523"/>
      <c r="I44" s="3523"/>
      <c r="J44" s="1548"/>
      <c r="K44" s="3523"/>
      <c r="L44" s="1548"/>
      <c r="M44" s="3523"/>
      <c r="N44" s="638"/>
      <c r="O44" s="1593"/>
      <c r="P44" s="638"/>
      <c r="Q44" s="3523"/>
      <c r="R44" s="3523"/>
      <c r="S44" s="3523"/>
      <c r="U44" s="773"/>
      <c r="V44" s="719"/>
      <c r="W44" s="720"/>
    </row>
    <row r="45" spans="1:24">
      <c r="A45" s="623" t="s">
        <v>406</v>
      </c>
      <c r="C45" s="3523">
        <v>0</v>
      </c>
      <c r="D45" s="1548"/>
      <c r="E45" s="3523">
        <v>0</v>
      </c>
      <c r="F45" s="1548"/>
      <c r="G45" s="3523">
        <v>0</v>
      </c>
      <c r="H45" s="3523"/>
      <c r="I45" s="3523">
        <v>0</v>
      </c>
      <c r="J45" s="1548"/>
      <c r="K45" s="3523">
        <v>0</v>
      </c>
      <c r="L45" s="1548"/>
      <c r="M45" s="3523">
        <f>ROUND(SUM(C45)-SUM(K45)+SUM(G45),0)</f>
        <v>0</v>
      </c>
      <c r="N45" s="638"/>
      <c r="O45" s="1593"/>
      <c r="P45" s="638"/>
      <c r="Q45" s="3523">
        <v>0</v>
      </c>
      <c r="R45" s="3523"/>
      <c r="S45" s="3523">
        <v>0</v>
      </c>
      <c r="T45" s="627"/>
      <c r="U45" s="803"/>
      <c r="V45" s="719"/>
      <c r="W45" s="720"/>
    </row>
    <row r="46" spans="1:24">
      <c r="C46" s="3523"/>
      <c r="D46" s="1548"/>
      <c r="E46" s="3523"/>
      <c r="F46" s="1548"/>
      <c r="G46" s="3523"/>
      <c r="H46" s="3523"/>
      <c r="I46" s="3523"/>
      <c r="J46" s="1548"/>
      <c r="K46" s="3523"/>
      <c r="L46" s="1548"/>
      <c r="M46" s="3523"/>
      <c r="N46" s="638"/>
      <c r="O46" s="1593"/>
      <c r="P46" s="638"/>
      <c r="Q46" s="3523"/>
      <c r="R46" s="3523"/>
      <c r="S46" s="3523"/>
      <c r="U46" s="629"/>
      <c r="V46" s="719"/>
      <c r="W46" s="720"/>
    </row>
    <row r="47" spans="1:24">
      <c r="A47" s="623" t="s">
        <v>407</v>
      </c>
      <c r="C47" s="3523"/>
      <c r="D47" s="1549"/>
      <c r="E47" s="3524"/>
      <c r="F47" s="1549"/>
      <c r="G47" s="3524"/>
      <c r="H47" s="3524"/>
      <c r="I47" s="3524"/>
      <c r="J47" s="1549"/>
      <c r="K47" s="3524"/>
      <c r="L47" s="1549"/>
      <c r="M47" s="3524"/>
      <c r="N47" s="638"/>
      <c r="O47" s="1593"/>
      <c r="P47" s="638"/>
      <c r="Q47" s="3523"/>
      <c r="R47" s="3523"/>
      <c r="S47" s="3523"/>
      <c r="U47" s="1835"/>
      <c r="V47" s="719"/>
      <c r="W47" s="720"/>
    </row>
    <row r="48" spans="1:24">
      <c r="A48" s="623" t="s">
        <v>408</v>
      </c>
      <c r="C48" s="3523">
        <v>600658226</v>
      </c>
      <c r="D48" s="1549"/>
      <c r="E48" s="3524">
        <v>0</v>
      </c>
      <c r="F48" s="1549"/>
      <c r="G48" s="3523">
        <v>0</v>
      </c>
      <c r="H48" s="3524"/>
      <c r="I48" s="3524">
        <v>0</v>
      </c>
      <c r="J48" s="1549"/>
      <c r="K48" s="3524">
        <v>0</v>
      </c>
      <c r="L48" s="1549"/>
      <c r="M48" s="3524">
        <f t="shared" ref="M48:M53" si="0">ROUND(SUM(C48)-SUM(K48)+SUM(G48),0)</f>
        <v>600658226</v>
      </c>
      <c r="N48" s="638"/>
      <c r="O48" s="1593"/>
      <c r="P48" s="638"/>
      <c r="Q48" s="3523">
        <v>0</v>
      </c>
      <c r="R48" s="3523"/>
      <c r="S48" s="3523">
        <v>10411922.32</v>
      </c>
      <c r="T48" s="1594"/>
      <c r="U48" s="803"/>
      <c r="V48" s="719"/>
      <c r="W48" s="720"/>
    </row>
    <row r="49" spans="1:23">
      <c r="A49" s="623" t="s">
        <v>409</v>
      </c>
      <c r="C49" s="3523">
        <v>9419680</v>
      </c>
      <c r="D49" s="1549"/>
      <c r="E49" s="3524">
        <v>0</v>
      </c>
      <c r="F49" s="1549"/>
      <c r="G49" s="3523">
        <v>0</v>
      </c>
      <c r="H49" s="3524"/>
      <c r="I49" s="3524">
        <v>0</v>
      </c>
      <c r="J49" s="1549"/>
      <c r="K49" s="3524">
        <v>0</v>
      </c>
      <c r="L49" s="1549"/>
      <c r="M49" s="3524">
        <f t="shared" si="0"/>
        <v>9419680</v>
      </c>
      <c r="N49" s="638"/>
      <c r="O49" s="1593"/>
      <c r="P49" s="638"/>
      <c r="Q49" s="3523">
        <v>0</v>
      </c>
      <c r="R49" s="3523"/>
      <c r="S49" s="3523">
        <v>189324.98</v>
      </c>
      <c r="T49" s="1594"/>
      <c r="U49" s="803"/>
      <c r="V49" s="719"/>
      <c r="W49" s="720"/>
    </row>
    <row r="50" spans="1:23">
      <c r="A50" s="623" t="s">
        <v>410</v>
      </c>
      <c r="C50" s="3523">
        <v>41089448</v>
      </c>
      <c r="D50" s="1549"/>
      <c r="E50" s="3524">
        <v>0</v>
      </c>
      <c r="F50" s="1549"/>
      <c r="G50" s="3523">
        <v>0</v>
      </c>
      <c r="H50" s="3524"/>
      <c r="I50" s="3524">
        <v>0</v>
      </c>
      <c r="J50" s="1549"/>
      <c r="K50" s="3524">
        <v>0</v>
      </c>
      <c r="L50" s="1549"/>
      <c r="M50" s="3524">
        <f t="shared" si="0"/>
        <v>41089448</v>
      </c>
      <c r="N50" s="638"/>
      <c r="O50" s="1593"/>
      <c r="P50" s="638"/>
      <c r="Q50" s="3523">
        <v>0</v>
      </c>
      <c r="R50" s="3523"/>
      <c r="S50" s="3523">
        <v>643951.12</v>
      </c>
      <c r="T50" s="1594"/>
      <c r="U50" s="803"/>
      <c r="V50" s="719"/>
      <c r="W50" s="720"/>
    </row>
    <row r="51" spans="1:23">
      <c r="A51" s="623" t="s">
        <v>411</v>
      </c>
      <c r="C51" s="3523">
        <v>92824245</v>
      </c>
      <c r="D51" s="1549"/>
      <c r="E51" s="3524">
        <v>0</v>
      </c>
      <c r="F51" s="1549"/>
      <c r="G51" s="3523">
        <v>0</v>
      </c>
      <c r="H51" s="3524"/>
      <c r="I51" s="3524">
        <v>0</v>
      </c>
      <c r="J51" s="1549"/>
      <c r="K51" s="3524">
        <v>0</v>
      </c>
      <c r="L51" s="1549"/>
      <c r="M51" s="3524">
        <f t="shared" si="0"/>
        <v>92824245</v>
      </c>
      <c r="N51" s="638"/>
      <c r="O51" s="1593"/>
      <c r="P51" s="638"/>
      <c r="Q51" s="3523">
        <v>0</v>
      </c>
      <c r="R51" s="3523"/>
      <c r="S51" s="3523">
        <v>1413132.94</v>
      </c>
      <c r="T51" s="1594"/>
      <c r="U51" s="803"/>
      <c r="V51" s="719"/>
      <c r="W51" s="720"/>
    </row>
    <row r="52" spans="1:23">
      <c r="A52" s="623" t="s">
        <v>412</v>
      </c>
      <c r="C52" s="3523">
        <v>12168734</v>
      </c>
      <c r="D52" s="1549"/>
      <c r="E52" s="3524">
        <v>0</v>
      </c>
      <c r="F52" s="1549"/>
      <c r="G52" s="3523">
        <v>0</v>
      </c>
      <c r="H52" s="3524"/>
      <c r="I52" s="3524">
        <v>0</v>
      </c>
      <c r="J52" s="1549"/>
      <c r="K52" s="3524">
        <v>0</v>
      </c>
      <c r="L52" s="1549"/>
      <c r="M52" s="3524">
        <f t="shared" si="0"/>
        <v>12168734</v>
      </c>
      <c r="N52" s="638"/>
      <c r="O52" s="1593"/>
      <c r="P52" s="638"/>
      <c r="Q52" s="3523">
        <v>0</v>
      </c>
      <c r="R52" s="3523"/>
      <c r="S52" s="3523">
        <v>286617.40000000002</v>
      </c>
      <c r="T52" s="1594"/>
      <c r="U52" s="803"/>
      <c r="V52" s="719"/>
      <c r="W52" s="720"/>
    </row>
    <row r="53" spans="1:23">
      <c r="A53" s="623" t="s">
        <v>882</v>
      </c>
      <c r="C53" s="3523">
        <v>705163311</v>
      </c>
      <c r="D53" s="1548"/>
      <c r="E53" s="3523">
        <v>0</v>
      </c>
      <c r="F53" s="1548"/>
      <c r="G53" s="3523">
        <v>0</v>
      </c>
      <c r="H53" s="3523"/>
      <c r="I53" s="3523">
        <v>0</v>
      </c>
      <c r="J53" s="1548"/>
      <c r="K53" s="3523">
        <v>0</v>
      </c>
      <c r="L53" s="1548"/>
      <c r="M53" s="3523">
        <f t="shared" si="0"/>
        <v>705163311</v>
      </c>
      <c r="N53" s="638"/>
      <c r="O53" s="1593"/>
      <c r="P53" s="638"/>
      <c r="Q53" s="3523">
        <v>0</v>
      </c>
      <c r="R53" s="3523"/>
      <c r="S53" s="3523">
        <v>12342742.85</v>
      </c>
      <c r="T53" s="1594"/>
      <c r="U53" s="803"/>
      <c r="V53" s="719"/>
      <c r="W53" s="720"/>
    </row>
    <row r="54" spans="1:23">
      <c r="C54" s="3523"/>
      <c r="D54" s="1548"/>
      <c r="E54" s="3523"/>
      <c r="F54" s="1548"/>
      <c r="G54" s="3523"/>
      <c r="H54" s="3523"/>
      <c r="I54" s="3523"/>
      <c r="J54" s="1548"/>
      <c r="K54" s="3523"/>
      <c r="L54" s="1548"/>
      <c r="M54" s="3523"/>
      <c r="N54" s="638"/>
      <c r="O54" s="1593"/>
      <c r="P54" s="638"/>
      <c r="Q54" s="3523"/>
      <c r="R54" s="3523"/>
      <c r="S54" s="3523"/>
      <c r="U54" s="629"/>
      <c r="V54" s="719"/>
      <c r="W54" s="720"/>
    </row>
    <row r="55" spans="1:23">
      <c r="A55" s="623" t="s">
        <v>883</v>
      </c>
      <c r="C55" s="3523"/>
      <c r="D55" s="1548"/>
      <c r="E55" s="3523"/>
      <c r="F55" s="1548"/>
      <c r="G55" s="3523"/>
      <c r="H55" s="3523"/>
      <c r="I55" s="3523"/>
      <c r="J55" s="1548"/>
      <c r="K55" s="3523"/>
      <c r="L55" s="1548"/>
      <c r="M55" s="3523"/>
      <c r="N55" s="638"/>
      <c r="O55" s="1593"/>
      <c r="P55" s="638"/>
      <c r="Q55" s="3523"/>
      <c r="R55" s="3523"/>
      <c r="S55" s="3523"/>
      <c r="U55" s="1835"/>
      <c r="V55" s="719"/>
      <c r="W55" s="627"/>
    </row>
    <row r="56" spans="1:23">
      <c r="A56" s="623" t="s">
        <v>980</v>
      </c>
      <c r="C56" s="3523">
        <v>553992</v>
      </c>
      <c r="D56" s="1548"/>
      <c r="E56" s="3523">
        <v>0</v>
      </c>
      <c r="F56" s="1548"/>
      <c r="G56" s="3523">
        <v>0</v>
      </c>
      <c r="H56" s="3523"/>
      <c r="I56" s="3523">
        <v>0</v>
      </c>
      <c r="J56" s="1548"/>
      <c r="K56" s="3523">
        <v>0</v>
      </c>
      <c r="L56" s="1548"/>
      <c r="M56" s="3523">
        <f>ROUND(SUM(C56)-SUM(K56)+SUM(G56),0)</f>
        <v>553992</v>
      </c>
      <c r="N56" s="638"/>
      <c r="O56" s="1593"/>
      <c r="P56" s="638"/>
      <c r="Q56" s="3523">
        <v>37391</v>
      </c>
      <c r="R56" s="3523"/>
      <c r="S56" s="3523">
        <v>50012.05</v>
      </c>
      <c r="T56" s="627"/>
      <c r="U56" s="803"/>
      <c r="V56" s="719"/>
      <c r="W56" s="720"/>
    </row>
    <row r="57" spans="1:23">
      <c r="A57" s="911" t="s">
        <v>953</v>
      </c>
      <c r="C57" s="3523">
        <v>2042563</v>
      </c>
      <c r="D57" s="1548"/>
      <c r="E57" s="3523">
        <v>0</v>
      </c>
      <c r="F57" s="1548"/>
      <c r="G57" s="3523">
        <v>0</v>
      </c>
      <c r="H57" s="3523"/>
      <c r="I57" s="3523">
        <v>0</v>
      </c>
      <c r="J57" s="1548"/>
      <c r="K57" s="3523">
        <v>479171</v>
      </c>
      <c r="L57" s="1548"/>
      <c r="M57" s="3523">
        <f>ROUND(SUM(C57)-SUM(K57)+SUM(G57),0)</f>
        <v>1563392</v>
      </c>
      <c r="N57" s="638"/>
      <c r="O57" s="1593"/>
      <c r="P57" s="638"/>
      <c r="Q57" s="3809">
        <v>0</v>
      </c>
      <c r="R57" s="3809"/>
      <c r="S57" s="3809">
        <v>49370.17</v>
      </c>
      <c r="T57" s="627"/>
      <c r="U57" s="803"/>
      <c r="V57" s="719"/>
      <c r="W57" s="720"/>
    </row>
    <row r="58" spans="1:23" ht="13.5" customHeight="1">
      <c r="C58" s="3523"/>
      <c r="D58" s="1548"/>
      <c r="E58" s="3523"/>
      <c r="F58" s="1548"/>
      <c r="G58" s="3523"/>
      <c r="H58" s="3523"/>
      <c r="I58" s="3523"/>
      <c r="J58" s="1548"/>
      <c r="K58" s="3523"/>
      <c r="L58" s="1548"/>
      <c r="M58" s="3523"/>
      <c r="N58" s="638"/>
      <c r="O58" s="1593"/>
      <c r="P58" s="638"/>
      <c r="Q58" s="3523"/>
      <c r="R58" s="3523"/>
      <c r="S58" s="3523"/>
      <c r="U58" s="629"/>
      <c r="V58" s="719"/>
      <c r="W58" s="720"/>
    </row>
    <row r="59" spans="1:23">
      <c r="A59" s="623" t="s">
        <v>1276</v>
      </c>
      <c r="C59" s="3523">
        <v>161307133</v>
      </c>
      <c r="D59" s="1548"/>
      <c r="E59" s="3523">
        <v>0</v>
      </c>
      <c r="F59" s="1548"/>
      <c r="G59" s="3523">
        <v>0</v>
      </c>
      <c r="H59" s="3523"/>
      <c r="I59" s="3523">
        <v>0</v>
      </c>
      <c r="J59" s="1548"/>
      <c r="K59" s="3523">
        <v>0</v>
      </c>
      <c r="L59" s="1548"/>
      <c r="M59" s="3523">
        <f>ROUND(SUM(C59)-SUM(K59)+SUM(G59),0)</f>
        <v>161307133</v>
      </c>
      <c r="N59" s="638"/>
      <c r="O59" s="1593"/>
      <c r="P59" s="638"/>
      <c r="Q59" s="3523">
        <v>0</v>
      </c>
      <c r="R59" s="3523"/>
      <c r="S59" s="3523">
        <v>4031426.59</v>
      </c>
      <c r="T59" s="627"/>
      <c r="U59" s="803"/>
      <c r="V59" s="719"/>
      <c r="W59" s="720"/>
    </row>
    <row r="60" spans="1:23" ht="13.5" customHeight="1">
      <c r="C60" s="3523"/>
      <c r="D60" s="1548"/>
      <c r="E60" s="3523"/>
      <c r="F60" s="1548"/>
      <c r="G60" s="3523"/>
      <c r="H60" s="3523"/>
      <c r="I60" s="3523"/>
      <c r="J60" s="1548"/>
      <c r="K60" s="3523"/>
      <c r="L60" s="1548"/>
      <c r="M60" s="3523"/>
      <c r="N60" s="638"/>
      <c r="O60" s="1593"/>
      <c r="P60" s="638"/>
      <c r="Q60" s="3523"/>
      <c r="R60" s="3523"/>
      <c r="S60" s="3523"/>
      <c r="U60" s="629"/>
      <c r="V60" s="719"/>
      <c r="W60" s="720"/>
    </row>
    <row r="61" spans="1:23">
      <c r="A61" s="623" t="s">
        <v>413</v>
      </c>
      <c r="C61" s="3523"/>
      <c r="D61" s="1548"/>
      <c r="E61" s="3523"/>
      <c r="F61" s="1548"/>
      <c r="G61" s="3523"/>
      <c r="H61" s="3523"/>
      <c r="I61" s="3523"/>
      <c r="J61" s="1548"/>
      <c r="K61" s="3523"/>
      <c r="L61" s="1548"/>
      <c r="M61" s="3523"/>
      <c r="N61" s="638"/>
      <c r="O61" s="1593"/>
      <c r="P61" s="638"/>
      <c r="Q61" s="3523"/>
      <c r="R61" s="3523"/>
      <c r="S61" s="3523"/>
      <c r="U61" s="1835"/>
      <c r="V61" s="719"/>
      <c r="W61" s="627"/>
    </row>
    <row r="62" spans="1:23">
      <c r="A62" s="623" t="s">
        <v>410</v>
      </c>
      <c r="C62" s="3523">
        <v>2090099</v>
      </c>
      <c r="D62" s="1548"/>
      <c r="E62" s="3523">
        <v>0</v>
      </c>
      <c r="F62" s="1548"/>
      <c r="G62" s="3523">
        <v>0</v>
      </c>
      <c r="H62" s="3523"/>
      <c r="I62" s="3523">
        <v>0</v>
      </c>
      <c r="J62" s="1548"/>
      <c r="K62" s="3523">
        <v>441478</v>
      </c>
      <c r="L62" s="1548"/>
      <c r="M62" s="3523">
        <f>ROUND(SUM(C62)-SUM(K62)+SUM(G62),0)</f>
        <v>1648621</v>
      </c>
      <c r="N62" s="638"/>
      <c r="O62" s="1593"/>
      <c r="P62" s="638"/>
      <c r="Q62" s="3523">
        <v>40662</v>
      </c>
      <c r="R62" s="3523"/>
      <c r="S62" s="3523">
        <v>90411.77</v>
      </c>
      <c r="T62" s="627"/>
      <c r="U62" s="803"/>
      <c r="V62" s="719"/>
      <c r="W62" s="720"/>
    </row>
    <row r="63" spans="1:23">
      <c r="A63" s="623" t="s">
        <v>414</v>
      </c>
      <c r="C63" s="3523">
        <v>0</v>
      </c>
      <c r="D63" s="1548"/>
      <c r="E63" s="3523">
        <v>0</v>
      </c>
      <c r="F63" s="1548"/>
      <c r="G63" s="3523">
        <v>0</v>
      </c>
      <c r="H63" s="3523"/>
      <c r="I63" s="3523">
        <v>0</v>
      </c>
      <c r="J63" s="1548"/>
      <c r="K63" s="1548">
        <v>0</v>
      </c>
      <c r="L63" s="1548"/>
      <c r="M63" s="3523">
        <f>ROUND(SUM(C63)-SUM(K63)+SUM(G63),2)</f>
        <v>0</v>
      </c>
      <c r="N63" s="638"/>
      <c r="O63" s="1593"/>
      <c r="P63" s="638"/>
      <c r="Q63" s="3523">
        <v>0</v>
      </c>
      <c r="R63" s="3523"/>
      <c r="S63" s="3523">
        <v>0</v>
      </c>
      <c r="T63" s="627"/>
      <c r="U63" s="803"/>
      <c r="V63" s="719"/>
      <c r="W63" s="720"/>
    </row>
    <row r="64" spans="1:23">
      <c r="B64" s="638"/>
      <c r="C64" s="3529"/>
      <c r="D64" s="1595"/>
      <c r="E64" s="3525"/>
      <c r="F64" s="1595"/>
      <c r="G64" s="3525"/>
      <c r="H64" s="3525"/>
      <c r="I64" s="3525"/>
      <c r="J64" s="3525"/>
      <c r="K64" s="3525"/>
      <c r="L64" s="3525"/>
      <c r="M64" s="3525"/>
      <c r="N64" s="638"/>
      <c r="O64" s="1593"/>
      <c r="P64" s="638"/>
      <c r="Q64" s="1596"/>
      <c r="R64" s="638"/>
      <c r="S64" s="1597"/>
      <c r="T64" s="633"/>
    </row>
    <row r="65" spans="1:23" ht="15" customHeight="1" thickBot="1">
      <c r="A65" s="625" t="s">
        <v>415</v>
      </c>
      <c r="B65" s="1598"/>
      <c r="C65" s="3526">
        <f>ROUND(SUM(C16:C63),2)</f>
        <v>2130699999</v>
      </c>
      <c r="D65" s="2151"/>
      <c r="E65" s="3526">
        <f>ROUND(SUM(E16:E64),2)</f>
        <v>0</v>
      </c>
      <c r="F65" s="2151"/>
      <c r="G65" s="3526">
        <f>ROUND(SUM(G16:G63),2)</f>
        <v>0</v>
      </c>
      <c r="H65" s="1598"/>
      <c r="I65" s="3526">
        <f>ROUND(SUM(I16:I63),2)</f>
        <v>1060000</v>
      </c>
      <c r="J65" s="1598"/>
      <c r="K65" s="3526">
        <f>ROUND(SUM(K16:K63),0)</f>
        <v>27455000</v>
      </c>
      <c r="L65" s="1598"/>
      <c r="M65" s="3526">
        <f>ROUND(SUM(M16:M63),2)</f>
        <v>2103244999</v>
      </c>
      <c r="N65" s="1599"/>
      <c r="O65" s="1600"/>
      <c r="P65" s="1598"/>
      <c r="Q65" s="3526">
        <f>ROUND(SUM(Q16:Q63),2)</f>
        <v>2265296</v>
      </c>
      <c r="R65" s="1598"/>
      <c r="S65" s="3526">
        <f>ROUND(SUM(S16:S63),0)</f>
        <v>40854886</v>
      </c>
      <c r="T65" s="1601"/>
      <c r="U65" s="2151"/>
      <c r="V65" s="774"/>
      <c r="W65" s="774"/>
    </row>
    <row r="66" spans="1:23" ht="15" customHeight="1" thickTop="1">
      <c r="A66" s="1602"/>
      <c r="B66" s="1603"/>
      <c r="C66" s="871"/>
      <c r="D66" s="1601"/>
      <c r="E66" s="1604"/>
      <c r="F66" s="1601"/>
      <c r="G66" s="1604"/>
      <c r="H66" s="1603"/>
      <c r="I66" s="1601"/>
      <c r="J66" s="1603"/>
      <c r="K66" s="1605"/>
      <c r="L66" s="1603"/>
      <c r="M66" s="871"/>
      <c r="N66" s="625"/>
      <c r="O66" s="625"/>
      <c r="P66" s="1603"/>
      <c r="Q66" s="1605"/>
      <c r="R66" s="1603"/>
      <c r="S66" s="1601"/>
      <c r="U66" s="775"/>
      <c r="V66" s="775"/>
      <c r="W66" s="775"/>
    </row>
    <row r="67" spans="1:23">
      <c r="A67" s="1606"/>
      <c r="B67" s="633"/>
      <c r="C67" s="875"/>
      <c r="D67" s="633"/>
      <c r="E67" s="633"/>
      <c r="F67" s="633"/>
      <c r="H67" s="638"/>
      <c r="I67" s="623"/>
      <c r="J67" s="638"/>
      <c r="K67" s="623"/>
      <c r="L67" s="638"/>
      <c r="N67" s="633"/>
      <c r="P67" s="721"/>
    </row>
    <row r="68" spans="1:23">
      <c r="A68" s="721"/>
      <c r="C68" s="875"/>
      <c r="D68" s="633"/>
      <c r="E68" s="776"/>
      <c r="F68" s="633"/>
      <c r="G68" s="633"/>
      <c r="H68" s="719"/>
      <c r="I68" s="638"/>
      <c r="J68" s="719"/>
      <c r="K68" s="3521" t="s">
        <v>15</v>
      </c>
      <c r="L68" s="720"/>
      <c r="M68" s="802" t="s">
        <v>15</v>
      </c>
      <c r="O68" s="633"/>
      <c r="P68" s="720"/>
      <c r="Q68" s="1861"/>
      <c r="R68" s="627"/>
      <c r="S68" s="1861"/>
    </row>
    <row r="69" spans="1:23">
      <c r="A69" s="639"/>
      <c r="E69" s="1607"/>
      <c r="G69" s="637"/>
      <c r="I69" s="629"/>
      <c r="K69" s="629" t="s">
        <v>15</v>
      </c>
      <c r="Q69" s="627"/>
      <c r="S69" s="627"/>
      <c r="T69" s="626"/>
    </row>
    <row r="70" spans="1:23">
      <c r="E70" s="638"/>
      <c r="G70" s="638"/>
      <c r="M70" s="803"/>
      <c r="O70" s="633"/>
      <c r="Q70" s="721"/>
    </row>
    <row r="71" spans="1:23">
      <c r="D71" s="627"/>
      <c r="E71" s="628"/>
      <c r="F71" s="627"/>
      <c r="G71" s="628"/>
      <c r="I71" s="629"/>
      <c r="K71" s="629" t="s">
        <v>15</v>
      </c>
      <c r="M71" s="630"/>
      <c r="O71" s="633"/>
      <c r="Q71" s="634"/>
      <c r="S71" s="627"/>
    </row>
    <row r="72" spans="1:23">
      <c r="D72" s="627"/>
      <c r="E72" s="628"/>
      <c r="F72" s="627"/>
      <c r="G72" s="720"/>
      <c r="I72" s="629"/>
      <c r="K72" s="629"/>
      <c r="M72" s="872"/>
      <c r="O72" s="633"/>
      <c r="Q72" s="720"/>
      <c r="S72" s="627"/>
    </row>
    <row r="73" spans="1:23">
      <c r="D73" s="627"/>
      <c r="E73" s="628"/>
      <c r="F73" s="627"/>
      <c r="G73" s="718"/>
      <c r="I73" s="629"/>
      <c r="K73" s="629"/>
      <c r="M73" s="803"/>
      <c r="O73" s="633"/>
      <c r="Q73" s="773"/>
      <c r="S73" s="627"/>
    </row>
    <row r="74" spans="1:23">
      <c r="D74" s="627"/>
      <c r="E74" s="628"/>
      <c r="F74" s="627"/>
      <c r="G74" s="628"/>
      <c r="I74" s="629"/>
      <c r="K74" s="629"/>
      <c r="M74" s="630"/>
      <c r="O74" s="633"/>
      <c r="Q74" s="634"/>
      <c r="S74" s="627"/>
      <c r="T74" s="626"/>
    </row>
    <row r="75" spans="1:23">
      <c r="D75" s="627"/>
      <c r="E75" s="628"/>
      <c r="F75" s="627"/>
      <c r="G75" s="628"/>
      <c r="I75" s="629"/>
      <c r="K75" s="629"/>
      <c r="M75" s="630"/>
      <c r="O75" s="633"/>
      <c r="Q75" s="634"/>
      <c r="S75" s="627"/>
    </row>
    <row r="76" spans="1:23">
      <c r="D76" s="627"/>
      <c r="E76" s="628"/>
      <c r="F76" s="627"/>
      <c r="G76" s="720"/>
      <c r="I76" s="629"/>
      <c r="K76" s="629"/>
      <c r="M76" s="872"/>
      <c r="O76" s="633"/>
      <c r="Q76" s="720"/>
      <c r="S76" s="627"/>
    </row>
    <row r="77" spans="1:23">
      <c r="D77" s="627"/>
      <c r="E77" s="628"/>
      <c r="F77" s="627"/>
      <c r="G77" s="718"/>
      <c r="I77" s="629"/>
      <c r="K77" s="629"/>
      <c r="M77" s="803"/>
      <c r="O77" s="633"/>
      <c r="Q77" s="773"/>
      <c r="S77" s="627"/>
    </row>
    <row r="78" spans="1:23">
      <c r="B78" s="633"/>
      <c r="C78" s="875"/>
      <c r="D78" s="777"/>
      <c r="E78" s="778"/>
      <c r="F78" s="777"/>
      <c r="G78" s="778"/>
      <c r="H78" s="633"/>
      <c r="I78" s="779"/>
      <c r="J78" s="633"/>
      <c r="K78" s="779"/>
      <c r="L78" s="633"/>
      <c r="M78" s="873"/>
      <c r="N78" s="633"/>
      <c r="O78" s="633"/>
      <c r="P78" s="633"/>
      <c r="Q78" s="780"/>
      <c r="R78" s="633"/>
      <c r="S78" s="777"/>
    </row>
    <row r="79" spans="1:23" ht="13">
      <c r="A79" s="633"/>
      <c r="B79" s="633"/>
      <c r="C79" s="3530"/>
      <c r="D79" s="632"/>
      <c r="E79" s="781"/>
      <c r="F79" s="632"/>
      <c r="G79" s="781"/>
      <c r="H79" s="631"/>
      <c r="I79" s="635"/>
      <c r="J79" s="631"/>
      <c r="K79" s="635"/>
      <c r="L79" s="631"/>
      <c r="M79" s="874"/>
      <c r="N79" s="631"/>
      <c r="O79" s="631"/>
      <c r="P79" s="631"/>
      <c r="Q79" s="781"/>
      <c r="R79" s="631"/>
      <c r="S79" s="632"/>
    </row>
    <row r="80" spans="1:23" ht="13">
      <c r="A80" s="631"/>
      <c r="C80" s="871"/>
      <c r="D80" s="775"/>
      <c r="E80" s="775"/>
      <c r="F80" s="775"/>
      <c r="G80" s="775"/>
      <c r="H80" s="625"/>
      <c r="I80" s="772"/>
      <c r="J80" s="625"/>
      <c r="K80" s="772"/>
      <c r="L80" s="625"/>
      <c r="M80" s="871"/>
      <c r="N80" s="625"/>
      <c r="O80" s="625"/>
      <c r="P80" s="625"/>
      <c r="Q80" s="775"/>
      <c r="R80" s="625"/>
      <c r="S80" s="775"/>
    </row>
    <row r="81" spans="1:13" ht="13">
      <c r="A81" s="625"/>
    </row>
    <row r="82" spans="1:13">
      <c r="C82" s="3531"/>
      <c r="D82" s="721"/>
      <c r="F82" s="721"/>
    </row>
    <row r="83" spans="1:13">
      <c r="C83" s="3532"/>
      <c r="D83" s="639"/>
      <c r="E83" s="776"/>
      <c r="F83" s="639"/>
      <c r="G83" s="776"/>
      <c r="H83" s="633"/>
      <c r="I83" s="636"/>
      <c r="J83" s="633"/>
      <c r="K83" s="636"/>
      <c r="L83" s="633"/>
      <c r="M83" s="875"/>
    </row>
    <row r="84" spans="1:13">
      <c r="E84" s="1550"/>
      <c r="G84" s="722"/>
    </row>
    <row r="85" spans="1:13">
      <c r="E85" s="1608"/>
      <c r="G85" s="637"/>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ignoredErrors>
    <ignoredError sqref="M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69140625" defaultRowHeight="12.5"/>
  <cols>
    <col min="1" max="1" width="3.69140625" style="1609" customWidth="1"/>
    <col min="2" max="2" width="43.69140625" style="1609" customWidth="1"/>
    <col min="3" max="3" width="2.07421875" style="1609" customWidth="1"/>
    <col min="4" max="4" width="13.69140625" style="1609" customWidth="1"/>
    <col min="5" max="5" width="2.07421875" style="1609" customWidth="1"/>
    <col min="6" max="6" width="24" style="1609" bestFit="1" customWidth="1"/>
    <col min="7" max="7" width="2.07421875" style="1609" customWidth="1"/>
    <col min="8" max="8" width="20.07421875" style="1609" customWidth="1"/>
    <col min="9" max="9" width="2.07421875" style="1609" customWidth="1"/>
    <col min="10" max="10" width="17.69140625" style="1609" bestFit="1" customWidth="1"/>
    <col min="11" max="11" width="2.07421875" style="1609" customWidth="1"/>
    <col min="12" max="12" width="17.69140625" style="1609" bestFit="1" customWidth="1"/>
    <col min="13" max="13" width="2.07421875" style="1609" customWidth="1"/>
    <col min="14" max="14" width="19.69140625" style="1609" bestFit="1" customWidth="1"/>
    <col min="15" max="15" width="2.07421875" style="1609" customWidth="1"/>
    <col min="16" max="16" width="18.4609375" style="1609" bestFit="1" customWidth="1"/>
    <col min="17" max="17" width="2.07421875" style="1609" customWidth="1"/>
    <col min="18" max="18" width="19.69140625" style="1609" customWidth="1"/>
    <col min="19" max="19" width="2.07421875" style="1609" customWidth="1"/>
    <col min="20" max="20" width="19.69140625" style="1609" bestFit="1" customWidth="1"/>
    <col min="21" max="21" width="2.07421875" style="1609" customWidth="1"/>
    <col min="22" max="22" width="20.69140625" style="1609" bestFit="1" customWidth="1"/>
    <col min="23" max="23" width="17.07421875" style="1609" customWidth="1"/>
    <col min="24" max="24" width="18.53515625" style="1609" customWidth="1"/>
    <col min="25" max="25" width="35.07421875" style="1609" bestFit="1" customWidth="1"/>
    <col min="26" max="16384" width="8.69140625" style="1609"/>
  </cols>
  <sheetData>
    <row r="1" spans="1:23" ht="15.5">
      <c r="B1" s="935" t="s">
        <v>963</v>
      </c>
    </row>
    <row r="2" spans="1:23" ht="15.5">
      <c r="B2" s="2059"/>
      <c r="C2" s="2059"/>
      <c r="D2" s="2059"/>
      <c r="E2" s="2059"/>
      <c r="F2" s="2059"/>
      <c r="G2" s="2059"/>
      <c r="H2" s="2059"/>
      <c r="I2" s="2059"/>
      <c r="J2" s="2059"/>
      <c r="K2" s="2059"/>
      <c r="L2" s="2059"/>
      <c r="M2" s="2059"/>
      <c r="N2" s="2059"/>
      <c r="O2" s="2059"/>
      <c r="P2" s="2059"/>
      <c r="Q2" s="2059"/>
      <c r="R2" s="2059"/>
      <c r="S2" s="2059"/>
      <c r="T2" s="2059"/>
      <c r="U2" s="2059"/>
      <c r="V2" s="2059"/>
      <c r="W2" s="2060"/>
    </row>
    <row r="3" spans="1:23" ht="18">
      <c r="A3" s="1610"/>
      <c r="B3" s="2061" t="s">
        <v>0</v>
      </c>
      <c r="C3" s="2062"/>
      <c r="D3" s="2062"/>
      <c r="E3" s="2062"/>
      <c r="F3" s="2059"/>
      <c r="G3" s="2059"/>
      <c r="H3" s="2059"/>
      <c r="I3" s="2059"/>
      <c r="J3" s="2059"/>
      <c r="K3" s="2059"/>
      <c r="L3" s="2059"/>
      <c r="M3" s="2059"/>
      <c r="N3" s="2059"/>
      <c r="O3" s="2059"/>
      <c r="P3" s="2059"/>
      <c r="Q3" s="2059"/>
      <c r="R3" s="2059"/>
      <c r="S3" s="2059"/>
      <c r="T3" s="2059"/>
      <c r="U3" s="2059"/>
      <c r="V3" s="2063" t="s">
        <v>416</v>
      </c>
      <c r="W3" s="2064"/>
    </row>
    <row r="4" spans="1:23" ht="18">
      <c r="A4" s="1610"/>
      <c r="B4" s="2061" t="s">
        <v>417</v>
      </c>
      <c r="C4" s="2062"/>
      <c r="D4" s="2062"/>
      <c r="E4" s="2062"/>
      <c r="F4" s="2059"/>
      <c r="G4" s="2059"/>
      <c r="H4" s="2059"/>
      <c r="I4" s="2059"/>
      <c r="J4" s="2059"/>
      <c r="K4" s="2059"/>
      <c r="L4" s="2059"/>
      <c r="M4" s="2059"/>
      <c r="N4" s="2059"/>
      <c r="O4" s="2059"/>
      <c r="P4" s="2059"/>
      <c r="Q4" s="2059"/>
      <c r="R4" s="2059"/>
      <c r="S4" s="2059"/>
      <c r="T4" s="2059"/>
      <c r="U4" s="2059"/>
      <c r="V4" s="2065"/>
      <c r="W4" s="2060"/>
    </row>
    <row r="5" spans="1:23" ht="18">
      <c r="A5" s="1610"/>
      <c r="B5" s="2061" t="s">
        <v>418</v>
      </c>
      <c r="C5" s="2062"/>
      <c r="D5" s="2062"/>
      <c r="E5" s="2062"/>
      <c r="F5" s="2059"/>
      <c r="G5" s="2059"/>
      <c r="H5" s="2059"/>
      <c r="I5" s="2059"/>
      <c r="J5" s="2059"/>
      <c r="K5" s="2059"/>
      <c r="L5" s="2059"/>
      <c r="M5" s="2059"/>
      <c r="N5" s="2059"/>
      <c r="O5" s="2059"/>
      <c r="P5" s="2059"/>
      <c r="Q5" s="2059"/>
      <c r="R5" s="2059"/>
      <c r="S5" s="2059"/>
      <c r="T5" s="2059"/>
      <c r="U5" s="2059"/>
      <c r="V5" s="2059"/>
      <c r="W5" s="2060"/>
    </row>
    <row r="6" spans="1:23" ht="18">
      <c r="A6" s="1610"/>
      <c r="B6" s="2066" t="s">
        <v>1550</v>
      </c>
      <c r="C6" s="2067"/>
      <c r="D6" s="2062"/>
      <c r="E6" s="2062"/>
      <c r="F6" s="2059"/>
      <c r="G6" s="2059"/>
      <c r="H6" s="2059"/>
      <c r="I6" s="2059"/>
      <c r="J6" s="2059"/>
      <c r="K6" s="2059"/>
      <c r="L6" s="2059"/>
      <c r="M6" s="2059"/>
      <c r="N6" s="2059"/>
      <c r="O6" s="2059"/>
      <c r="P6" s="2059"/>
      <c r="Q6" s="2059"/>
      <c r="R6" s="2059"/>
      <c r="S6" s="2059"/>
      <c r="T6" s="2059"/>
      <c r="U6" s="2059"/>
      <c r="V6" s="2059"/>
      <c r="W6" s="2060"/>
    </row>
    <row r="7" spans="1:23" ht="16">
      <c r="A7" s="1610"/>
      <c r="B7" s="2068"/>
      <c r="C7" s="2068"/>
      <c r="D7" s="2062"/>
      <c r="E7" s="2062"/>
      <c r="F7" s="2059"/>
      <c r="G7" s="2059"/>
      <c r="H7" s="2059"/>
      <c r="I7" s="2059"/>
      <c r="J7" s="2059"/>
      <c r="K7" s="2059"/>
      <c r="L7" s="2059"/>
      <c r="M7" s="2059"/>
      <c r="N7" s="2059"/>
      <c r="O7" s="2059"/>
      <c r="P7" s="2059"/>
      <c r="Q7" s="2059"/>
      <c r="R7" s="2059"/>
      <c r="S7" s="2059"/>
      <c r="T7" s="2059"/>
      <c r="U7" s="2059"/>
      <c r="V7" s="2059"/>
      <c r="W7" s="2060"/>
    </row>
    <row r="8" spans="1:23" ht="5.25" customHeight="1">
      <c r="B8" s="2069"/>
      <c r="C8" s="2069"/>
      <c r="D8" s="2059"/>
      <c r="E8" s="2059"/>
      <c r="F8" s="2059"/>
      <c r="G8" s="2059"/>
      <c r="H8" s="2059"/>
      <c r="I8" s="2059"/>
      <c r="J8" s="2059"/>
      <c r="K8" s="2059"/>
      <c r="L8" s="2059"/>
      <c r="M8" s="2059"/>
      <c r="N8" s="2059"/>
      <c r="O8" s="2059"/>
      <c r="P8" s="2059"/>
      <c r="Q8" s="2059"/>
      <c r="R8" s="2059"/>
      <c r="S8" s="2059"/>
      <c r="T8" s="2059"/>
      <c r="U8" s="2059"/>
      <c r="V8" s="2059"/>
      <c r="W8" s="2060"/>
    </row>
    <row r="9" spans="1:23" ht="16">
      <c r="B9" s="2059"/>
      <c r="C9" s="2059"/>
      <c r="E9" s="2070"/>
      <c r="F9" s="2070"/>
      <c r="G9" s="2070"/>
      <c r="H9" s="2070"/>
      <c r="I9" s="2070"/>
      <c r="J9" s="2070" t="s">
        <v>419</v>
      </c>
      <c r="K9" s="2070"/>
      <c r="L9" s="2070"/>
      <c r="M9" s="2070"/>
      <c r="N9" s="2070"/>
      <c r="O9" s="2070"/>
      <c r="P9" s="2070"/>
      <c r="Q9" s="2070"/>
      <c r="R9" s="2059"/>
      <c r="S9" s="2059"/>
      <c r="T9" s="2059"/>
      <c r="U9" s="2059"/>
      <c r="V9" s="2059"/>
      <c r="W9" s="2060"/>
    </row>
    <row r="10" spans="1:23" ht="16">
      <c r="B10" s="2059"/>
      <c r="C10" s="2059"/>
      <c r="D10" s="2070" t="s">
        <v>121</v>
      </c>
      <c r="E10" s="2071"/>
      <c r="F10" s="2071" t="s">
        <v>104</v>
      </c>
      <c r="G10" s="2071"/>
      <c r="H10" s="2071" t="s">
        <v>421</v>
      </c>
      <c r="I10" s="2071"/>
      <c r="J10" s="2071" t="s">
        <v>422</v>
      </c>
      <c r="K10" s="2071"/>
      <c r="L10" s="2071" t="s">
        <v>423</v>
      </c>
      <c r="M10" s="2071"/>
      <c r="N10" s="2071" t="s">
        <v>10</v>
      </c>
      <c r="O10" s="2071"/>
      <c r="P10" s="2071" t="s">
        <v>884</v>
      </c>
      <c r="Q10" s="2071"/>
      <c r="R10" s="2059"/>
      <c r="S10" s="2059"/>
      <c r="T10" s="2059"/>
      <c r="U10" s="2059"/>
      <c r="V10" s="2059"/>
      <c r="W10" s="2060"/>
    </row>
    <row r="11" spans="1:23" ht="16">
      <c r="B11" s="2059"/>
      <c r="C11" s="2059"/>
      <c r="D11" s="2071" t="s">
        <v>420</v>
      </c>
      <c r="E11" s="2071"/>
      <c r="F11" s="2071" t="s">
        <v>121</v>
      </c>
      <c r="G11" s="2071"/>
      <c r="H11" s="2071" t="s">
        <v>425</v>
      </c>
      <c r="I11" s="2071"/>
      <c r="J11" s="2071" t="s">
        <v>426</v>
      </c>
      <c r="K11" s="2071"/>
      <c r="L11" s="2071" t="s">
        <v>427</v>
      </c>
      <c r="M11" s="2071"/>
      <c r="N11" s="2072" t="s">
        <v>428</v>
      </c>
      <c r="O11" s="2071"/>
      <c r="P11" s="2071" t="s">
        <v>885</v>
      </c>
      <c r="Q11" s="2071"/>
      <c r="R11" s="2074" t="s">
        <v>429</v>
      </c>
      <c r="S11" s="2074"/>
      <c r="T11" s="2074"/>
      <c r="U11" s="2059"/>
      <c r="V11" s="2059"/>
      <c r="W11" s="2060"/>
    </row>
    <row r="12" spans="1:23" ht="16">
      <c r="B12" s="2059"/>
      <c r="C12" s="2059"/>
      <c r="D12" s="2071" t="s">
        <v>424</v>
      </c>
      <c r="E12" s="2071"/>
      <c r="F12" s="2071" t="s">
        <v>11</v>
      </c>
      <c r="G12" s="2071"/>
      <c r="H12" s="2071" t="s">
        <v>430</v>
      </c>
      <c r="I12" s="2071"/>
      <c r="J12" s="2071" t="s">
        <v>431</v>
      </c>
      <c r="K12" s="2071"/>
      <c r="L12" s="2071" t="s">
        <v>432</v>
      </c>
      <c r="M12" s="2071"/>
      <c r="N12" s="2072" t="s">
        <v>431</v>
      </c>
      <c r="O12" s="2072"/>
      <c r="P12" s="2071" t="s">
        <v>431</v>
      </c>
      <c r="Q12" s="2071"/>
      <c r="R12" s="2073" t="s">
        <v>1558</v>
      </c>
      <c r="S12" s="2073"/>
      <c r="T12" s="2073"/>
      <c r="U12" s="2059"/>
      <c r="V12" s="2070" t="s">
        <v>886</v>
      </c>
      <c r="W12" s="2075"/>
    </row>
    <row r="13" spans="1:23" ht="16">
      <c r="A13" s="1611"/>
      <c r="B13" s="2076" t="s">
        <v>440</v>
      </c>
      <c r="C13" s="2077"/>
      <c r="D13" s="2078" t="s">
        <v>433</v>
      </c>
      <c r="E13" s="2075"/>
      <c r="F13" s="2078" t="s">
        <v>434</v>
      </c>
      <c r="G13" s="2075"/>
      <c r="H13" s="2079" t="s">
        <v>435</v>
      </c>
      <c r="I13" s="2075"/>
      <c r="J13" s="2079" t="s">
        <v>436</v>
      </c>
      <c r="K13" s="2075"/>
      <c r="L13" s="2079" t="s">
        <v>437</v>
      </c>
      <c r="M13" s="2075"/>
      <c r="N13" s="2080" t="s">
        <v>438</v>
      </c>
      <c r="O13" s="2075"/>
      <c r="P13" s="2080" t="s">
        <v>887</v>
      </c>
      <c r="Q13" s="2075"/>
      <c r="R13" s="2081">
        <v>2020</v>
      </c>
      <c r="S13" s="2081"/>
      <c r="T13" s="2081">
        <v>2019</v>
      </c>
      <c r="U13" s="2075"/>
      <c r="V13" s="2082" t="s">
        <v>439</v>
      </c>
      <c r="W13" s="2075"/>
    </row>
    <row r="14" spans="1:23" ht="16">
      <c r="B14" s="2077" t="s">
        <v>441</v>
      </c>
      <c r="C14" s="2077"/>
      <c r="D14" s="2083"/>
      <c r="E14" s="2083"/>
      <c r="F14" s="2084"/>
      <c r="G14" s="2084"/>
      <c r="H14" s="2085"/>
      <c r="I14" s="2085"/>
      <c r="J14" s="2085"/>
      <c r="K14" s="2085"/>
      <c r="L14" s="2085"/>
      <c r="M14" s="2085"/>
      <c r="N14" s="2083"/>
      <c r="O14" s="2083"/>
      <c r="P14" s="2083"/>
      <c r="Q14" s="2083"/>
      <c r="R14" s="2085"/>
      <c r="S14" s="2085"/>
      <c r="T14" s="2086"/>
      <c r="U14" s="2086"/>
      <c r="V14" s="2087"/>
      <c r="W14" s="2060"/>
    </row>
    <row r="15" spans="1:23" ht="15.5">
      <c r="A15" s="1612"/>
      <c r="B15" s="2069" t="s">
        <v>442</v>
      </c>
      <c r="C15" s="2069"/>
      <c r="D15" s="2088">
        <v>0</v>
      </c>
      <c r="E15" s="2088"/>
      <c r="F15" s="2088">
        <v>0</v>
      </c>
      <c r="G15" s="2089"/>
      <c r="H15" s="2088">
        <v>0</v>
      </c>
      <c r="I15" s="2089"/>
      <c r="J15" s="2088">
        <v>0</v>
      </c>
      <c r="K15" s="2089"/>
      <c r="L15" s="2088">
        <v>0</v>
      </c>
      <c r="M15" s="2089"/>
      <c r="N15" s="2088">
        <v>0</v>
      </c>
      <c r="O15" s="2089"/>
      <c r="P15" s="2088">
        <v>0</v>
      </c>
      <c r="Q15" s="2089"/>
      <c r="R15" s="2088">
        <f>ROUND(SUM(D15:Q15),0)</f>
        <v>0</v>
      </c>
      <c r="S15" s="2088"/>
      <c r="T15" s="3508">
        <v>54720301</v>
      </c>
      <c r="U15" s="2089"/>
      <c r="V15" s="2090">
        <f>ROUND(R15-T15,0)</f>
        <v>-54720301</v>
      </c>
      <c r="W15" s="2088"/>
    </row>
    <row r="16" spans="1:23" ht="15.5">
      <c r="A16" s="1612"/>
      <c r="B16" s="2059" t="s">
        <v>443</v>
      </c>
      <c r="C16" s="2059"/>
      <c r="D16" s="2091"/>
      <c r="E16" s="2091"/>
      <c r="F16" s="2091"/>
      <c r="G16" s="2091"/>
      <c r="H16" s="2091"/>
      <c r="I16" s="2091"/>
      <c r="J16" s="2091"/>
      <c r="K16" s="2089"/>
      <c r="L16" s="2091"/>
      <c r="M16" s="2092"/>
      <c r="N16" s="2091"/>
      <c r="O16" s="2092"/>
      <c r="P16" s="2091"/>
      <c r="Q16" s="2092"/>
      <c r="R16" s="2092"/>
      <c r="S16" s="2092"/>
      <c r="T16" s="3509"/>
      <c r="U16" s="2092"/>
      <c r="V16" s="2093"/>
      <c r="W16" s="2088"/>
    </row>
    <row r="17" spans="1:23" ht="15.5">
      <c r="A17" s="1612"/>
      <c r="B17" s="2059" t="s">
        <v>1233</v>
      </c>
      <c r="C17" s="2059"/>
      <c r="D17" s="2091">
        <v>0</v>
      </c>
      <c r="E17" s="2091">
        <v>0</v>
      </c>
      <c r="F17" s="2091">
        <v>0</v>
      </c>
      <c r="G17" s="2091">
        <v>0</v>
      </c>
      <c r="H17" s="2091">
        <v>0</v>
      </c>
      <c r="I17" s="2091">
        <v>0</v>
      </c>
      <c r="J17" s="2091">
        <v>0</v>
      </c>
      <c r="K17" s="2091">
        <v>0</v>
      </c>
      <c r="L17" s="2091">
        <v>0</v>
      </c>
      <c r="M17" s="2091"/>
      <c r="N17" s="2091">
        <v>0</v>
      </c>
      <c r="O17" s="2091">
        <v>0</v>
      </c>
      <c r="P17" s="2091">
        <v>0</v>
      </c>
      <c r="Q17" s="2091">
        <v>0</v>
      </c>
      <c r="R17" s="2092">
        <f>ROUND(SUM(D17:Q17),0)</f>
        <v>0</v>
      </c>
      <c r="S17" s="2092"/>
      <c r="T17" s="3510">
        <v>54430525</v>
      </c>
      <c r="U17" s="2094"/>
      <c r="V17" s="2094">
        <f t="shared" ref="V17:V26" si="0">SUM(R17-T17,0)</f>
        <v>-54430525</v>
      </c>
      <c r="W17" s="2088"/>
    </row>
    <row r="18" spans="1:23" ht="15.5">
      <c r="A18" s="1612"/>
      <c r="B18" s="2059" t="s">
        <v>1234</v>
      </c>
      <c r="C18" s="2059"/>
      <c r="D18" s="2091">
        <v>0</v>
      </c>
      <c r="E18" s="2091">
        <v>0</v>
      </c>
      <c r="F18" s="2091">
        <v>0</v>
      </c>
      <c r="G18" s="2091">
        <v>0</v>
      </c>
      <c r="H18" s="2091">
        <v>0</v>
      </c>
      <c r="I18" s="2091">
        <v>0</v>
      </c>
      <c r="J18" s="2091">
        <v>0</v>
      </c>
      <c r="K18" s="2091">
        <v>0</v>
      </c>
      <c r="L18" s="2091">
        <v>0</v>
      </c>
      <c r="M18" s="2091"/>
      <c r="N18" s="2091">
        <v>573824449</v>
      </c>
      <c r="O18" s="2091"/>
      <c r="P18" s="2091">
        <v>223441555</v>
      </c>
      <c r="Q18" s="2091">
        <v>0</v>
      </c>
      <c r="R18" s="2092">
        <f t="shared" ref="R18:R26" si="1">ROUND(SUM(D18:Q18),0)</f>
        <v>797266004</v>
      </c>
      <c r="S18" s="2092"/>
      <c r="T18" s="2091">
        <v>375408510</v>
      </c>
      <c r="U18" s="2094"/>
      <c r="V18" s="2094">
        <f t="shared" si="0"/>
        <v>421857494</v>
      </c>
      <c r="W18" s="2088"/>
    </row>
    <row r="19" spans="1:23" ht="15.5">
      <c r="A19" s="1612"/>
      <c r="B19" s="2059" t="s">
        <v>444</v>
      </c>
      <c r="C19" s="2059"/>
      <c r="D19" s="2091">
        <v>0</v>
      </c>
      <c r="E19" s="2091">
        <v>0</v>
      </c>
      <c r="F19" s="2091">
        <v>0</v>
      </c>
      <c r="G19" s="2091">
        <v>0</v>
      </c>
      <c r="H19" s="2091">
        <v>12802026</v>
      </c>
      <c r="I19" s="2091">
        <v>0</v>
      </c>
      <c r="J19" s="2091">
        <v>0</v>
      </c>
      <c r="K19" s="2091">
        <v>0</v>
      </c>
      <c r="L19" s="2091">
        <v>0</v>
      </c>
      <c r="M19" s="2091"/>
      <c r="N19" s="2091">
        <v>0</v>
      </c>
      <c r="O19" s="2091"/>
      <c r="P19" s="2091">
        <v>0</v>
      </c>
      <c r="Q19" s="2091">
        <v>0</v>
      </c>
      <c r="R19" s="2092">
        <f>ROUND(SUM(D19:Q19),0)</f>
        <v>12802026</v>
      </c>
      <c r="S19" s="2092"/>
      <c r="T19" s="2091">
        <v>13080876</v>
      </c>
      <c r="U19" s="2094"/>
      <c r="V19" s="2094">
        <f t="shared" si="0"/>
        <v>-278850</v>
      </c>
      <c r="W19" s="2088"/>
    </row>
    <row r="20" spans="1:23" ht="15.5">
      <c r="A20" s="1612"/>
      <c r="B20" s="2059" t="s">
        <v>981</v>
      </c>
      <c r="C20" s="2059"/>
      <c r="D20" s="2091">
        <v>0</v>
      </c>
      <c r="E20" s="2091">
        <v>0</v>
      </c>
      <c r="F20" s="2091">
        <v>0</v>
      </c>
      <c r="G20" s="2091">
        <v>0</v>
      </c>
      <c r="H20" s="2091">
        <v>0</v>
      </c>
      <c r="I20" s="2091">
        <v>0</v>
      </c>
      <c r="J20" s="2091">
        <v>0</v>
      </c>
      <c r="K20" s="2091">
        <v>0</v>
      </c>
      <c r="L20" s="2091">
        <v>8615353</v>
      </c>
      <c r="M20" s="2091"/>
      <c r="N20" s="2091">
        <v>0</v>
      </c>
      <c r="O20" s="2091"/>
      <c r="P20" s="2091">
        <v>0</v>
      </c>
      <c r="Q20" s="2091">
        <v>0</v>
      </c>
      <c r="R20" s="2092">
        <f>ROUND(SUM(D20:Q20),0)</f>
        <v>8615353</v>
      </c>
      <c r="S20" s="2092"/>
      <c r="T20" s="2091">
        <v>7064797</v>
      </c>
      <c r="U20" s="2095"/>
      <c r="V20" s="2094">
        <f t="shared" si="0"/>
        <v>1550556</v>
      </c>
      <c r="W20" s="2088"/>
    </row>
    <row r="21" spans="1:23" ht="15.5">
      <c r="A21" s="1612"/>
      <c r="B21" s="2059" t="s">
        <v>832</v>
      </c>
      <c r="C21" s="2059"/>
      <c r="D21" s="2091">
        <v>0</v>
      </c>
      <c r="E21" s="2091">
        <v>0</v>
      </c>
      <c r="F21" s="2091">
        <v>2495165</v>
      </c>
      <c r="G21" s="2091">
        <v>0</v>
      </c>
      <c r="H21" s="2091">
        <v>0</v>
      </c>
      <c r="I21" s="2091">
        <v>0</v>
      </c>
      <c r="J21" s="2091">
        <v>0</v>
      </c>
      <c r="K21" s="2091">
        <v>0</v>
      </c>
      <c r="L21" s="2091">
        <v>0</v>
      </c>
      <c r="M21" s="2091"/>
      <c r="N21" s="2091">
        <v>0</v>
      </c>
      <c r="O21" s="2091"/>
      <c r="P21" s="2091">
        <v>0</v>
      </c>
      <c r="Q21" s="2091">
        <v>0</v>
      </c>
      <c r="R21" s="2092">
        <f t="shared" si="1"/>
        <v>2495165</v>
      </c>
      <c r="S21" s="2092"/>
      <c r="T21" s="2091">
        <v>3829093</v>
      </c>
      <c r="U21" s="2095"/>
      <c r="V21" s="2094">
        <f t="shared" si="0"/>
        <v>-1333928</v>
      </c>
      <c r="W21" s="2088"/>
    </row>
    <row r="22" spans="1:23" ht="15.5">
      <c r="A22" s="1612"/>
      <c r="B22" s="2059" t="s">
        <v>1235</v>
      </c>
      <c r="C22" s="2059"/>
      <c r="D22" s="2091">
        <v>0</v>
      </c>
      <c r="E22" s="2091">
        <v>0</v>
      </c>
      <c r="F22" s="2091">
        <v>8347200</v>
      </c>
      <c r="G22" s="2091">
        <v>0</v>
      </c>
      <c r="H22" s="2091">
        <v>0</v>
      </c>
      <c r="I22" s="2091">
        <v>0</v>
      </c>
      <c r="J22" s="2091">
        <v>0</v>
      </c>
      <c r="K22" s="2091">
        <v>0</v>
      </c>
      <c r="L22" s="2091">
        <v>0</v>
      </c>
      <c r="M22" s="2091"/>
      <c r="N22" s="2091">
        <v>0</v>
      </c>
      <c r="O22" s="2091"/>
      <c r="P22" s="2091">
        <v>0</v>
      </c>
      <c r="Q22" s="2091">
        <v>0</v>
      </c>
      <c r="R22" s="2092">
        <f t="shared" si="1"/>
        <v>8347200</v>
      </c>
      <c r="S22" s="2092"/>
      <c r="T22" s="2091">
        <v>5928700</v>
      </c>
      <c r="U22" s="2094"/>
      <c r="V22" s="2094">
        <f t="shared" si="0"/>
        <v>2418500</v>
      </c>
      <c r="W22" s="2088"/>
    </row>
    <row r="23" spans="1:23" ht="15.5">
      <c r="A23" s="1612"/>
      <c r="B23" s="2059" t="s">
        <v>1236</v>
      </c>
      <c r="C23" s="2059"/>
      <c r="D23" s="2091">
        <v>0</v>
      </c>
      <c r="E23" s="2091">
        <v>0</v>
      </c>
      <c r="F23" s="2091">
        <v>25819813</v>
      </c>
      <c r="G23" s="2091">
        <v>0</v>
      </c>
      <c r="H23" s="2091">
        <v>0</v>
      </c>
      <c r="I23" s="2091">
        <v>0</v>
      </c>
      <c r="J23" s="2091">
        <v>0</v>
      </c>
      <c r="K23" s="2091">
        <v>0</v>
      </c>
      <c r="L23" s="2091">
        <v>0</v>
      </c>
      <c r="M23" s="2091"/>
      <c r="N23" s="2091">
        <v>0</v>
      </c>
      <c r="O23" s="2091"/>
      <c r="P23" s="2091">
        <v>0</v>
      </c>
      <c r="Q23" s="2091">
        <v>0</v>
      </c>
      <c r="R23" s="2092">
        <f t="shared" si="1"/>
        <v>25819813</v>
      </c>
      <c r="S23" s="2092"/>
      <c r="T23" s="2091">
        <v>18022938</v>
      </c>
      <c r="U23" s="2094"/>
      <c r="V23" s="2094">
        <f t="shared" si="0"/>
        <v>7796875</v>
      </c>
      <c r="W23" s="2088"/>
    </row>
    <row r="24" spans="1:23" ht="15.5">
      <c r="A24" s="1612"/>
      <c r="B24" s="2059" t="s">
        <v>445</v>
      </c>
      <c r="C24" s="2059"/>
      <c r="D24" s="2091">
        <v>0</v>
      </c>
      <c r="E24" s="2091">
        <v>0</v>
      </c>
      <c r="F24" s="2091">
        <v>0</v>
      </c>
      <c r="G24" s="2091">
        <v>0</v>
      </c>
      <c r="H24" s="2091">
        <v>0</v>
      </c>
      <c r="I24" s="2091">
        <v>0</v>
      </c>
      <c r="J24" s="2091">
        <v>0</v>
      </c>
      <c r="K24" s="2091">
        <v>0</v>
      </c>
      <c r="L24" s="2091">
        <v>0</v>
      </c>
      <c r="M24" s="2091"/>
      <c r="N24" s="2091">
        <v>430631</v>
      </c>
      <c r="O24" s="2091"/>
      <c r="P24" s="2091">
        <v>0</v>
      </c>
      <c r="Q24" s="2091">
        <v>0</v>
      </c>
      <c r="R24" s="2092">
        <f t="shared" si="1"/>
        <v>430631</v>
      </c>
      <c r="S24" s="2092"/>
      <c r="T24" s="3510">
        <v>839859</v>
      </c>
      <c r="U24" s="2094"/>
      <c r="V24" s="2094">
        <f t="shared" si="0"/>
        <v>-409228</v>
      </c>
      <c r="W24" s="2088"/>
    </row>
    <row r="25" spans="1:23" ht="15.5">
      <c r="A25" s="1612"/>
      <c r="B25" s="2059" t="s">
        <v>446</v>
      </c>
      <c r="C25" s="2059"/>
      <c r="D25" s="2091">
        <v>0</v>
      </c>
      <c r="E25" s="2091">
        <v>0</v>
      </c>
      <c r="F25" s="2091">
        <v>15828552</v>
      </c>
      <c r="G25" s="2091">
        <v>0</v>
      </c>
      <c r="H25" s="2091">
        <v>0</v>
      </c>
      <c r="I25" s="2091">
        <v>0</v>
      </c>
      <c r="J25" s="2091">
        <v>0</v>
      </c>
      <c r="K25" s="2091">
        <v>0</v>
      </c>
      <c r="L25" s="2091">
        <v>0</v>
      </c>
      <c r="M25" s="2091"/>
      <c r="N25" s="2091">
        <v>0</v>
      </c>
      <c r="O25" s="2091"/>
      <c r="P25" s="2091">
        <v>0</v>
      </c>
      <c r="Q25" s="2091">
        <v>0</v>
      </c>
      <c r="R25" s="2092">
        <f t="shared" si="1"/>
        <v>15828552</v>
      </c>
      <c r="S25" s="2092"/>
      <c r="T25" s="3510">
        <v>17642733</v>
      </c>
      <c r="U25" s="2094"/>
      <c r="V25" s="2094">
        <f t="shared" si="0"/>
        <v>-1814181</v>
      </c>
      <c r="W25" s="2088"/>
    </row>
    <row r="26" spans="1:23" ht="15.5">
      <c r="A26" s="1612"/>
      <c r="B26" s="2059" t="s">
        <v>1237</v>
      </c>
      <c r="C26" s="2059"/>
      <c r="D26" s="2091">
        <v>0</v>
      </c>
      <c r="E26" s="2091">
        <v>0</v>
      </c>
      <c r="F26" s="2091">
        <v>0</v>
      </c>
      <c r="G26" s="2091">
        <v>0</v>
      </c>
      <c r="H26" s="2091">
        <v>0</v>
      </c>
      <c r="I26" s="2091">
        <v>0</v>
      </c>
      <c r="J26" s="2091">
        <v>0</v>
      </c>
      <c r="K26" s="2091">
        <v>0</v>
      </c>
      <c r="L26" s="2091">
        <v>0</v>
      </c>
      <c r="M26" s="2091"/>
      <c r="N26" s="2091">
        <v>0</v>
      </c>
      <c r="O26" s="2091"/>
      <c r="P26" s="2091">
        <v>0</v>
      </c>
      <c r="Q26" s="2091">
        <v>0</v>
      </c>
      <c r="R26" s="2092">
        <f t="shared" si="1"/>
        <v>0</v>
      </c>
      <c r="S26" s="2092"/>
      <c r="T26" s="3510">
        <v>21302971</v>
      </c>
      <c r="U26" s="2094"/>
      <c r="V26" s="2094">
        <f t="shared" si="0"/>
        <v>-21302971</v>
      </c>
      <c r="W26" s="2088"/>
    </row>
    <row r="27" spans="1:23" ht="15.5">
      <c r="A27" s="1612"/>
      <c r="B27" s="2059" t="s">
        <v>447</v>
      </c>
      <c r="C27" s="2059"/>
      <c r="D27" s="2096"/>
      <c r="E27" s="2096"/>
      <c r="F27" s="2096"/>
      <c r="G27" s="2096"/>
      <c r="H27" s="2096"/>
      <c r="I27" s="2096"/>
      <c r="J27" s="2096"/>
      <c r="K27" s="2096"/>
      <c r="L27" s="2096"/>
      <c r="M27" s="2096"/>
      <c r="N27" s="2096"/>
      <c r="O27" s="2096"/>
      <c r="P27" s="2096"/>
      <c r="Q27" s="2096"/>
      <c r="R27" s="2092"/>
      <c r="S27" s="2092"/>
      <c r="T27" s="3510"/>
      <c r="U27" s="2094"/>
      <c r="V27" s="2092"/>
      <c r="W27" s="2088"/>
    </row>
    <row r="28" spans="1:23" ht="15.5">
      <c r="A28" s="1612"/>
      <c r="B28" s="2059" t="s">
        <v>448</v>
      </c>
      <c r="C28" s="2059"/>
      <c r="D28" s="2091">
        <v>0</v>
      </c>
      <c r="E28" s="2091">
        <v>0</v>
      </c>
      <c r="F28" s="2091">
        <v>0</v>
      </c>
      <c r="G28" s="2091">
        <v>0</v>
      </c>
      <c r="H28" s="2091">
        <v>0</v>
      </c>
      <c r="I28" s="2091">
        <v>0</v>
      </c>
      <c r="J28" s="2091">
        <v>0</v>
      </c>
      <c r="K28" s="2091">
        <v>0</v>
      </c>
      <c r="L28" s="2091">
        <v>0</v>
      </c>
      <c r="M28" s="2091"/>
      <c r="N28" s="2091">
        <v>0</v>
      </c>
      <c r="O28" s="2091"/>
      <c r="P28" s="2091">
        <v>0</v>
      </c>
      <c r="Q28" s="2091">
        <v>0</v>
      </c>
      <c r="R28" s="2092">
        <f>ROUND(SUM(D28:Q28),0)</f>
        <v>0</v>
      </c>
      <c r="S28" s="2092"/>
      <c r="T28" s="3510">
        <v>0</v>
      </c>
      <c r="U28" s="2094"/>
      <c r="V28" s="2094">
        <f>SUM(R28-T28,0)</f>
        <v>0</v>
      </c>
      <c r="W28" s="2088"/>
    </row>
    <row r="29" spans="1:23" ht="15.5">
      <c r="A29" s="1612"/>
      <c r="B29" s="2059" t="s">
        <v>938</v>
      </c>
      <c r="C29" s="2059"/>
      <c r="D29" s="2091"/>
      <c r="E29" s="2091"/>
      <c r="F29" s="2091"/>
      <c r="G29" s="2092"/>
      <c r="H29" s="2091"/>
      <c r="I29" s="2091"/>
      <c r="J29" s="2091"/>
      <c r="K29" s="2092"/>
      <c r="L29" s="2091"/>
      <c r="M29" s="2092"/>
      <c r="N29" s="2091"/>
      <c r="O29" s="2092"/>
      <c r="P29" s="2091"/>
      <c r="Q29" s="2092"/>
      <c r="R29" s="2092"/>
      <c r="S29" s="2092"/>
      <c r="T29" s="3510"/>
      <c r="U29" s="2094"/>
      <c r="V29" s="2092"/>
      <c r="W29" s="2088"/>
    </row>
    <row r="30" spans="1:23" ht="17.149999999999999" customHeight="1">
      <c r="A30" s="1612"/>
      <c r="B30" s="2059" t="s">
        <v>937</v>
      </c>
      <c r="C30" s="2059"/>
      <c r="D30" s="2091">
        <v>0</v>
      </c>
      <c r="E30" s="2091"/>
      <c r="F30" s="2091">
        <v>70245848</v>
      </c>
      <c r="G30" s="2092"/>
      <c r="H30" s="2091">
        <v>0</v>
      </c>
      <c r="I30" s="2091"/>
      <c r="J30" s="2091">
        <v>0</v>
      </c>
      <c r="K30" s="2092"/>
      <c r="L30" s="2091">
        <v>0</v>
      </c>
      <c r="M30" s="2092"/>
      <c r="N30" s="2091">
        <v>0</v>
      </c>
      <c r="O30" s="2092"/>
      <c r="P30" s="2091">
        <v>0</v>
      </c>
      <c r="Q30" s="2092"/>
      <c r="R30" s="2092">
        <f>ROUND(SUM(D30:Q30),0)</f>
        <v>70245848</v>
      </c>
      <c r="S30" s="2092"/>
      <c r="T30" s="3544">
        <v>308540088</v>
      </c>
      <c r="U30" s="2094"/>
      <c r="V30" s="2094">
        <f t="shared" ref="V30:V41" si="2">SUM(R30-T30,0)</f>
        <v>-238294240</v>
      </c>
      <c r="W30" s="2088"/>
    </row>
    <row r="31" spans="1:23" ht="15.5">
      <c r="A31" s="1612"/>
      <c r="B31" s="2059" t="s">
        <v>936</v>
      </c>
      <c r="C31" s="2059"/>
      <c r="D31" s="2091">
        <v>0</v>
      </c>
      <c r="E31" s="2091">
        <v>0</v>
      </c>
      <c r="F31" s="2091">
        <v>0</v>
      </c>
      <c r="G31" s="2091">
        <v>0</v>
      </c>
      <c r="H31" s="2091">
        <v>0</v>
      </c>
      <c r="I31" s="2091">
        <v>0</v>
      </c>
      <c r="J31" s="2091">
        <v>0</v>
      </c>
      <c r="K31" s="2091">
        <v>0</v>
      </c>
      <c r="L31" s="2091">
        <v>0</v>
      </c>
      <c r="M31" s="2091"/>
      <c r="N31" s="2091">
        <v>0</v>
      </c>
      <c r="O31" s="2091"/>
      <c r="P31" s="2091">
        <v>0</v>
      </c>
      <c r="Q31" s="2091">
        <v>0</v>
      </c>
      <c r="R31" s="2092">
        <f>ROUND(SUM(D31:Q31),0)</f>
        <v>0</v>
      </c>
      <c r="S31" s="2092"/>
      <c r="T31" s="2091">
        <v>21772000</v>
      </c>
      <c r="U31" s="2094"/>
      <c r="V31" s="2094">
        <f t="shared" si="2"/>
        <v>-21772000</v>
      </c>
      <c r="W31" s="2088"/>
    </row>
    <row r="32" spans="1:23" ht="15.5">
      <c r="A32" s="1612"/>
      <c r="B32" s="2059" t="s">
        <v>888</v>
      </c>
      <c r="C32" s="2059"/>
      <c r="D32" s="2091">
        <v>0</v>
      </c>
      <c r="E32" s="2091">
        <v>0</v>
      </c>
      <c r="F32" s="2091">
        <v>0</v>
      </c>
      <c r="G32" s="2091">
        <v>0</v>
      </c>
      <c r="H32" s="2091">
        <v>0</v>
      </c>
      <c r="I32" s="2091">
        <v>0</v>
      </c>
      <c r="J32" s="2091">
        <v>0</v>
      </c>
      <c r="K32" s="2091">
        <v>0</v>
      </c>
      <c r="L32" s="2091">
        <v>0</v>
      </c>
      <c r="M32" s="2091"/>
      <c r="N32" s="2091">
        <v>17821175</v>
      </c>
      <c r="O32" s="2091"/>
      <c r="P32" s="2091">
        <v>0</v>
      </c>
      <c r="Q32" s="2091">
        <v>0</v>
      </c>
      <c r="R32" s="2092">
        <f>ROUND(SUM(D32:Q32),0)</f>
        <v>17821175</v>
      </c>
      <c r="S32" s="2092"/>
      <c r="T32" s="2091">
        <v>27320113</v>
      </c>
      <c r="U32" s="2094"/>
      <c r="V32" s="2094">
        <f t="shared" si="2"/>
        <v>-9498938</v>
      </c>
      <c r="W32" s="2088"/>
    </row>
    <row r="33" spans="1:25" ht="15.5">
      <c r="A33" s="1612"/>
      <c r="B33" s="2059" t="s">
        <v>449</v>
      </c>
      <c r="C33" s="2059"/>
      <c r="D33" s="2091"/>
      <c r="E33" s="2091"/>
      <c r="F33" s="2091"/>
      <c r="G33" s="2091"/>
      <c r="H33" s="2091"/>
      <c r="I33" s="2091"/>
      <c r="J33" s="2091"/>
      <c r="K33" s="2091"/>
      <c r="L33" s="2091"/>
      <c r="M33" s="2091"/>
      <c r="N33" s="2091"/>
      <c r="O33" s="2091"/>
      <c r="P33" s="2091"/>
      <c r="Q33" s="2091"/>
      <c r="R33" s="2092"/>
      <c r="S33" s="2092"/>
      <c r="T33" s="3510"/>
      <c r="U33" s="2094"/>
      <c r="V33" s="2092"/>
      <c r="W33" s="2088"/>
    </row>
    <row r="34" spans="1:25" ht="15.5">
      <c r="A34" s="1612"/>
      <c r="B34" s="2059" t="s">
        <v>450</v>
      </c>
      <c r="C34" s="2059"/>
      <c r="D34" s="2091">
        <v>0</v>
      </c>
      <c r="E34" s="2091">
        <v>0</v>
      </c>
      <c r="F34" s="2091">
        <v>0</v>
      </c>
      <c r="G34" s="2091">
        <v>0</v>
      </c>
      <c r="H34" s="2091">
        <v>0</v>
      </c>
      <c r="I34" s="2091">
        <v>0</v>
      </c>
      <c r="J34" s="2091">
        <v>0</v>
      </c>
      <c r="K34" s="2091">
        <v>0</v>
      </c>
      <c r="L34" s="2091">
        <v>0</v>
      </c>
      <c r="M34" s="2091"/>
      <c r="N34" s="2091">
        <v>0</v>
      </c>
      <c r="O34" s="2091"/>
      <c r="P34" s="2091">
        <v>0</v>
      </c>
      <c r="Q34" s="2091">
        <v>0</v>
      </c>
      <c r="R34" s="2092">
        <f t="shared" ref="R34:R39" si="3">ROUND(SUM(D34:Q34),0)</f>
        <v>0</v>
      </c>
      <c r="S34" s="2092"/>
      <c r="T34" s="2091">
        <v>26675</v>
      </c>
      <c r="U34" s="2095"/>
      <c r="V34" s="2094">
        <f t="shared" si="2"/>
        <v>-26675</v>
      </c>
      <c r="W34" s="2088"/>
    </row>
    <row r="35" spans="1:25" ht="15.5">
      <c r="A35" s="1612"/>
      <c r="B35" s="2097" t="s">
        <v>451</v>
      </c>
      <c r="C35" s="2098"/>
      <c r="D35" s="2091">
        <v>0</v>
      </c>
      <c r="E35" s="2091">
        <v>0</v>
      </c>
      <c r="F35" s="2091">
        <v>0</v>
      </c>
      <c r="G35" s="2091">
        <v>0</v>
      </c>
      <c r="H35" s="2091">
        <v>0</v>
      </c>
      <c r="I35" s="2091">
        <v>0</v>
      </c>
      <c r="J35" s="2091">
        <v>0</v>
      </c>
      <c r="K35" s="2091">
        <v>0</v>
      </c>
      <c r="L35" s="2091">
        <v>0</v>
      </c>
      <c r="M35" s="2091"/>
      <c r="N35" s="2091">
        <v>0</v>
      </c>
      <c r="O35" s="2091"/>
      <c r="P35" s="2091">
        <v>0</v>
      </c>
      <c r="Q35" s="2091">
        <v>0</v>
      </c>
      <c r="R35" s="2092">
        <f t="shared" si="3"/>
        <v>0</v>
      </c>
      <c r="S35" s="2092"/>
      <c r="T35" s="2091">
        <v>0</v>
      </c>
      <c r="U35" s="2095"/>
      <c r="V35" s="2094">
        <f t="shared" si="2"/>
        <v>0</v>
      </c>
      <c r="W35" s="2088"/>
    </row>
    <row r="36" spans="1:25" ht="15.5">
      <c r="A36" s="1612"/>
      <c r="B36" s="2059" t="s">
        <v>1233</v>
      </c>
      <c r="C36" s="2059"/>
      <c r="D36" s="2091">
        <v>0</v>
      </c>
      <c r="E36" s="2091">
        <v>0</v>
      </c>
      <c r="F36" s="2091">
        <v>4297108</v>
      </c>
      <c r="G36" s="2091">
        <v>0</v>
      </c>
      <c r="H36" s="2091">
        <v>0</v>
      </c>
      <c r="I36" s="2091">
        <v>0</v>
      </c>
      <c r="J36" s="2091">
        <v>0</v>
      </c>
      <c r="K36" s="2091">
        <v>0</v>
      </c>
      <c r="L36" s="2091">
        <v>0</v>
      </c>
      <c r="M36" s="2091"/>
      <c r="N36" s="2091">
        <v>0</v>
      </c>
      <c r="O36" s="2091"/>
      <c r="P36" s="2091">
        <v>0</v>
      </c>
      <c r="Q36" s="2091">
        <v>0</v>
      </c>
      <c r="R36" s="2092">
        <f t="shared" si="3"/>
        <v>4297108</v>
      </c>
      <c r="S36" s="2092"/>
      <c r="T36" s="2091">
        <v>4100254</v>
      </c>
      <c r="U36" s="2095"/>
      <c r="V36" s="2094">
        <f t="shared" si="2"/>
        <v>196854</v>
      </c>
      <c r="W36" s="2088"/>
    </row>
    <row r="37" spans="1:25" ht="15.5">
      <c r="A37" s="1612"/>
      <c r="B37" s="2097" t="s">
        <v>452</v>
      </c>
      <c r="C37" s="2098"/>
      <c r="D37" s="2091">
        <v>0</v>
      </c>
      <c r="E37" s="2091">
        <v>0</v>
      </c>
      <c r="F37" s="2091">
        <v>0</v>
      </c>
      <c r="G37" s="2091">
        <v>0</v>
      </c>
      <c r="H37" s="2091">
        <v>0</v>
      </c>
      <c r="I37" s="2091">
        <v>0</v>
      </c>
      <c r="J37" s="2091">
        <v>0</v>
      </c>
      <c r="K37" s="2091">
        <v>0</v>
      </c>
      <c r="L37" s="2091">
        <v>0</v>
      </c>
      <c r="M37" s="2091"/>
      <c r="N37" s="2091">
        <v>0</v>
      </c>
      <c r="O37" s="2091"/>
      <c r="P37" s="2091">
        <v>0</v>
      </c>
      <c r="Q37" s="2091">
        <v>0</v>
      </c>
      <c r="R37" s="2092">
        <f t="shared" si="3"/>
        <v>0</v>
      </c>
      <c r="S37" s="2092"/>
      <c r="T37" s="2091">
        <v>0</v>
      </c>
      <c r="U37" s="2094"/>
      <c r="V37" s="2094">
        <f t="shared" si="2"/>
        <v>0</v>
      </c>
      <c r="W37" s="2088"/>
    </row>
    <row r="38" spans="1:25" ht="15.5">
      <c r="A38" s="1612"/>
      <c r="B38" s="2069" t="s">
        <v>453</v>
      </c>
      <c r="C38" s="2069"/>
      <c r="D38" s="2091">
        <v>0</v>
      </c>
      <c r="E38" s="2091">
        <v>0</v>
      </c>
      <c r="F38" s="2091">
        <v>0</v>
      </c>
      <c r="G38" s="2091">
        <v>0</v>
      </c>
      <c r="H38" s="2091">
        <v>0</v>
      </c>
      <c r="I38" s="2091">
        <v>0</v>
      </c>
      <c r="J38" s="2091">
        <v>0</v>
      </c>
      <c r="K38" s="2091">
        <v>0</v>
      </c>
      <c r="L38" s="2091">
        <v>0</v>
      </c>
      <c r="M38" s="2091"/>
      <c r="N38" s="2091">
        <v>0</v>
      </c>
      <c r="O38" s="2091"/>
      <c r="P38" s="2091">
        <v>0</v>
      </c>
      <c r="Q38" s="2091">
        <v>0</v>
      </c>
      <c r="R38" s="2092">
        <f t="shared" si="3"/>
        <v>0</v>
      </c>
      <c r="S38" s="2092"/>
      <c r="T38" s="2091">
        <v>555750</v>
      </c>
      <c r="U38" s="2094"/>
      <c r="V38" s="2094">
        <f t="shared" si="2"/>
        <v>-555750</v>
      </c>
      <c r="W38" s="2088"/>
    </row>
    <row r="39" spans="1:25" ht="15.5">
      <c r="A39" s="1612"/>
      <c r="B39" s="2097" t="s">
        <v>1149</v>
      </c>
      <c r="C39" s="2098"/>
      <c r="D39" s="2091">
        <v>0</v>
      </c>
      <c r="E39" s="2091">
        <v>0</v>
      </c>
      <c r="F39" s="2091">
        <v>0</v>
      </c>
      <c r="G39" s="2091">
        <v>0</v>
      </c>
      <c r="H39" s="2091">
        <v>0</v>
      </c>
      <c r="I39" s="2091">
        <v>0</v>
      </c>
      <c r="J39" s="2091">
        <v>0</v>
      </c>
      <c r="K39" s="2091">
        <v>0</v>
      </c>
      <c r="L39" s="2091">
        <v>0</v>
      </c>
      <c r="M39" s="2091"/>
      <c r="N39" s="2091">
        <v>0</v>
      </c>
      <c r="O39" s="2091"/>
      <c r="P39" s="2091">
        <v>0</v>
      </c>
      <c r="Q39" s="2091">
        <v>0</v>
      </c>
      <c r="R39" s="2092">
        <f t="shared" si="3"/>
        <v>0</v>
      </c>
      <c r="S39" s="2092"/>
      <c r="T39" s="2091">
        <v>0</v>
      </c>
      <c r="U39" s="2094"/>
      <c r="V39" s="2094">
        <f t="shared" si="2"/>
        <v>0</v>
      </c>
      <c r="W39" s="2088"/>
    </row>
    <row r="40" spans="1:25" ht="16">
      <c r="A40" s="1611"/>
      <c r="B40" s="2059" t="s">
        <v>994</v>
      </c>
      <c r="C40" s="2059"/>
      <c r="D40" s="2091">
        <v>0</v>
      </c>
      <c r="E40" s="2091">
        <v>0</v>
      </c>
      <c r="F40" s="2091">
        <v>0</v>
      </c>
      <c r="G40" s="2091">
        <v>0</v>
      </c>
      <c r="H40" s="2091">
        <v>0</v>
      </c>
      <c r="I40" s="2091">
        <v>0</v>
      </c>
      <c r="J40" s="2091">
        <v>0</v>
      </c>
      <c r="K40" s="2091">
        <v>0</v>
      </c>
      <c r="L40" s="2091">
        <v>0</v>
      </c>
      <c r="M40" s="2091"/>
      <c r="N40" s="2091">
        <v>286525473</v>
      </c>
      <c r="O40" s="2091"/>
      <c r="P40" s="2091">
        <v>0</v>
      </c>
      <c r="Q40" s="2091">
        <v>0</v>
      </c>
      <c r="R40" s="2092">
        <f>ROUND(SUM(D40:Q40),0)</f>
        <v>286525473</v>
      </c>
      <c r="S40" s="2092"/>
      <c r="T40" s="2091">
        <v>5105575</v>
      </c>
      <c r="U40" s="2099"/>
      <c r="V40" s="2094">
        <f t="shared" si="2"/>
        <v>281419898</v>
      </c>
      <c r="W40" s="2088"/>
      <c r="Y40" s="1613"/>
    </row>
    <row r="41" spans="1:25" ht="16">
      <c r="B41" s="2059" t="s">
        <v>454</v>
      </c>
      <c r="C41" s="2059"/>
      <c r="D41" s="2091">
        <v>0</v>
      </c>
      <c r="E41" s="2091">
        <v>0</v>
      </c>
      <c r="F41" s="2091">
        <v>11603</v>
      </c>
      <c r="G41" s="2091">
        <v>0</v>
      </c>
      <c r="H41" s="2091">
        <v>0</v>
      </c>
      <c r="I41" s="2091">
        <v>0</v>
      </c>
      <c r="J41" s="2091">
        <v>0</v>
      </c>
      <c r="K41" s="2091">
        <v>0</v>
      </c>
      <c r="L41" s="2091">
        <v>0</v>
      </c>
      <c r="M41" s="2091"/>
      <c r="N41" s="2091">
        <v>0</v>
      </c>
      <c r="O41" s="2091"/>
      <c r="P41" s="2091">
        <v>0</v>
      </c>
      <c r="Q41" s="2091">
        <v>0</v>
      </c>
      <c r="R41" s="2092">
        <f>ROUND(SUM(D41:Q41),0)</f>
        <v>11603</v>
      </c>
      <c r="S41" s="2092"/>
      <c r="T41" s="3510">
        <v>60072</v>
      </c>
      <c r="U41" s="2100"/>
      <c r="V41" s="2094">
        <f t="shared" si="2"/>
        <v>-48469</v>
      </c>
      <c r="W41" s="2088"/>
    </row>
    <row r="42" spans="1:25" ht="16">
      <c r="A42" s="1614"/>
      <c r="B42" s="2062" t="s">
        <v>455</v>
      </c>
      <c r="C42" s="2062"/>
      <c r="D42" s="2065"/>
      <c r="E42" s="2065"/>
      <c r="F42" s="2065"/>
      <c r="G42" s="2065"/>
      <c r="H42" s="2101"/>
      <c r="I42" s="2101"/>
      <c r="J42" s="2093"/>
      <c r="K42" s="2093"/>
      <c r="L42" s="2093"/>
      <c r="M42" s="2093"/>
      <c r="N42" s="2101"/>
      <c r="O42" s="2101"/>
      <c r="P42" s="2101"/>
      <c r="Q42" s="2101"/>
      <c r="R42" s="2101"/>
      <c r="S42" s="2101"/>
      <c r="T42" s="2101"/>
      <c r="U42" s="2102"/>
      <c r="V42" s="2092"/>
      <c r="W42" s="2088"/>
    </row>
    <row r="43" spans="1:25" s="1610" customFormat="1" ht="16.5" thickBot="1">
      <c r="B43" s="2103" t="s">
        <v>456</v>
      </c>
      <c r="C43" s="2067"/>
      <c r="D43" s="2104">
        <f>ROUND(SUM(D15:D41),0)</f>
        <v>0</v>
      </c>
      <c r="E43" s="2105"/>
      <c r="F43" s="2104">
        <f>ROUND(SUM(F15:F41),0)</f>
        <v>127045289</v>
      </c>
      <c r="G43" s="2105"/>
      <c r="H43" s="2104">
        <f>ROUND(SUM(H15:H41),0)</f>
        <v>12802026</v>
      </c>
      <c r="I43" s="2105"/>
      <c r="J43" s="2104">
        <f>ROUND(SUM(J15:J41),0)</f>
        <v>0</v>
      </c>
      <c r="K43" s="2106"/>
      <c r="L43" s="2104">
        <f>ROUND(SUM(L15:L41),0)</f>
        <v>8615353</v>
      </c>
      <c r="M43" s="2106"/>
      <c r="N43" s="2104">
        <f>ROUND(SUM(N15:N41),0)</f>
        <v>878601728</v>
      </c>
      <c r="O43" s="2105"/>
      <c r="P43" s="2104">
        <f>ROUND(SUM(P15:P41),0)</f>
        <v>223441555</v>
      </c>
      <c r="Q43" s="2105"/>
      <c r="R43" s="2104">
        <f>ROUND(SUM(R15:R41),0)</f>
        <v>1250505951</v>
      </c>
      <c r="S43" s="2105"/>
      <c r="T43" s="2104">
        <f>ROUND(SUM(T15:T41),0)</f>
        <v>939751830</v>
      </c>
      <c r="U43" s="2105"/>
      <c r="V43" s="2104">
        <f>ROUND(SUM(V15:V41),0)</f>
        <v>310754121</v>
      </c>
      <c r="W43" s="2088"/>
    </row>
    <row r="44" spans="1:25" ht="16" thickTop="1">
      <c r="B44" s="2107"/>
      <c r="C44" s="2107"/>
      <c r="D44" s="2059"/>
      <c r="E44" s="2059"/>
      <c r="F44" s="2059"/>
      <c r="G44" s="2059"/>
      <c r="H44" s="2059"/>
      <c r="I44" s="2059"/>
      <c r="J44" s="2059"/>
      <c r="K44" s="2059"/>
      <c r="L44" s="2059"/>
      <c r="M44" s="2059"/>
      <c r="N44" s="2059"/>
      <c r="O44" s="2059"/>
      <c r="P44" s="2059"/>
      <c r="Q44" s="2059"/>
      <c r="R44" s="2059"/>
      <c r="S44" s="2059"/>
      <c r="T44" s="2059"/>
      <c r="U44" s="2059"/>
      <c r="V44" s="2108"/>
      <c r="W44" s="2060"/>
    </row>
    <row r="45" spans="1:25" ht="15.5">
      <c r="B45" s="2059"/>
      <c r="C45" s="2059"/>
      <c r="D45" s="2059"/>
      <c r="E45" s="2059"/>
      <c r="F45" s="2059"/>
      <c r="G45" s="2059"/>
      <c r="H45" s="2059"/>
      <c r="I45" s="2059"/>
      <c r="J45" s="2059"/>
      <c r="K45" s="2059"/>
      <c r="L45" s="2059"/>
      <c r="M45" s="2059"/>
      <c r="N45" s="2059"/>
      <c r="O45" s="2059"/>
      <c r="P45" s="2059"/>
      <c r="Q45" s="2059"/>
      <c r="R45" s="3415"/>
      <c r="S45" s="2059"/>
      <c r="T45" s="2059"/>
      <c r="U45" s="2059"/>
      <c r="V45" s="2059"/>
    </row>
    <row r="46" spans="1:25" ht="15.5">
      <c r="B46" s="1615"/>
      <c r="R46" s="3416"/>
    </row>
    <row r="47" spans="1:25" ht="15.5">
      <c r="B47" s="1615"/>
      <c r="R47" s="3810" t="s">
        <v>15</v>
      </c>
    </row>
    <row r="48" spans="1:25" ht="15.5">
      <c r="B48" s="1615"/>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69140625" defaultRowHeight="15.5"/>
  <cols>
    <col min="1" max="1" width="2.07421875" style="1336" customWidth="1"/>
    <col min="2" max="4" width="9.69140625" style="1336" customWidth="1"/>
    <col min="5" max="5" width="10.4609375" style="1336" customWidth="1"/>
    <col min="6" max="6" width="14.69140625" style="1336" customWidth="1"/>
    <col min="7" max="7" width="1.07421875" style="1336" customWidth="1"/>
    <col min="8" max="8" width="16.69140625" style="1336" customWidth="1"/>
    <col min="9" max="9" width="1.07421875" style="1336" customWidth="1"/>
    <col min="10" max="10" width="16.69140625" style="1336" bestFit="1" customWidth="1"/>
    <col min="11" max="11" width="9.69140625" style="1336" customWidth="1"/>
    <col min="12" max="12" width="15.69140625" style="1336" customWidth="1"/>
    <col min="13" max="16384" width="8.69140625" style="1336"/>
  </cols>
  <sheetData>
    <row r="1" spans="2:12">
      <c r="B1" s="3552" t="s">
        <v>963</v>
      </c>
    </row>
    <row r="2" spans="2:12">
      <c r="B2" s="825"/>
    </row>
    <row r="3" spans="2:12">
      <c r="B3" s="717" t="s">
        <v>0</v>
      </c>
      <c r="J3" s="1199" t="s">
        <v>1148</v>
      </c>
    </row>
    <row r="4" spans="2:12">
      <c r="B4" s="826" t="s">
        <v>1147</v>
      </c>
    </row>
    <row r="5" spans="2:12">
      <c r="B5" s="1943" t="s">
        <v>1551</v>
      </c>
      <c r="C5" s="1944"/>
      <c r="D5" s="1944"/>
      <c r="E5" s="1944"/>
      <c r="F5" s="1944"/>
      <c r="G5" s="1944"/>
      <c r="H5" s="1944"/>
      <c r="I5" s="1944"/>
      <c r="J5" s="1944"/>
      <c r="K5" s="1944"/>
      <c r="L5" s="1944"/>
    </row>
    <row r="6" spans="2:12">
      <c r="B6" s="1943" t="s">
        <v>870</v>
      </c>
      <c r="C6" s="1944"/>
      <c r="D6" s="1944"/>
      <c r="E6" s="1944"/>
      <c r="F6" s="1944"/>
      <c r="G6" s="1944"/>
      <c r="H6" s="1944"/>
      <c r="I6" s="1944"/>
      <c r="J6" s="1944"/>
      <c r="K6" s="1944"/>
      <c r="L6" s="1944"/>
    </row>
    <row r="7" spans="2:12">
      <c r="B7" s="1943" t="s">
        <v>1365</v>
      </c>
      <c r="C7" s="1945"/>
      <c r="D7" s="1945"/>
      <c r="E7" s="1945"/>
      <c r="F7" s="1945"/>
      <c r="G7" s="1945"/>
      <c r="H7" s="1945"/>
      <c r="I7" s="1945"/>
      <c r="J7" s="1945"/>
      <c r="K7" s="1945"/>
      <c r="L7" s="1945"/>
    </row>
    <row r="8" spans="2:12">
      <c r="B8" s="396"/>
      <c r="G8" s="396"/>
      <c r="I8" s="396"/>
    </row>
    <row r="9" spans="2:12">
      <c r="B9" s="396"/>
      <c r="F9" s="397" t="s">
        <v>7</v>
      </c>
      <c r="G9" s="396"/>
      <c r="H9" s="398" t="s">
        <v>458</v>
      </c>
      <c r="I9" s="396"/>
      <c r="J9" s="397" t="s">
        <v>457</v>
      </c>
    </row>
    <row r="10" spans="2:12">
      <c r="B10" s="396"/>
      <c r="F10" s="399" t="s">
        <v>1541</v>
      </c>
      <c r="G10" s="396"/>
      <c r="H10" s="398" t="s">
        <v>460</v>
      </c>
      <c r="I10" s="396"/>
      <c r="J10" s="398" t="s">
        <v>459</v>
      </c>
    </row>
    <row r="11" spans="2:12">
      <c r="B11" s="396"/>
      <c r="F11" s="1895"/>
      <c r="G11" s="396"/>
      <c r="H11" s="1895"/>
      <c r="I11" s="396"/>
      <c r="J11" s="1895"/>
    </row>
    <row r="12" spans="2:12">
      <c r="B12" s="400" t="s">
        <v>956</v>
      </c>
      <c r="G12" s="396"/>
      <c r="I12" s="396"/>
      <c r="J12" s="716"/>
      <c r="K12" s="716"/>
    </row>
    <row r="13" spans="2:12">
      <c r="B13" s="396"/>
      <c r="G13" s="396"/>
      <c r="I13" s="396"/>
      <c r="J13" s="716"/>
      <c r="K13" s="716"/>
    </row>
    <row r="14" spans="2:12">
      <c r="B14" s="662" t="s">
        <v>955</v>
      </c>
      <c r="F14" s="3096">
        <v>34725.300000000003</v>
      </c>
      <c r="G14" s="3096"/>
      <c r="H14" s="3418">
        <v>28995.3</v>
      </c>
      <c r="I14" s="1337"/>
      <c r="J14" s="3096">
        <v>18820.400000000001</v>
      </c>
      <c r="K14" s="716"/>
    </row>
    <row r="15" spans="2:12">
      <c r="B15" s="662" t="s">
        <v>954</v>
      </c>
      <c r="F15" s="3097">
        <v>1.2199999999999999E-3</v>
      </c>
      <c r="G15" s="714"/>
      <c r="H15" s="3419">
        <v>2.3999999999999998E-3</v>
      </c>
      <c r="I15" s="805"/>
      <c r="J15" s="3097">
        <v>2.3179999999999999E-2</v>
      </c>
      <c r="K15" s="716"/>
    </row>
    <row r="16" spans="2:12">
      <c r="B16" s="805" t="s">
        <v>461</v>
      </c>
      <c r="F16" s="3098">
        <v>3.5779999999999998</v>
      </c>
      <c r="G16" s="3420"/>
      <c r="H16" s="3421">
        <v>40.893999999999998</v>
      </c>
      <c r="I16" s="900"/>
      <c r="J16" s="3098">
        <v>265.35399999999998</v>
      </c>
      <c r="K16" s="716"/>
    </row>
    <row r="17" spans="2:11">
      <c r="B17" s="396"/>
      <c r="J17" s="716"/>
      <c r="K17" s="402"/>
    </row>
    <row r="18" spans="2:11">
      <c r="B18" s="876"/>
      <c r="C18" s="1338"/>
      <c r="D18" s="1338"/>
      <c r="E18" s="1338"/>
      <c r="F18" s="1338"/>
      <c r="G18" s="1338"/>
      <c r="H18" s="1338"/>
      <c r="I18" s="1338"/>
      <c r="J18" s="3115"/>
      <c r="K18" s="876"/>
    </row>
    <row r="19" spans="2:11">
      <c r="B19" s="876"/>
      <c r="C19" s="1338"/>
      <c r="D19" s="1338"/>
      <c r="E19" s="1338"/>
      <c r="F19" s="1338"/>
      <c r="G19" s="1338"/>
      <c r="H19" s="1338"/>
      <c r="I19" s="1338"/>
      <c r="J19" s="3115"/>
      <c r="K19" s="876"/>
    </row>
    <row r="20" spans="2:11" ht="18">
      <c r="B20" s="877" t="s">
        <v>462</v>
      </c>
      <c r="C20" s="878"/>
      <c r="D20" s="878"/>
      <c r="E20" s="1338"/>
      <c r="F20" s="1338"/>
      <c r="G20" s="1338"/>
      <c r="H20" s="1338"/>
      <c r="I20" s="1338"/>
      <c r="J20" s="3115"/>
      <c r="K20" s="876"/>
    </row>
    <row r="21" spans="2:11">
      <c r="B21" s="876"/>
      <c r="C21" s="1338"/>
      <c r="D21" s="1338"/>
      <c r="E21" s="1338"/>
      <c r="F21" s="1338"/>
      <c r="G21" s="621"/>
      <c r="H21" s="621" t="str">
        <f>F10</f>
        <v>OCTOBER 2020</v>
      </c>
      <c r="I21" s="2138"/>
      <c r="J21" s="3513" t="s">
        <v>1552</v>
      </c>
      <c r="K21" s="876"/>
    </row>
    <row r="22" spans="2:11">
      <c r="B22" s="876"/>
      <c r="C22" s="879" t="s">
        <v>463</v>
      </c>
      <c r="D22" s="1338"/>
      <c r="E22" s="1339" t="s">
        <v>15</v>
      </c>
      <c r="F22" s="1338"/>
      <c r="G22" s="880"/>
      <c r="H22" s="1948" t="s">
        <v>464</v>
      </c>
      <c r="I22" s="880"/>
      <c r="J22" s="3514" t="s">
        <v>464</v>
      </c>
      <c r="K22" s="876"/>
    </row>
    <row r="23" spans="2:11">
      <c r="B23" s="876"/>
      <c r="C23" s="1339" t="s">
        <v>465</v>
      </c>
      <c r="D23" s="1338"/>
      <c r="E23" s="1338"/>
      <c r="F23" s="1338"/>
      <c r="G23" s="1340"/>
      <c r="H23" s="1341">
        <v>15356.2</v>
      </c>
      <c r="I23" s="1340"/>
      <c r="J23" s="3696">
        <v>3893.3</v>
      </c>
      <c r="K23" s="876"/>
    </row>
    <row r="24" spans="2:11">
      <c r="B24" s="876"/>
      <c r="C24" s="1339" t="s">
        <v>466</v>
      </c>
      <c r="D24" s="1338"/>
      <c r="E24" s="1338"/>
      <c r="F24" s="1338"/>
      <c r="G24" s="1340"/>
      <c r="H24" s="1342">
        <v>20.8</v>
      </c>
      <c r="I24" s="1340"/>
      <c r="J24" s="3697">
        <v>77.3</v>
      </c>
      <c r="K24" s="876"/>
    </row>
    <row r="25" spans="2:11">
      <c r="B25" s="876"/>
      <c r="C25" s="1339" t="s">
        <v>1534</v>
      </c>
      <c r="D25" s="1338"/>
      <c r="E25" s="1338"/>
      <c r="F25" s="1338"/>
      <c r="G25" s="1340"/>
      <c r="H25" s="1342">
        <v>652.70000000000005</v>
      </c>
      <c r="I25" s="1340"/>
      <c r="J25" s="3697">
        <v>0</v>
      </c>
      <c r="K25" s="876"/>
    </row>
    <row r="26" spans="2:11">
      <c r="B26" s="876"/>
      <c r="C26" s="1339" t="s">
        <v>467</v>
      </c>
      <c r="D26" s="1338"/>
      <c r="E26" s="1338"/>
      <c r="F26" s="1338"/>
      <c r="G26" s="1343"/>
      <c r="H26" s="1342">
        <v>15255.1</v>
      </c>
      <c r="I26" s="1343"/>
      <c r="J26" s="3698">
        <v>13681.7</v>
      </c>
      <c r="K26" s="876" t="s">
        <v>15</v>
      </c>
    </row>
    <row r="27" spans="2:11">
      <c r="B27" s="876"/>
      <c r="C27" s="1339" t="s">
        <v>468</v>
      </c>
      <c r="D27" s="1338"/>
      <c r="E27" s="1338"/>
      <c r="F27" s="1338"/>
      <c r="G27" s="1343"/>
      <c r="H27" s="1342">
        <v>2902</v>
      </c>
      <c r="I27" s="1343"/>
      <c r="J27" s="3698">
        <v>2941.9</v>
      </c>
      <c r="K27" s="876" t="s">
        <v>15</v>
      </c>
    </row>
    <row r="28" spans="2:11">
      <c r="B28" s="876"/>
      <c r="C28" s="881" t="s">
        <v>833</v>
      </c>
      <c r="D28" s="1338"/>
      <c r="E28" s="1338"/>
      <c r="F28" s="1338"/>
      <c r="G28" s="1344"/>
      <c r="H28" s="1342">
        <v>48</v>
      </c>
      <c r="I28" s="1344"/>
      <c r="J28" s="3698">
        <v>8</v>
      </c>
      <c r="K28" s="876"/>
    </row>
    <row r="29" spans="2:11" ht="16" thickBot="1">
      <c r="B29" s="876"/>
      <c r="C29" s="1338"/>
      <c r="D29" s="1338"/>
      <c r="E29" s="1338"/>
      <c r="F29" s="1338"/>
      <c r="G29" s="401"/>
      <c r="H29" s="1896">
        <f>ROUND(SUM(H23:H28),1)</f>
        <v>34234.800000000003</v>
      </c>
      <c r="I29" s="401"/>
      <c r="J29" s="3431">
        <f>ROUND(SUM(J23:J28),1)</f>
        <v>20602.2</v>
      </c>
      <c r="K29" s="876"/>
    </row>
    <row r="30" spans="2:11" ht="16" thickTop="1">
      <c r="B30" s="396"/>
      <c r="G30" s="1345"/>
      <c r="H30" s="1345"/>
      <c r="I30" s="1345"/>
      <c r="J30" s="716"/>
      <c r="K30" s="396"/>
    </row>
    <row r="31" spans="2:11">
      <c r="B31" s="396"/>
      <c r="K31" s="396"/>
    </row>
    <row r="32" spans="2:11">
      <c r="B32" s="400"/>
      <c r="K32" s="396"/>
    </row>
    <row r="33" spans="2:12" ht="192.75" customHeight="1">
      <c r="B33" s="3957" t="s">
        <v>1486</v>
      </c>
      <c r="C33" s="3957"/>
      <c r="D33" s="3957"/>
      <c r="E33" s="3957"/>
      <c r="F33" s="3957"/>
      <c r="G33" s="3957"/>
      <c r="H33" s="3957"/>
      <c r="I33" s="3957"/>
      <c r="J33" s="3957"/>
      <c r="K33" s="396"/>
    </row>
    <row r="35" spans="2:12" ht="15" customHeight="1">
      <c r="B35" s="648" t="s">
        <v>957</v>
      </c>
      <c r="C35" s="715"/>
      <c r="D35" s="715"/>
      <c r="E35" s="715"/>
      <c r="F35" s="715"/>
      <c r="G35" s="715"/>
      <c r="H35" s="715"/>
      <c r="I35" s="715"/>
      <c r="J35" s="715"/>
      <c r="K35" s="715"/>
      <c r="L35" s="715"/>
    </row>
    <row r="36" spans="2:12" ht="17.25" customHeight="1">
      <c r="B36" s="713"/>
      <c r="C36" s="716"/>
      <c r="D36" s="716"/>
      <c r="E36" s="716"/>
      <c r="F36" s="716"/>
      <c r="G36" s="716"/>
      <c r="H36" s="716"/>
      <c r="I36" s="716"/>
      <c r="J36" s="716"/>
      <c r="K36" s="716"/>
      <c r="L36" s="402"/>
    </row>
    <row r="37" spans="2:12">
      <c r="B37" s="805"/>
      <c r="C37" s="805"/>
      <c r="D37" s="716"/>
      <c r="E37" s="716"/>
      <c r="F37" s="716"/>
      <c r="G37" s="716"/>
      <c r="H37" s="716"/>
      <c r="I37" s="716"/>
      <c r="J37" s="716"/>
      <c r="K37" s="716"/>
      <c r="L37" s="402"/>
    </row>
    <row r="38" spans="2:12">
      <c r="B38" s="713"/>
      <c r="C38" s="714"/>
      <c r="D38" s="716"/>
      <c r="E38" s="716"/>
      <c r="F38" s="716"/>
      <c r="G38" s="716"/>
      <c r="H38" s="716"/>
      <c r="I38" s="716"/>
      <c r="J38" s="716"/>
      <c r="K38" s="716"/>
      <c r="L38" s="402"/>
    </row>
    <row r="39" spans="2:12">
      <c r="B39" s="396"/>
      <c r="C39" s="805" t="s">
        <v>15</v>
      </c>
      <c r="D39" s="396"/>
      <c r="E39" s="396"/>
      <c r="F39" s="396"/>
      <c r="G39" s="396"/>
      <c r="H39" s="396"/>
      <c r="I39" s="396"/>
      <c r="J39" s="396"/>
    </row>
    <row r="40" spans="2:12">
      <c r="C40" s="805" t="s">
        <v>15</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zoomScaleNormal="70" workbookViewId="0"/>
  </sheetViews>
  <sheetFormatPr defaultColWidth="8.69140625" defaultRowHeight="15.5"/>
  <cols>
    <col min="1" max="1" width="45.4609375" style="1734" customWidth="1"/>
    <col min="2" max="2" width="17" style="1561" bestFit="1" customWidth="1"/>
    <col min="3" max="3" width="1.69140625" style="1561" customWidth="1"/>
    <col min="4" max="4" width="17" style="1561" bestFit="1" customWidth="1"/>
    <col min="5" max="5" width="1.69140625" style="1560" customWidth="1"/>
    <col min="6" max="6" width="17.07421875" style="1561" customWidth="1"/>
    <col min="7" max="7" width="1.69140625" style="1560" customWidth="1"/>
    <col min="8" max="8" width="17.53515625" style="1561" customWidth="1"/>
    <col min="9" max="9" width="1.69140625" style="1785" customWidth="1"/>
    <col min="10" max="10" width="16.4609375" style="1739" customWidth="1"/>
    <col min="11" max="11" width="1.69140625" style="1739" customWidth="1"/>
    <col min="12" max="12" width="17" style="1739" bestFit="1" customWidth="1"/>
    <col min="13" max="13" width="1.69140625" style="1785" customWidth="1"/>
    <col min="14" max="14" width="17.53515625" style="1739" customWidth="1"/>
    <col min="15" max="15" width="1.69140625" style="1785" customWidth="1"/>
    <col min="16" max="16" width="17.07421875" style="1739" customWidth="1"/>
    <col min="17" max="17" width="1.69140625" style="1785" customWidth="1"/>
    <col min="18" max="18" width="13.69140625" style="1739" customWidth="1"/>
    <col min="19" max="19" width="1.69140625" style="1785" customWidth="1"/>
    <col min="20" max="20" width="13.69140625" style="1739" customWidth="1"/>
    <col min="21" max="21" width="1.69140625" style="1785" customWidth="1"/>
    <col min="22" max="22" width="13.69140625" style="1739" customWidth="1"/>
    <col min="23" max="23" width="1.69140625" style="1785" customWidth="1"/>
    <col min="24" max="24" width="13.69140625" style="1739" customWidth="1"/>
    <col min="25" max="25" width="1.69140625" style="1785" customWidth="1"/>
    <col min="26" max="26" width="22.53515625" style="1786" customWidth="1"/>
    <col min="27" max="27" width="1.53515625" style="1752" customWidth="1"/>
    <col min="28" max="28" width="18.69140625" style="1734" bestFit="1" customWidth="1"/>
    <col min="29" max="29" width="12.69140625" style="1734" bestFit="1" customWidth="1"/>
    <col min="30" max="16384" width="8.69140625" style="1734"/>
  </cols>
  <sheetData>
    <row r="1" spans="1:40">
      <c r="A1" s="1499" t="s">
        <v>963</v>
      </c>
      <c r="B1" s="1306"/>
      <c r="C1" s="1306"/>
      <c r="D1" s="1306"/>
      <c r="E1" s="1306"/>
      <c r="F1" s="1306"/>
      <c r="G1" s="1306"/>
      <c r="H1" s="1306"/>
      <c r="I1" s="1733"/>
      <c r="J1" s="1733"/>
      <c r="K1" s="1733"/>
      <c r="L1" s="1733"/>
      <c r="M1" s="1733"/>
      <c r="N1" s="1733"/>
      <c r="O1" s="1733"/>
      <c r="P1" s="1733"/>
      <c r="Q1" s="1733"/>
      <c r="R1" s="1733"/>
      <c r="S1" s="1733"/>
      <c r="T1" s="1733"/>
      <c r="U1" s="1733"/>
      <c r="V1" s="1733"/>
      <c r="W1" s="1733"/>
      <c r="X1" s="1733"/>
      <c r="Y1" s="1733"/>
      <c r="Z1" s="1733"/>
      <c r="AA1" s="3447"/>
      <c r="AB1" s="1733"/>
      <c r="AC1" s="1733"/>
      <c r="AD1" s="1733"/>
      <c r="AE1" s="1733"/>
      <c r="AF1" s="1733"/>
      <c r="AG1" s="1733"/>
    </row>
    <row r="2" spans="1:40">
      <c r="A2" s="1499"/>
      <c r="B2" s="1306"/>
      <c r="C2" s="1306"/>
      <c r="D2" s="1306"/>
      <c r="E2" s="1306"/>
      <c r="F2" s="1306"/>
      <c r="G2" s="1306"/>
      <c r="H2" s="1306"/>
      <c r="I2" s="1733"/>
      <c r="J2" s="1733"/>
      <c r="K2" s="1733"/>
      <c r="L2" s="1733"/>
      <c r="M2" s="1733"/>
      <c r="N2" s="1733"/>
      <c r="O2" s="1733"/>
      <c r="P2" s="1733"/>
      <c r="Q2" s="1733"/>
      <c r="R2" s="1733"/>
      <c r="S2" s="1733"/>
      <c r="T2" s="1733"/>
      <c r="U2" s="1733"/>
      <c r="V2" s="1733"/>
      <c r="W2" s="1733"/>
      <c r="X2" s="1733"/>
      <c r="Y2" s="1733"/>
      <c r="Z2" s="1733"/>
      <c r="AA2" s="3447"/>
      <c r="AB2" s="1733"/>
      <c r="AC2" s="1733"/>
      <c r="AD2" s="1733"/>
      <c r="AE2" s="1733"/>
      <c r="AF2" s="1733"/>
      <c r="AG2" s="1733"/>
    </row>
    <row r="3" spans="1:40" ht="17.899999999999999" customHeight="1">
      <c r="A3" s="1735" t="s">
        <v>0</v>
      </c>
      <c r="B3" s="476"/>
      <c r="C3" s="476"/>
      <c r="D3" s="477"/>
      <c r="E3" s="478"/>
      <c r="F3" s="477"/>
      <c r="G3" s="478"/>
      <c r="H3" s="477"/>
      <c r="I3" s="1738"/>
      <c r="K3" s="1736"/>
      <c r="L3" s="1740"/>
      <c r="M3" s="1736"/>
      <c r="N3" s="1737"/>
      <c r="O3" s="1738"/>
      <c r="P3" s="1737"/>
      <c r="Q3" s="1738"/>
      <c r="R3" s="1737"/>
      <c r="S3" s="1738"/>
      <c r="T3" s="1737"/>
      <c r="U3" s="1738"/>
      <c r="V3" s="1737"/>
      <c r="W3" s="1738"/>
      <c r="X3" s="1737"/>
      <c r="Y3" s="1738"/>
      <c r="Z3" s="1741" t="s">
        <v>469</v>
      </c>
      <c r="AA3" s="3448"/>
      <c r="AC3" s="1736"/>
      <c r="AE3" s="1736"/>
    </row>
    <row r="4" spans="1:40" ht="17.899999999999999" customHeight="1">
      <c r="A4" s="1735" t="s">
        <v>470</v>
      </c>
      <c r="B4" s="1307"/>
      <c r="C4" s="1307"/>
      <c r="D4" s="480"/>
      <c r="E4" s="478"/>
      <c r="F4" s="1307"/>
      <c r="G4" s="478"/>
      <c r="H4" s="1307"/>
      <c r="I4" s="1738"/>
      <c r="J4" s="1742"/>
      <c r="K4" s="1742"/>
      <c r="L4" s="1742"/>
      <c r="M4" s="1743"/>
      <c r="N4" s="1742"/>
      <c r="O4" s="1738"/>
      <c r="P4" s="1742"/>
      <c r="Q4" s="1738"/>
      <c r="R4" s="1742"/>
      <c r="S4" s="1738"/>
      <c r="T4" s="1742"/>
      <c r="U4" s="1738"/>
      <c r="V4" s="1742"/>
      <c r="W4" s="1738"/>
      <c r="X4" s="1742"/>
      <c r="Y4" s="1738"/>
      <c r="Z4" s="1744"/>
      <c r="AA4" s="3448"/>
      <c r="AC4" s="1736"/>
    </row>
    <row r="5" spans="1:40" ht="17.899999999999999" customHeight="1">
      <c r="A5" s="1745" t="s">
        <v>1165</v>
      </c>
      <c r="B5" s="1307"/>
      <c r="C5" s="1307"/>
      <c r="D5" s="1307"/>
      <c r="E5" s="478"/>
      <c r="F5" s="1307"/>
      <c r="G5" s="478"/>
      <c r="H5" s="1307"/>
      <c r="I5" s="1738"/>
      <c r="J5" s="1742"/>
      <c r="K5" s="1742"/>
      <c r="L5" s="1742"/>
      <c r="M5" s="1743"/>
      <c r="N5" s="1742"/>
      <c r="O5" s="1738"/>
      <c r="P5" s="1742"/>
      <c r="Q5" s="1738"/>
      <c r="R5" s="1742"/>
      <c r="S5" s="1738"/>
      <c r="T5" s="1742"/>
      <c r="U5" s="1738"/>
      <c r="V5" s="1742"/>
      <c r="W5" s="1738"/>
      <c r="X5" s="1742"/>
      <c r="Y5" s="1738"/>
      <c r="Z5" s="1744"/>
    </row>
    <row r="6" spans="1:40" ht="17.899999999999999" customHeight="1">
      <c r="A6" s="1746" t="str">
        <f>'Cashflow Governmental'!A6</f>
        <v xml:space="preserve">FISCAL YEAR 2020-2021   </v>
      </c>
      <c r="B6" s="1307"/>
      <c r="C6" s="1307"/>
      <c r="D6" s="485"/>
      <c r="E6" s="478"/>
      <c r="F6" s="1307"/>
      <c r="G6" s="478"/>
      <c r="H6" s="1307"/>
      <c r="I6" s="1738"/>
      <c r="J6" s="1742"/>
      <c r="K6" s="1742"/>
      <c r="L6" s="1742"/>
      <c r="M6" s="1743"/>
      <c r="N6" s="1742"/>
      <c r="O6" s="1738"/>
      <c r="P6" s="1742"/>
      <c r="Q6" s="1738"/>
      <c r="R6" s="1742"/>
      <c r="S6" s="1738"/>
      <c r="T6" s="1742"/>
      <c r="U6" s="1738"/>
      <c r="V6" s="1742"/>
      <c r="W6" s="1738"/>
      <c r="X6" s="1742"/>
      <c r="Y6" s="1738"/>
      <c r="Z6" s="1744"/>
    </row>
    <row r="7" spans="1:40" ht="18">
      <c r="A7" s="1747"/>
      <c r="B7" s="1307"/>
      <c r="C7" s="1307"/>
      <c r="D7" s="1307"/>
      <c r="E7" s="478"/>
      <c r="F7" s="1307"/>
      <c r="G7" s="478"/>
      <c r="H7" s="1307"/>
      <c r="I7" s="1738"/>
      <c r="J7" s="1742"/>
      <c r="K7" s="1742"/>
      <c r="L7" s="1742"/>
      <c r="M7" s="1743"/>
      <c r="N7" s="1742"/>
      <c r="O7" s="1738"/>
      <c r="P7" s="1742"/>
      <c r="Q7" s="1738"/>
      <c r="R7" s="1748"/>
      <c r="S7" s="1738"/>
      <c r="T7" s="1748"/>
      <c r="U7" s="1738"/>
      <c r="V7" s="1748"/>
      <c r="W7" s="1738"/>
      <c r="X7" s="1748"/>
      <c r="Y7" s="1738"/>
      <c r="Z7" s="1744"/>
    </row>
    <row r="8" spans="1:40">
      <c r="A8" s="1749"/>
      <c r="B8" s="1307"/>
      <c r="C8" s="1307"/>
      <c r="D8" s="1307"/>
      <c r="E8" s="478"/>
      <c r="F8" s="1307"/>
      <c r="G8" s="478"/>
      <c r="H8" s="1307"/>
      <c r="I8" s="1738"/>
      <c r="J8" s="1742"/>
      <c r="K8" s="1742"/>
      <c r="L8" s="1742"/>
      <c r="M8" s="1738"/>
      <c r="N8" s="1742"/>
      <c r="O8" s="1738"/>
      <c r="P8" s="1742"/>
      <c r="Q8" s="1738"/>
      <c r="R8" s="1742"/>
      <c r="S8" s="1738"/>
      <c r="T8" s="1742"/>
      <c r="U8" s="1738"/>
      <c r="V8" s="1742"/>
      <c r="W8" s="1738"/>
      <c r="X8" s="1742"/>
      <c r="Y8" s="1738"/>
      <c r="Z8" s="1750"/>
      <c r="AA8" s="1751"/>
    </row>
    <row r="9" spans="1:40">
      <c r="A9" s="1752"/>
      <c r="B9" s="907" t="str">
        <f>'Cashflow Governmental'!C13</f>
        <v>2020</v>
      </c>
      <c r="C9" s="488"/>
      <c r="D9" s="488"/>
      <c r="E9" s="481"/>
      <c r="F9" s="488"/>
      <c r="G9" s="481"/>
      <c r="H9" s="488"/>
      <c r="I9" s="1743"/>
      <c r="J9" s="1754"/>
      <c r="K9" s="1754"/>
      <c r="L9" s="1755"/>
      <c r="M9" s="1743"/>
      <c r="N9" s="1755"/>
      <c r="O9" s="1743"/>
      <c r="P9" s="1755"/>
      <c r="Q9" s="1743"/>
      <c r="R9" s="1755"/>
      <c r="S9" s="1743"/>
      <c r="T9" s="1753" t="str">
        <f>'Cashflow Governmental'!U13</f>
        <v>2021</v>
      </c>
      <c r="U9" s="1743"/>
      <c r="V9" s="1755"/>
      <c r="W9" s="1743"/>
      <c r="X9" s="1755"/>
      <c r="Y9" s="1743"/>
      <c r="Z9" s="1756" t="s">
        <v>1553</v>
      </c>
      <c r="AA9" s="1756"/>
    </row>
    <row r="10" spans="1:40">
      <c r="A10" s="1752"/>
      <c r="B10" s="491" t="s">
        <v>124</v>
      </c>
      <c r="C10" s="492"/>
      <c r="D10" s="489" t="s">
        <v>125</v>
      </c>
      <c r="E10" s="481"/>
      <c r="F10" s="489" t="s">
        <v>126</v>
      </c>
      <c r="G10" s="481"/>
      <c r="H10" s="489" t="s">
        <v>127</v>
      </c>
      <c r="I10" s="1743"/>
      <c r="J10" s="1934" t="s">
        <v>128</v>
      </c>
      <c r="K10" s="493"/>
      <c r="L10" s="1755" t="s">
        <v>143</v>
      </c>
      <c r="M10" s="1743"/>
      <c r="N10" s="1755" t="s">
        <v>144</v>
      </c>
      <c r="O10" s="1743"/>
      <c r="P10" s="1755" t="s">
        <v>131</v>
      </c>
      <c r="Q10" s="1743"/>
      <c r="R10" s="1755" t="s">
        <v>132</v>
      </c>
      <c r="S10" s="1743"/>
      <c r="T10" s="1755" t="s">
        <v>133</v>
      </c>
      <c r="U10" s="1743"/>
      <c r="V10" s="1755" t="s">
        <v>134</v>
      </c>
      <c r="W10" s="1743"/>
      <c r="X10" s="1755" t="s">
        <v>185</v>
      </c>
      <c r="Y10" s="1743"/>
      <c r="Z10" s="1757">
        <v>44135</v>
      </c>
      <c r="AA10" s="1757"/>
    </row>
    <row r="11" spans="1:40">
      <c r="A11" s="1752"/>
      <c r="B11" s="1862" t="s">
        <v>15</v>
      </c>
      <c r="C11" s="1311"/>
      <c r="D11" s="1862" t="s">
        <v>15</v>
      </c>
      <c r="E11" s="1312"/>
      <c r="F11" s="1862" t="s">
        <v>15</v>
      </c>
      <c r="G11" s="1312"/>
      <c r="H11" s="1862" t="s">
        <v>15</v>
      </c>
      <c r="I11" s="1760"/>
      <c r="J11" s="1758" t="s">
        <v>15</v>
      </c>
      <c r="K11" s="493"/>
      <c r="L11" s="1758" t="s">
        <v>15</v>
      </c>
      <c r="M11" s="1760"/>
      <c r="N11" s="1758" t="s">
        <v>15</v>
      </c>
      <c r="O11" s="1760"/>
      <c r="P11" s="1758" t="s">
        <v>15</v>
      </c>
      <c r="Q11" s="1760"/>
      <c r="R11" s="1758" t="s">
        <v>15</v>
      </c>
      <c r="S11" s="1760"/>
      <c r="T11" s="1758" t="s">
        <v>15</v>
      </c>
      <c r="U11" s="1760"/>
      <c r="V11" s="1758" t="s">
        <v>15</v>
      </c>
      <c r="W11" s="1760"/>
      <c r="X11" s="1758" t="s">
        <v>15</v>
      </c>
      <c r="Y11" s="1760"/>
      <c r="Z11" s="1761" t="s">
        <v>15</v>
      </c>
      <c r="AB11" s="1762"/>
      <c r="AC11" s="1762"/>
      <c r="AD11" s="1762"/>
      <c r="AE11" s="1762"/>
      <c r="AF11" s="1762"/>
      <c r="AG11" s="1762"/>
      <c r="AH11" s="1762"/>
      <c r="AI11" s="1762"/>
      <c r="AJ11" s="1762"/>
      <c r="AK11" s="1762"/>
      <c r="AL11" s="1762"/>
      <c r="AM11" s="1762"/>
      <c r="AN11" s="1762"/>
    </row>
    <row r="12" spans="1:40" s="1764" customFormat="1">
      <c r="A12" s="507" t="s">
        <v>471</v>
      </c>
      <c r="B12" s="496">
        <v>15704540</v>
      </c>
      <c r="C12" s="497"/>
      <c r="D12" s="496">
        <f>B47</f>
        <v>95764658</v>
      </c>
      <c r="E12" s="1313"/>
      <c r="F12" s="496">
        <f>D47</f>
        <v>80082746</v>
      </c>
      <c r="G12" s="1313"/>
      <c r="H12" s="496">
        <f>F47</f>
        <v>490512199</v>
      </c>
      <c r="I12" s="1763"/>
      <c r="J12" s="496">
        <f>H47</f>
        <v>186132186</v>
      </c>
      <c r="K12" s="498"/>
      <c r="L12" s="509">
        <f>J47</f>
        <v>217721195</v>
      </c>
      <c r="M12" s="508"/>
      <c r="N12" s="509">
        <f>L47</f>
        <v>104334501</v>
      </c>
      <c r="O12" s="509"/>
      <c r="P12" s="509"/>
      <c r="Q12" s="509"/>
      <c r="R12" s="509"/>
      <c r="S12" s="509"/>
      <c r="T12" s="509"/>
      <c r="U12" s="509"/>
      <c r="V12" s="509"/>
      <c r="W12" s="509"/>
      <c r="X12" s="509"/>
      <c r="Y12" s="509"/>
      <c r="Z12" s="509">
        <f>+B12</f>
        <v>15704540</v>
      </c>
      <c r="AA12" s="3449"/>
    </row>
    <row r="13" spans="1:40">
      <c r="A13" s="1765"/>
      <c r="B13" s="1315"/>
      <c r="C13" s="1316"/>
      <c r="D13" s="1315"/>
      <c r="E13" s="1315"/>
      <c r="F13" s="1315"/>
      <c r="G13" s="1315"/>
      <c r="H13" s="1315"/>
      <c r="I13" s="1325"/>
      <c r="J13" s="1325"/>
      <c r="K13" s="493"/>
      <c r="L13" s="1325"/>
      <c r="M13" s="1325"/>
      <c r="N13" s="1325"/>
      <c r="O13" s="1325"/>
      <c r="P13" s="1325"/>
      <c r="Q13" s="1325"/>
      <c r="R13" s="1325"/>
      <c r="S13" s="1325"/>
      <c r="T13" s="1325"/>
      <c r="U13" s="1325"/>
      <c r="V13" s="1325"/>
      <c r="W13" s="1325"/>
      <c r="X13" s="1325"/>
      <c r="Y13" s="1325"/>
      <c r="Z13" s="1767"/>
    </row>
    <row r="14" spans="1:40">
      <c r="A14" s="506" t="s">
        <v>14</v>
      </c>
      <c r="B14" s="1315"/>
      <c r="C14" s="1316"/>
      <c r="D14" s="1315"/>
      <c r="E14" s="1315"/>
      <c r="F14" s="1315"/>
      <c r="G14" s="1315"/>
      <c r="H14" s="1315"/>
      <c r="I14" s="1325"/>
      <c r="J14" s="1325"/>
      <c r="K14" s="1325"/>
      <c r="L14" s="1325"/>
      <c r="M14" s="1325"/>
      <c r="N14" s="1325"/>
      <c r="O14" s="1325"/>
      <c r="P14" s="1325"/>
      <c r="Q14" s="1325"/>
      <c r="R14" s="1325"/>
      <c r="S14" s="1325"/>
      <c r="T14" s="1325"/>
      <c r="U14" s="1325"/>
      <c r="V14" s="1325"/>
      <c r="W14" s="1325"/>
      <c r="X14" s="1325"/>
      <c r="Y14" s="1325"/>
      <c r="Z14" s="1767"/>
    </row>
    <row r="15" spans="1:40">
      <c r="A15" s="817" t="s">
        <v>472</v>
      </c>
      <c r="B15" s="1318">
        <v>68786104</v>
      </c>
      <c r="C15" s="1319"/>
      <c r="D15" s="1318">
        <v>51352065</v>
      </c>
      <c r="E15" s="1318"/>
      <c r="F15" s="1318">
        <v>60187824</v>
      </c>
      <c r="G15" s="1318"/>
      <c r="H15" s="1318">
        <v>68798997</v>
      </c>
      <c r="I15" s="1323"/>
      <c r="J15" s="1318">
        <v>60405723</v>
      </c>
      <c r="K15" s="1323"/>
      <c r="L15" s="1318">
        <v>70952125</v>
      </c>
      <c r="M15" s="1325"/>
      <c r="N15" s="1323">
        <f>$Z15-$B15-$D15-$F15-$H15-$J15-$L15</f>
        <v>55756250</v>
      </c>
      <c r="O15" s="1323"/>
      <c r="P15" s="1323"/>
      <c r="Q15" s="1323"/>
      <c r="R15" s="1323"/>
      <c r="S15" s="1323"/>
      <c r="T15" s="1323"/>
      <c r="U15" s="1323"/>
      <c r="V15" s="1323"/>
      <c r="W15" s="1323"/>
      <c r="X15" s="1323"/>
      <c r="Y15" s="1323"/>
      <c r="Z15" s="1323">
        <v>436239088</v>
      </c>
    </row>
    <row r="16" spans="1:40">
      <c r="A16" s="817" t="s">
        <v>1465</v>
      </c>
      <c r="B16" s="1318">
        <v>2160000</v>
      </c>
      <c r="C16" s="1319"/>
      <c r="D16" s="1318">
        <v>1133000</v>
      </c>
      <c r="E16" s="1318"/>
      <c r="F16" s="1318">
        <v>1346000</v>
      </c>
      <c r="G16" s="1318"/>
      <c r="H16" s="1318">
        <v>1945000</v>
      </c>
      <c r="I16" s="1323"/>
      <c r="J16" s="1318">
        <v>1308000</v>
      </c>
      <c r="K16" s="1323"/>
      <c r="L16" s="1318">
        <v>2075000</v>
      </c>
      <c r="M16" s="1325"/>
      <c r="N16" s="1323">
        <f t="shared" ref="N16:N23" si="0">$Z16-$B16-$D16-$F16-$H16-$J16-$L16</f>
        <v>1665000</v>
      </c>
      <c r="O16" s="1323"/>
      <c r="P16" s="1323"/>
      <c r="Q16" s="1323"/>
      <c r="R16" s="1323"/>
      <c r="S16" s="1323"/>
      <c r="T16" s="1323"/>
      <c r="U16" s="1323"/>
      <c r="V16" s="1323"/>
      <c r="W16" s="1323"/>
      <c r="X16" s="1323"/>
      <c r="Y16" s="1323"/>
      <c r="Z16" s="1323">
        <v>11632000</v>
      </c>
    </row>
    <row r="17" spans="1:28">
      <c r="A17" s="817" t="s">
        <v>1457</v>
      </c>
      <c r="B17" s="1318">
        <v>25877</v>
      </c>
      <c r="C17" s="1319"/>
      <c r="D17" s="1318">
        <v>69976</v>
      </c>
      <c r="E17" s="1318"/>
      <c r="F17" s="1318">
        <v>11670725</v>
      </c>
      <c r="G17" s="1318"/>
      <c r="H17" s="1318">
        <v>-348272</v>
      </c>
      <c r="I17" s="1323"/>
      <c r="J17" s="1318">
        <v>-123922</v>
      </c>
      <c r="K17" s="1323"/>
      <c r="L17" s="1318">
        <v>7357137</v>
      </c>
      <c r="M17" s="1325"/>
      <c r="N17" s="1323">
        <f t="shared" si="0"/>
        <v>6765</v>
      </c>
      <c r="O17" s="1323"/>
      <c r="P17" s="1323"/>
      <c r="Q17" s="1323"/>
      <c r="R17" s="1323"/>
      <c r="S17" s="1323"/>
      <c r="T17" s="1323"/>
      <c r="U17" s="1323"/>
      <c r="V17" s="1323"/>
      <c r="W17" s="1323"/>
      <c r="X17" s="1323"/>
      <c r="Y17" s="1323"/>
      <c r="Z17" s="1323">
        <v>18658286</v>
      </c>
    </row>
    <row r="18" spans="1:28">
      <c r="A18" s="817" t="s">
        <v>473</v>
      </c>
      <c r="B18" s="1318">
        <v>382848</v>
      </c>
      <c r="C18" s="1319"/>
      <c r="D18" s="1318">
        <v>258771</v>
      </c>
      <c r="E18" s="1318"/>
      <c r="F18" s="1318">
        <v>58513</v>
      </c>
      <c r="G18" s="1318"/>
      <c r="H18" s="1318">
        <v>43854</v>
      </c>
      <c r="I18" s="1323"/>
      <c r="J18" s="1318">
        <v>53717</v>
      </c>
      <c r="K18" s="1323"/>
      <c r="L18" s="1318">
        <v>52869</v>
      </c>
      <c r="M18" s="1325"/>
      <c r="N18" s="1323">
        <f t="shared" si="0"/>
        <v>41598</v>
      </c>
      <c r="O18" s="1323"/>
      <c r="P18" s="1323"/>
      <c r="Q18" s="1323"/>
      <c r="R18" s="1323"/>
      <c r="S18" s="1323"/>
      <c r="T18" s="1323"/>
      <c r="U18" s="1323"/>
      <c r="V18" s="1323"/>
      <c r="W18" s="1323"/>
      <c r="X18" s="1323"/>
      <c r="Y18" s="1323"/>
      <c r="Z18" s="1323">
        <v>892170</v>
      </c>
    </row>
    <row r="19" spans="1:28">
      <c r="A19" s="817" t="s">
        <v>474</v>
      </c>
      <c r="B19" s="1318">
        <v>0</v>
      </c>
      <c r="C19" s="1321"/>
      <c r="D19" s="1318">
        <v>0</v>
      </c>
      <c r="E19" s="1863"/>
      <c r="F19" s="1318">
        <v>0</v>
      </c>
      <c r="G19" s="1863"/>
      <c r="H19" s="1318">
        <v>0</v>
      </c>
      <c r="I19" s="1323"/>
      <c r="J19" s="1318">
        <v>0</v>
      </c>
      <c r="K19" s="1768"/>
      <c r="L19" s="1318">
        <v>0</v>
      </c>
      <c r="M19" s="1325"/>
      <c r="N19" s="1323">
        <f t="shared" si="0"/>
        <v>0</v>
      </c>
      <c r="O19" s="1323"/>
      <c r="P19" s="1323"/>
      <c r="Q19" s="1323"/>
      <c r="R19" s="1323"/>
      <c r="S19" s="1323"/>
      <c r="T19" s="1323"/>
      <c r="U19" s="1323"/>
      <c r="V19" s="1323"/>
      <c r="W19" s="1323"/>
      <c r="X19" s="1323"/>
      <c r="Y19" s="1323"/>
      <c r="Z19" s="1329">
        <v>0</v>
      </c>
    </row>
    <row r="20" spans="1:28">
      <c r="A20" s="817" t="s">
        <v>475</v>
      </c>
      <c r="B20" s="1318">
        <v>478443458</v>
      </c>
      <c r="C20" s="1319"/>
      <c r="D20" s="1318">
        <v>390720867</v>
      </c>
      <c r="E20" s="1318"/>
      <c r="F20" s="1318">
        <v>437012587</v>
      </c>
      <c r="G20" s="1318"/>
      <c r="H20" s="1318">
        <v>376078217</v>
      </c>
      <c r="I20" s="1323"/>
      <c r="J20" s="1318">
        <v>389691001</v>
      </c>
      <c r="K20" s="1323"/>
      <c r="L20" s="1318">
        <v>454153792</v>
      </c>
      <c r="M20" s="1325"/>
      <c r="N20" s="1323">
        <f t="shared" si="0"/>
        <v>435070365</v>
      </c>
      <c r="O20" s="1323"/>
      <c r="P20" s="1323"/>
      <c r="Q20" s="1323"/>
      <c r="R20" s="1323"/>
      <c r="S20" s="1323"/>
      <c r="T20" s="1323"/>
      <c r="U20" s="1323"/>
      <c r="V20" s="1323"/>
      <c r="W20" s="1323"/>
      <c r="X20" s="1323"/>
      <c r="Y20" s="1323"/>
      <c r="Z20" s="1323">
        <v>2961170287</v>
      </c>
    </row>
    <row r="21" spans="1:28">
      <c r="A21" s="817" t="s">
        <v>476</v>
      </c>
      <c r="B21" s="1318">
        <v>327000</v>
      </c>
      <c r="C21" s="1321"/>
      <c r="D21" s="1318">
        <v>46000</v>
      </c>
      <c r="E21" s="1318"/>
      <c r="F21" s="1318">
        <v>561000</v>
      </c>
      <c r="G21" s="1318"/>
      <c r="H21" s="1318">
        <v>930000</v>
      </c>
      <c r="I21" s="1323"/>
      <c r="J21" s="1318">
        <v>776000</v>
      </c>
      <c r="K21" s="1326"/>
      <c r="L21" s="1318">
        <v>1404000</v>
      </c>
      <c r="M21" s="1325"/>
      <c r="N21" s="1323">
        <f t="shared" si="0"/>
        <v>199000</v>
      </c>
      <c r="O21" s="1323"/>
      <c r="P21" s="1323"/>
      <c r="Q21" s="1323"/>
      <c r="R21" s="1323"/>
      <c r="S21" s="1323"/>
      <c r="T21" s="1323"/>
      <c r="U21" s="1323"/>
      <c r="V21" s="1323"/>
      <c r="W21" s="1329"/>
      <c r="X21" s="1323"/>
      <c r="Y21" s="1323"/>
      <c r="Z21" s="1323">
        <v>4243000</v>
      </c>
    </row>
    <row r="22" spans="1:28">
      <c r="A22" s="817" t="s">
        <v>477</v>
      </c>
      <c r="B22" s="1318">
        <v>12000</v>
      </c>
      <c r="C22" s="1321"/>
      <c r="D22" s="1318">
        <v>4545140</v>
      </c>
      <c r="E22" s="1318"/>
      <c r="F22" s="1318">
        <v>5975618</v>
      </c>
      <c r="G22" s="1318"/>
      <c r="H22" s="1318">
        <v>9916208</v>
      </c>
      <c r="I22" s="1323"/>
      <c r="J22" s="1318">
        <v>2000366</v>
      </c>
      <c r="K22" s="1326"/>
      <c r="L22" s="1318">
        <v>4881029</v>
      </c>
      <c r="M22" s="1325"/>
      <c r="N22" s="1323">
        <f t="shared" si="0"/>
        <v>2789602</v>
      </c>
      <c r="O22" s="1323"/>
      <c r="P22" s="1323"/>
      <c r="Q22" s="1323"/>
      <c r="R22" s="1323"/>
      <c r="S22" s="1323"/>
      <c r="T22" s="1323"/>
      <c r="U22" s="1323"/>
      <c r="V22" s="1323"/>
      <c r="W22" s="1329"/>
      <c r="X22" s="1323"/>
      <c r="Y22" s="1323"/>
      <c r="Z22" s="1323">
        <v>30119963</v>
      </c>
    </row>
    <row r="23" spans="1:28">
      <c r="A23" s="817" t="s">
        <v>478</v>
      </c>
      <c r="B23" s="1318">
        <v>0</v>
      </c>
      <c r="C23" s="1321"/>
      <c r="D23" s="1318">
        <v>0</v>
      </c>
      <c r="E23" s="1318"/>
      <c r="F23" s="1318">
        <v>0</v>
      </c>
      <c r="G23" s="1318"/>
      <c r="H23" s="1318">
        <v>0</v>
      </c>
      <c r="I23" s="1323"/>
      <c r="J23" s="1318">
        <v>0</v>
      </c>
      <c r="K23" s="1326"/>
      <c r="L23" s="1318">
        <v>0</v>
      </c>
      <c r="M23" s="1325"/>
      <c r="N23" s="1323">
        <f t="shared" si="0"/>
        <v>0</v>
      </c>
      <c r="O23" s="1323"/>
      <c r="P23" s="1323"/>
      <c r="Q23" s="1323"/>
      <c r="R23" s="1323"/>
      <c r="S23" s="1323"/>
      <c r="T23" s="1323"/>
      <c r="U23" s="1323"/>
      <c r="V23" s="1323"/>
      <c r="W23" s="1329"/>
      <c r="X23" s="1323"/>
      <c r="Y23" s="1323"/>
      <c r="Z23" s="1323">
        <v>0</v>
      </c>
    </row>
    <row r="24" spans="1:28">
      <c r="A24" s="817" t="s">
        <v>479</v>
      </c>
      <c r="B24" s="1318">
        <v>0</v>
      </c>
      <c r="C24" s="1864"/>
      <c r="D24" s="1318">
        <v>0</v>
      </c>
      <c r="E24" s="1318"/>
      <c r="F24" s="1318">
        <v>297248</v>
      </c>
      <c r="G24" s="1318"/>
      <c r="H24" s="1318">
        <v>0</v>
      </c>
      <c r="I24" s="1323"/>
      <c r="J24" s="1318">
        <v>1148</v>
      </c>
      <c r="K24" s="1323"/>
      <c r="L24" s="1318">
        <v>0</v>
      </c>
      <c r="M24" s="1325"/>
      <c r="N24" s="1323">
        <f>$Z24-$B24-$D24-$F24-$H24-$J24-$L24</f>
        <v>483</v>
      </c>
      <c r="O24" s="1323"/>
      <c r="P24" s="1323"/>
      <c r="Q24" s="1323"/>
      <c r="R24" s="1323"/>
      <c r="S24" s="1323"/>
      <c r="T24" s="1323"/>
      <c r="U24" s="1323"/>
      <c r="V24" s="1323"/>
      <c r="W24" s="1323"/>
      <c r="X24" s="1323"/>
      <c r="Y24" s="1323"/>
      <c r="Z24" s="1323">
        <v>298879</v>
      </c>
    </row>
    <row r="25" spans="1:28" s="1764" customFormat="1">
      <c r="A25" s="506" t="s">
        <v>150</v>
      </c>
      <c r="B25" s="1865">
        <f>ROUND(SUM(B15:B24),0)</f>
        <v>550137287</v>
      </c>
      <c r="C25" s="502"/>
      <c r="D25" s="1865">
        <f>ROUND(SUM(D15:D24),0)</f>
        <v>448125819</v>
      </c>
      <c r="E25" s="503"/>
      <c r="F25" s="1865">
        <f>ROUND(SUM(F15:F24),0)</f>
        <v>517109515</v>
      </c>
      <c r="G25" s="503"/>
      <c r="H25" s="1865">
        <f>ROUND(SUM(H15:H24),0)</f>
        <v>457364004</v>
      </c>
      <c r="I25" s="1769"/>
      <c r="J25" s="1732">
        <f>ROUND(SUM(J15:J24),0)</f>
        <v>454112033</v>
      </c>
      <c r="K25" s="505"/>
      <c r="L25" s="1732">
        <f>ROUND(SUM(L15:L24),0)</f>
        <v>540875952</v>
      </c>
      <c r="M25" s="508"/>
      <c r="N25" s="1732">
        <f>ROUND(SUM(N15:N24),0)</f>
        <v>495529063</v>
      </c>
      <c r="O25" s="1769"/>
      <c r="P25" s="1732">
        <f>ROUND(SUM(P15:P24),0)</f>
        <v>0</v>
      </c>
      <c r="Q25" s="1769"/>
      <c r="R25" s="1732">
        <f>ROUND(SUM(R15:R24),0)</f>
        <v>0</v>
      </c>
      <c r="S25" s="1769"/>
      <c r="T25" s="1732">
        <f>ROUND(SUM(T15:T24),0)</f>
        <v>0</v>
      </c>
      <c r="U25" s="1769"/>
      <c r="V25" s="1732">
        <f>ROUND(SUM(V15:V24),0)</f>
        <v>0</v>
      </c>
      <c r="W25" s="1769"/>
      <c r="X25" s="1732">
        <f>ROUND(SUM(X15:X24),0)</f>
        <v>0</v>
      </c>
      <c r="Y25" s="1769"/>
      <c r="Z25" s="504">
        <f>ROUND(SUM(Z15:Z24),0)</f>
        <v>3463253673</v>
      </c>
      <c r="AA25" s="3449"/>
      <c r="AB25" s="1770"/>
    </row>
    <row r="26" spans="1:28">
      <c r="A26" s="1765"/>
      <c r="B26" s="1318"/>
      <c r="C26" s="1319"/>
      <c r="D26" s="1318"/>
      <c r="E26" s="1318"/>
      <c r="F26" s="1318"/>
      <c r="G26" s="1318"/>
      <c r="H26" s="1318"/>
      <c r="I26" s="1323"/>
      <c r="J26" s="1323"/>
      <c r="K26" s="1323"/>
      <c r="L26" s="1323"/>
      <c r="M26" s="1325"/>
      <c r="N26" s="1323"/>
      <c r="O26" s="1323"/>
      <c r="P26" s="1323"/>
      <c r="Q26" s="1323"/>
      <c r="R26" s="1323"/>
      <c r="S26" s="1323"/>
      <c r="T26" s="1323"/>
      <c r="U26" s="1323"/>
      <c r="V26" s="1323"/>
      <c r="W26" s="1323"/>
      <c r="X26" s="1323"/>
      <c r="Y26" s="1323"/>
      <c r="Z26" s="1320"/>
    </row>
    <row r="27" spans="1:28">
      <c r="A27" s="506" t="s">
        <v>23</v>
      </c>
      <c r="B27" s="1318"/>
      <c r="C27" s="1319"/>
      <c r="D27" s="1318"/>
      <c r="E27" s="1318"/>
      <c r="F27" s="1318"/>
      <c r="G27" s="1318"/>
      <c r="H27" s="1318"/>
      <c r="I27" s="1323"/>
      <c r="J27" s="1323"/>
      <c r="K27" s="1323"/>
      <c r="L27" s="1323"/>
      <c r="M27" s="1325"/>
      <c r="N27" s="1323"/>
      <c r="O27" s="1323"/>
      <c r="P27" s="1323"/>
      <c r="Q27" s="1323"/>
      <c r="R27" s="1323"/>
      <c r="S27" s="1323"/>
      <c r="T27" s="1323"/>
      <c r="U27" s="1323"/>
      <c r="V27" s="1323"/>
      <c r="W27" s="1323"/>
      <c r="X27" s="1323"/>
      <c r="Y27" s="1323"/>
      <c r="Z27" s="1320"/>
    </row>
    <row r="28" spans="1:28">
      <c r="A28" s="817" t="s">
        <v>480</v>
      </c>
      <c r="B28" s="1318">
        <v>466021724</v>
      </c>
      <c r="C28" s="1324"/>
      <c r="D28" s="1318">
        <v>462778011</v>
      </c>
      <c r="E28" s="1323"/>
      <c r="F28" s="1318">
        <v>97733246</v>
      </c>
      <c r="G28" s="1323"/>
      <c r="H28" s="1318">
        <v>756144082</v>
      </c>
      <c r="I28" s="1323"/>
      <c r="J28" s="1318">
        <v>414416738</v>
      </c>
      <c r="K28" s="1323"/>
      <c r="L28" s="1318">
        <v>642214484</v>
      </c>
      <c r="M28" s="1325"/>
      <c r="N28" s="1323">
        <f t="shared" ref="N28:N32" si="1">$Z28-$B28-$D28-$F28-$H28-$J28-$L28</f>
        <v>404418743</v>
      </c>
      <c r="O28" s="1323"/>
      <c r="P28" s="1323"/>
      <c r="Q28" s="1323"/>
      <c r="R28" s="1323"/>
      <c r="S28" s="1323"/>
      <c r="T28" s="1323"/>
      <c r="U28" s="1323"/>
      <c r="V28" s="1323"/>
      <c r="W28" s="1323"/>
      <c r="X28" s="1323"/>
      <c r="Y28" s="1323"/>
      <c r="Z28" s="1323">
        <v>3243727028</v>
      </c>
    </row>
    <row r="29" spans="1:28">
      <c r="A29" s="817" t="s">
        <v>481</v>
      </c>
      <c r="B29" s="1318">
        <v>36</v>
      </c>
      <c r="C29" s="1324"/>
      <c r="D29" s="1318">
        <v>22</v>
      </c>
      <c r="E29" s="1323"/>
      <c r="F29" s="1318">
        <v>26224</v>
      </c>
      <c r="G29" s="1323"/>
      <c r="H29" s="1318">
        <v>11452</v>
      </c>
      <c r="I29" s="1323"/>
      <c r="J29" s="1318">
        <v>-5834</v>
      </c>
      <c r="K29" s="1323"/>
      <c r="L29" s="1318">
        <v>-3803</v>
      </c>
      <c r="M29" s="1325"/>
      <c r="N29" s="1323">
        <f t="shared" si="1"/>
        <v>610</v>
      </c>
      <c r="O29" s="1323"/>
      <c r="P29" s="1323"/>
      <c r="Q29" s="1323"/>
      <c r="R29" s="1323"/>
      <c r="S29" s="1323"/>
      <c r="T29" s="1323"/>
      <c r="U29" s="1323"/>
      <c r="V29" s="1323"/>
      <c r="W29" s="1323"/>
      <c r="X29" s="1323"/>
      <c r="Y29" s="1323"/>
      <c r="Z29" s="1323">
        <v>28707</v>
      </c>
      <c r="AB29" s="1771"/>
    </row>
    <row r="30" spans="1:28">
      <c r="A30" s="817" t="s">
        <v>482</v>
      </c>
      <c r="B30" s="1318">
        <v>1509162</v>
      </c>
      <c r="C30" s="1324"/>
      <c r="D30" s="1318">
        <v>534992</v>
      </c>
      <c r="E30" s="1323"/>
      <c r="F30" s="1318">
        <v>1290941</v>
      </c>
      <c r="G30" s="1323"/>
      <c r="H30" s="1318">
        <v>270686</v>
      </c>
      <c r="I30" s="1323"/>
      <c r="J30" s="1318">
        <v>1523044</v>
      </c>
      <c r="K30" s="1323"/>
      <c r="L30" s="1318">
        <v>750054</v>
      </c>
      <c r="M30" s="1325"/>
      <c r="N30" s="1323">
        <f t="shared" si="1"/>
        <v>1609108</v>
      </c>
      <c r="O30" s="1323"/>
      <c r="P30" s="1323"/>
      <c r="Q30" s="1323"/>
      <c r="R30" s="1323"/>
      <c r="S30" s="1323"/>
      <c r="T30" s="1323"/>
      <c r="U30" s="1323"/>
      <c r="V30" s="1323"/>
      <c r="W30" s="1323"/>
      <c r="X30" s="1323"/>
      <c r="Y30" s="1323"/>
      <c r="Z30" s="1323">
        <v>7487987</v>
      </c>
    </row>
    <row r="31" spans="1:28">
      <c r="A31" s="817" t="s">
        <v>483</v>
      </c>
      <c r="B31" s="1318">
        <v>55956</v>
      </c>
      <c r="C31" s="1324"/>
      <c r="D31" s="1318">
        <v>-291867</v>
      </c>
      <c r="E31" s="1323"/>
      <c r="F31" s="1318">
        <v>5284609</v>
      </c>
      <c r="G31" s="1323"/>
      <c r="H31" s="1318">
        <v>4077923</v>
      </c>
      <c r="I31" s="1323"/>
      <c r="J31" s="1318">
        <v>3349084</v>
      </c>
      <c r="K31" s="1323"/>
      <c r="L31" s="1318">
        <v>7839793</v>
      </c>
      <c r="M31" s="1325"/>
      <c r="N31" s="1323">
        <f t="shared" si="1"/>
        <v>3878285</v>
      </c>
      <c r="O31" s="1323"/>
      <c r="P31" s="1323"/>
      <c r="Q31" s="1323"/>
      <c r="R31" s="1323"/>
      <c r="S31" s="1323"/>
      <c r="T31" s="1323"/>
      <c r="U31" s="1323"/>
      <c r="V31" s="1323"/>
      <c r="W31" s="1323"/>
      <c r="X31" s="1323"/>
      <c r="Y31" s="1323"/>
      <c r="Z31" s="1323">
        <v>24193783</v>
      </c>
    </row>
    <row r="32" spans="1:28">
      <c r="A32" s="817" t="s">
        <v>484</v>
      </c>
      <c r="B32" s="1318">
        <v>612447</v>
      </c>
      <c r="C32" s="1324"/>
      <c r="D32" s="1318">
        <v>299051</v>
      </c>
      <c r="E32" s="1323"/>
      <c r="F32" s="1318">
        <v>1164130</v>
      </c>
      <c r="G32" s="1323"/>
      <c r="H32" s="1318">
        <v>638546</v>
      </c>
      <c r="I32" s="1323"/>
      <c r="J32" s="1318">
        <v>568694</v>
      </c>
      <c r="K32" s="1323"/>
      <c r="L32" s="1318">
        <v>194836</v>
      </c>
      <c r="M32" s="1325"/>
      <c r="N32" s="1323">
        <f t="shared" si="1"/>
        <v>891073</v>
      </c>
      <c r="O32" s="1323"/>
      <c r="P32" s="1323"/>
      <c r="Q32" s="1323"/>
      <c r="R32" s="1323"/>
      <c r="S32" s="1323"/>
      <c r="T32" s="1323"/>
      <c r="U32" s="1323"/>
      <c r="V32" s="1323"/>
      <c r="W32" s="1323"/>
      <c r="X32" s="1323"/>
      <c r="Y32" s="1323"/>
      <c r="Z32" s="1323">
        <v>4368777</v>
      </c>
    </row>
    <row r="33" spans="1:28">
      <c r="A33" s="506" t="s">
        <v>156</v>
      </c>
      <c r="B33" s="1732">
        <f>ROUND(SUM(B28:B32),0)</f>
        <v>468199325</v>
      </c>
      <c r="C33" s="1324"/>
      <c r="D33" s="1732">
        <f>ROUND(SUM(D28:D32),0)</f>
        <v>463320209</v>
      </c>
      <c r="E33" s="1323"/>
      <c r="F33" s="1732">
        <f>ROUND(SUM(F28:F32),0)</f>
        <v>105499150</v>
      </c>
      <c r="G33" s="1323"/>
      <c r="H33" s="1732">
        <f>ROUND(SUM(H28:H32),0)</f>
        <v>761142689</v>
      </c>
      <c r="I33" s="1323"/>
      <c r="J33" s="1732">
        <f>ROUND(SUM(J28:J32),0)</f>
        <v>419851726</v>
      </c>
      <c r="K33" s="1323"/>
      <c r="L33" s="1732">
        <f>ROUND(SUM(L28:L32),0)</f>
        <v>650995364</v>
      </c>
      <c r="M33" s="1325"/>
      <c r="N33" s="1732">
        <f>ROUND(SUM(N28:N32),0)</f>
        <v>410797819</v>
      </c>
      <c r="O33" s="1323"/>
      <c r="P33" s="1732">
        <f>ROUND(SUM(P28:P32),0)</f>
        <v>0</v>
      </c>
      <c r="Q33" s="1323"/>
      <c r="R33" s="1732">
        <f>ROUND(SUM(R28:R32),0)</f>
        <v>0</v>
      </c>
      <c r="S33" s="1323"/>
      <c r="T33" s="1732">
        <f>ROUND(SUM(T28:T32),0)</f>
        <v>0</v>
      </c>
      <c r="U33" s="1323"/>
      <c r="V33" s="1732">
        <f>ROUND(SUM(V28:V32),0)</f>
        <v>0</v>
      </c>
      <c r="W33" s="1323"/>
      <c r="X33" s="1732">
        <f>ROUND(SUM(X28:X32),0)</f>
        <v>0</v>
      </c>
      <c r="Y33" s="1323"/>
      <c r="Z33" s="504">
        <f>ROUND(SUM(Z28:Z32),0)</f>
        <v>3279806282</v>
      </c>
    </row>
    <row r="34" spans="1:28">
      <c r="A34" s="506"/>
      <c r="B34" s="1323"/>
      <c r="C34" s="1324"/>
      <c r="D34" s="1323"/>
      <c r="E34" s="1323"/>
      <c r="F34" s="1329"/>
      <c r="G34" s="1323"/>
      <c r="H34" s="1329"/>
      <c r="I34" s="1323"/>
      <c r="J34" s="1323"/>
      <c r="K34" s="1323"/>
      <c r="L34" s="1323"/>
      <c r="M34" s="1325"/>
      <c r="N34" s="1323"/>
      <c r="O34" s="1323"/>
      <c r="P34" s="1323"/>
      <c r="Q34" s="1323"/>
      <c r="R34" s="1323"/>
      <c r="S34" s="1323"/>
      <c r="T34" s="1323"/>
      <c r="U34" s="1323"/>
      <c r="V34" s="1323"/>
      <c r="W34" s="1323"/>
      <c r="X34" s="1323"/>
      <c r="Y34" s="1323"/>
      <c r="Z34" s="1320"/>
    </row>
    <row r="35" spans="1:28">
      <c r="A35" s="507" t="s">
        <v>485</v>
      </c>
      <c r="B35" s="1329"/>
      <c r="C35" s="1330"/>
      <c r="D35" s="1329"/>
      <c r="E35" s="1323"/>
      <c r="F35" s="1328"/>
      <c r="G35" s="1323"/>
      <c r="H35" s="1329"/>
      <c r="I35" s="1323"/>
      <c r="J35" s="1329"/>
      <c r="K35" s="1323"/>
      <c r="L35" s="1329"/>
      <c r="M35" s="1325"/>
      <c r="N35" s="1329"/>
      <c r="O35" s="1323"/>
      <c r="P35" s="1329"/>
      <c r="Q35" s="1323"/>
      <c r="R35" s="1329"/>
      <c r="S35" s="1323"/>
      <c r="T35" s="1329"/>
      <c r="U35" s="1323"/>
      <c r="V35" s="1329"/>
      <c r="W35" s="1323"/>
      <c r="X35" s="1329"/>
      <c r="Y35" s="1323"/>
      <c r="Z35" s="1320"/>
    </row>
    <row r="36" spans="1:28">
      <c r="A36" s="817" t="s">
        <v>486</v>
      </c>
      <c r="B36" s="1318">
        <v>0</v>
      </c>
      <c r="C36" s="1330"/>
      <c r="D36" s="1318">
        <v>0</v>
      </c>
      <c r="E36" s="1323"/>
      <c r="F36" s="1318">
        <v>0</v>
      </c>
      <c r="G36" s="1323"/>
      <c r="H36" s="1318">
        <v>0</v>
      </c>
      <c r="I36" s="1323"/>
      <c r="J36" s="1318">
        <v>0</v>
      </c>
      <c r="K36" s="1323"/>
      <c r="L36" s="1318">
        <v>0</v>
      </c>
      <c r="M36" s="1325"/>
      <c r="N36" s="1323">
        <f t="shared" ref="N36:N42" si="2">$Z36-$B36-$D36-$F36-$H36-$J36-$L36</f>
        <v>0</v>
      </c>
      <c r="O36" s="1323"/>
      <c r="P36" s="1323"/>
      <c r="Q36" s="1323"/>
      <c r="R36" s="1323"/>
      <c r="S36" s="1323"/>
      <c r="T36" s="1323"/>
      <c r="U36" s="1323"/>
      <c r="V36" s="1323"/>
      <c r="W36" s="1323"/>
      <c r="X36" s="1323"/>
      <c r="Y36" s="1323"/>
      <c r="Z36" s="1323">
        <v>0</v>
      </c>
    </row>
    <row r="37" spans="1:28">
      <c r="A37" s="817" t="s">
        <v>487</v>
      </c>
      <c r="B37" s="1318">
        <v>0</v>
      </c>
      <c r="C37" s="1330"/>
      <c r="D37" s="1318">
        <v>0</v>
      </c>
      <c r="E37" s="1323"/>
      <c r="F37" s="1318">
        <v>297248</v>
      </c>
      <c r="G37" s="1323"/>
      <c r="H37" s="1318">
        <v>0</v>
      </c>
      <c r="I37" s="1323"/>
      <c r="J37" s="1318">
        <v>1147</v>
      </c>
      <c r="K37" s="1323"/>
      <c r="L37" s="1318">
        <v>0</v>
      </c>
      <c r="M37" s="1325"/>
      <c r="N37" s="1323">
        <f t="shared" si="2"/>
        <v>484</v>
      </c>
      <c r="O37" s="1323"/>
      <c r="P37" s="1323"/>
      <c r="Q37" s="1323"/>
      <c r="R37" s="1323"/>
      <c r="S37" s="1323"/>
      <c r="T37" s="1323"/>
      <c r="U37" s="1323"/>
      <c r="V37" s="1323"/>
      <c r="W37" s="1323"/>
      <c r="X37" s="1323"/>
      <c r="Y37" s="1323"/>
      <c r="Z37" s="1323">
        <v>298879</v>
      </c>
    </row>
    <row r="38" spans="1:28">
      <c r="A38" s="817" t="s">
        <v>145</v>
      </c>
      <c r="B38" s="1318">
        <v>0</v>
      </c>
      <c r="C38" s="1330"/>
      <c r="D38" s="1318">
        <v>0</v>
      </c>
      <c r="E38" s="1323"/>
      <c r="F38" s="1318">
        <v>0</v>
      </c>
      <c r="G38" s="1323"/>
      <c r="H38" s="1318">
        <v>0</v>
      </c>
      <c r="I38" s="1323"/>
      <c r="J38" s="1318">
        <v>2276000</v>
      </c>
      <c r="K38" s="1323"/>
      <c r="L38" s="1318">
        <v>2650324</v>
      </c>
      <c r="M38" s="1325"/>
      <c r="N38" s="1323">
        <f t="shared" si="2"/>
        <v>0</v>
      </c>
      <c r="O38" s="1323"/>
      <c r="P38" s="1323"/>
      <c r="Q38" s="1323"/>
      <c r="R38" s="1323"/>
      <c r="S38" s="1323"/>
      <c r="T38" s="1323"/>
      <c r="U38" s="1323"/>
      <c r="V38" s="1323"/>
      <c r="W38" s="1323"/>
      <c r="X38" s="1323"/>
      <c r="Y38" s="1323"/>
      <c r="Z38" s="1323">
        <v>4926324</v>
      </c>
    </row>
    <row r="39" spans="1:28">
      <c r="A39" s="817" t="s">
        <v>1466</v>
      </c>
      <c r="B39" s="1318" t="s">
        <v>15</v>
      </c>
      <c r="C39" s="1867"/>
      <c r="D39" s="1318"/>
      <c r="E39" s="1867"/>
      <c r="F39" s="1318"/>
      <c r="G39" s="1867"/>
      <c r="H39" s="1318"/>
      <c r="I39" s="1772"/>
      <c r="J39" s="1318"/>
      <c r="K39" s="1772"/>
      <c r="L39" s="1318"/>
      <c r="M39" s="1325"/>
      <c r="N39" s="1323"/>
      <c r="O39" s="1772"/>
      <c r="P39" s="1323"/>
      <c r="Q39" s="1772"/>
      <c r="R39" s="1323"/>
      <c r="S39" s="1772"/>
      <c r="T39" s="1323"/>
      <c r="U39" s="1772"/>
      <c r="V39" s="1323"/>
      <c r="W39" s="1772"/>
      <c r="X39" s="1323"/>
      <c r="Y39" s="1772"/>
      <c r="Z39" s="1772"/>
    </row>
    <row r="40" spans="1:28">
      <c r="A40" s="817" t="s">
        <v>488</v>
      </c>
      <c r="B40" s="1318">
        <v>989254</v>
      </c>
      <c r="C40" s="1330"/>
      <c r="D40" s="1318">
        <v>0</v>
      </c>
      <c r="E40" s="1323"/>
      <c r="F40" s="1318">
        <v>0</v>
      </c>
      <c r="G40" s="1323"/>
      <c r="H40" s="1318">
        <v>0</v>
      </c>
      <c r="I40" s="1323"/>
      <c r="J40" s="1318">
        <v>0</v>
      </c>
      <c r="K40" s="1323"/>
      <c r="L40" s="1318">
        <v>222807</v>
      </c>
      <c r="M40" s="1325"/>
      <c r="N40" s="1323">
        <f t="shared" si="2"/>
        <v>-1</v>
      </c>
      <c r="O40" s="1323"/>
      <c r="P40" s="1323"/>
      <c r="Q40" s="1323"/>
      <c r="R40" s="1323"/>
      <c r="S40" s="1323"/>
      <c r="T40" s="1323"/>
      <c r="U40" s="1323"/>
      <c r="V40" s="1323"/>
      <c r="W40" s="1323"/>
      <c r="X40" s="1323"/>
      <c r="Y40" s="1323"/>
      <c r="Z40" s="1323">
        <v>1212060</v>
      </c>
    </row>
    <row r="41" spans="1:28">
      <c r="A41" s="817" t="s">
        <v>489</v>
      </c>
      <c r="B41" s="1318">
        <v>0</v>
      </c>
      <c r="C41" s="1330"/>
      <c r="D41" s="1318">
        <v>0</v>
      </c>
      <c r="E41" s="1323"/>
      <c r="F41" s="1318">
        <v>0</v>
      </c>
      <c r="G41" s="1323"/>
      <c r="H41" s="1318">
        <v>0</v>
      </c>
      <c r="I41" s="1323"/>
      <c r="J41" s="1318">
        <v>0</v>
      </c>
      <c r="K41" s="1323"/>
      <c r="L41" s="1318">
        <v>0</v>
      </c>
      <c r="M41" s="1325"/>
      <c r="N41" s="1323">
        <f t="shared" si="2"/>
        <v>7100000</v>
      </c>
      <c r="O41" s="1323"/>
      <c r="P41" s="1323"/>
      <c r="Q41" s="1323"/>
      <c r="R41" s="1323"/>
      <c r="S41" s="1323"/>
      <c r="T41" s="1323"/>
      <c r="U41" s="1323"/>
      <c r="V41" s="1323"/>
      <c r="W41" s="1323"/>
      <c r="X41" s="1323"/>
      <c r="Y41" s="1323"/>
      <c r="Z41" s="1323">
        <v>7100000</v>
      </c>
    </row>
    <row r="42" spans="1:28">
      <c r="A42" s="817" t="s">
        <v>490</v>
      </c>
      <c r="B42" s="1318">
        <v>888590</v>
      </c>
      <c r="C42" s="1330"/>
      <c r="D42" s="1318">
        <v>487522</v>
      </c>
      <c r="E42" s="1323"/>
      <c r="F42" s="1318">
        <v>883664</v>
      </c>
      <c r="G42" s="1323"/>
      <c r="H42" s="1318">
        <v>601328</v>
      </c>
      <c r="I42" s="1323"/>
      <c r="J42" s="1318">
        <v>394151</v>
      </c>
      <c r="K42" s="1323"/>
      <c r="L42" s="1318">
        <v>394151</v>
      </c>
      <c r="M42" s="1325"/>
      <c r="N42" s="1323">
        <f t="shared" si="2"/>
        <v>384116</v>
      </c>
      <c r="O42" s="1323"/>
      <c r="P42" s="1323"/>
      <c r="Q42" s="1323"/>
      <c r="R42" s="1323"/>
      <c r="S42" s="1323"/>
      <c r="T42" s="1323"/>
      <c r="U42" s="1323"/>
      <c r="V42" s="1323"/>
      <c r="W42" s="1323"/>
      <c r="X42" s="1323"/>
      <c r="Y42" s="1323"/>
      <c r="Z42" s="1323">
        <v>4033522</v>
      </c>
    </row>
    <row r="43" spans="1:28">
      <c r="A43" s="506" t="s">
        <v>491</v>
      </c>
      <c r="B43" s="1868">
        <f>ROUND(SUM(B36:B42),0)</f>
        <v>1877844</v>
      </c>
      <c r="C43" s="1321"/>
      <c r="D43" s="1868">
        <f>ROUND(SUM(D36:D42),0)</f>
        <v>487522</v>
      </c>
      <c r="E43" s="1318"/>
      <c r="F43" s="1868">
        <f>ROUND(SUM(F36:F42),0)</f>
        <v>1180912</v>
      </c>
      <c r="G43" s="1318"/>
      <c r="H43" s="1868">
        <f>ROUND(SUM(H36:H42),0)</f>
        <v>601328</v>
      </c>
      <c r="I43" s="1323"/>
      <c r="J43" s="1773">
        <f>ROUND(SUM(J36:J42),0)</f>
        <v>2671298</v>
      </c>
      <c r="K43" s="1323"/>
      <c r="L43" s="1773">
        <f>ROUND(SUM(L36:L42),0)</f>
        <v>3267282</v>
      </c>
      <c r="M43" s="1325"/>
      <c r="N43" s="1773">
        <f>ROUND(SUM(N36:N42),0)</f>
        <v>7484599</v>
      </c>
      <c r="O43" s="1323"/>
      <c r="P43" s="1773">
        <f>ROUND(SUM(P36:P42),0)</f>
        <v>0</v>
      </c>
      <c r="Q43" s="1323"/>
      <c r="R43" s="1773">
        <f>ROUND(SUM(R36:R42),0)</f>
        <v>0</v>
      </c>
      <c r="S43" s="1323"/>
      <c r="T43" s="1773">
        <f>ROUND(SUM(T36:T42),0)</f>
        <v>0</v>
      </c>
      <c r="U43" s="1323"/>
      <c r="V43" s="1773">
        <f>ROUND(SUM(V36:V42),0)</f>
        <v>0</v>
      </c>
      <c r="W43" s="1323"/>
      <c r="X43" s="1773">
        <f>ROUND(SUM(X36:X42),0)</f>
        <v>0</v>
      </c>
      <c r="Y43" s="1323"/>
      <c r="Z43" s="1774">
        <f>ROUND(SUM(Z36:Z42),0)</f>
        <v>17570785</v>
      </c>
    </row>
    <row r="44" spans="1:28">
      <c r="B44" s="1869"/>
      <c r="C44" s="1321"/>
      <c r="D44" s="1869"/>
      <c r="E44" s="1318"/>
      <c r="F44" s="1870"/>
      <c r="G44" s="1318"/>
      <c r="H44" s="1869"/>
      <c r="I44" s="1323"/>
      <c r="J44" s="1775"/>
      <c r="K44" s="1323"/>
      <c r="L44" s="1775"/>
      <c r="M44" s="1325"/>
      <c r="N44" s="1775"/>
      <c r="O44" s="1323"/>
      <c r="P44" s="1775"/>
      <c r="Q44" s="1323"/>
      <c r="R44" s="1775"/>
      <c r="S44" s="1323"/>
      <c r="T44" s="1775"/>
      <c r="U44" s="1323"/>
      <c r="V44" s="1775"/>
      <c r="W44" s="1323"/>
      <c r="X44" s="1775"/>
      <c r="Y44" s="1323"/>
      <c r="Z44" s="1776"/>
    </row>
    <row r="45" spans="1:28" s="1764" customFormat="1">
      <c r="A45" s="506" t="s">
        <v>492</v>
      </c>
      <c r="B45" s="1332">
        <f>ROUND(B33+B43,0)</f>
        <v>470077169</v>
      </c>
      <c r="C45" s="502"/>
      <c r="D45" s="1332">
        <f>ROUND(D33+D43,0)</f>
        <v>463807731</v>
      </c>
      <c r="E45" s="503"/>
      <c r="F45" s="1332">
        <f>ROUND(F33+F43,0)</f>
        <v>106680062</v>
      </c>
      <c r="G45" s="503"/>
      <c r="H45" s="1332">
        <f>ROUND(H33+H43,0)</f>
        <v>761744017</v>
      </c>
      <c r="I45" s="1769"/>
      <c r="J45" s="1777">
        <f>ROUND(J33+J43,0)</f>
        <v>422523024</v>
      </c>
      <c r="K45" s="505"/>
      <c r="L45" s="1777">
        <f>ROUND(L33+L43,0)</f>
        <v>654262646</v>
      </c>
      <c r="M45" s="508"/>
      <c r="N45" s="1777">
        <f>ROUND(N33+N43,0)</f>
        <v>418282418</v>
      </c>
      <c r="O45" s="1769"/>
      <c r="P45" s="1777">
        <f>ROUND(P33+P43,0)</f>
        <v>0</v>
      </c>
      <c r="Q45" s="1769"/>
      <c r="R45" s="1777">
        <f>ROUND(R33+R43,0)</f>
        <v>0</v>
      </c>
      <c r="S45" s="1769"/>
      <c r="T45" s="1777">
        <f>ROUND(T33+T43,0)</f>
        <v>0</v>
      </c>
      <c r="U45" s="1769"/>
      <c r="V45" s="1777">
        <f>ROUND(V33+V43,0)</f>
        <v>0</v>
      </c>
      <c r="W45" s="1769"/>
      <c r="X45" s="1777">
        <f>ROUND(X33+X43,0)</f>
        <v>0</v>
      </c>
      <c r="Y45" s="1769"/>
      <c r="Z45" s="1777">
        <f>ROUND(Z33+Z43,0)</f>
        <v>3297377067</v>
      </c>
      <c r="AA45" s="3449"/>
      <c r="AB45" s="1770"/>
    </row>
    <row r="46" spans="1:28">
      <c r="A46" s="1765"/>
      <c r="B46" s="1316"/>
      <c r="C46" s="1316"/>
      <c r="D46" s="1316"/>
      <c r="E46" s="1315"/>
      <c r="F46" s="1316"/>
      <c r="G46" s="1315"/>
      <c r="H46" s="1316"/>
      <c r="I46" s="1325"/>
      <c r="J46" s="1766"/>
      <c r="K46" s="1766"/>
      <c r="L46" s="1766"/>
      <c r="M46" s="1325"/>
      <c r="N46" s="1766"/>
      <c r="O46" s="1325"/>
      <c r="P46" s="1766"/>
      <c r="Q46" s="1325"/>
      <c r="R46" s="1766"/>
      <c r="S46" s="1325"/>
      <c r="T46" s="1766"/>
      <c r="U46" s="1325"/>
      <c r="V46" s="1766"/>
      <c r="W46" s="1325"/>
      <c r="X46" s="1766"/>
      <c r="Y46" s="1325"/>
      <c r="Z46" s="1778"/>
    </row>
    <row r="47" spans="1:28" s="1764" customFormat="1" ht="16" thickBot="1">
      <c r="A47" s="507" t="s">
        <v>493</v>
      </c>
      <c r="B47" s="1564">
        <f>ROUND(B12+B25-B45,0)</f>
        <v>95764658</v>
      </c>
      <c r="C47" s="497"/>
      <c r="D47" s="1564">
        <f>ROUND(D12+D25-D45,0)</f>
        <v>80082746</v>
      </c>
      <c r="E47" s="1313"/>
      <c r="F47" s="1564">
        <f>ROUND(F12+F25-F45,0)</f>
        <v>490512199</v>
      </c>
      <c r="G47" s="1313"/>
      <c r="H47" s="1564">
        <f>ROUND(H12+H25-H45,0)</f>
        <v>186132186</v>
      </c>
      <c r="I47" s="1763"/>
      <c r="J47" s="1779">
        <f>ROUND(J12+J25-J45,0)</f>
        <v>217721195</v>
      </c>
      <c r="K47" s="498"/>
      <c r="L47" s="1779">
        <f>ROUND(L12+L25-L45,0)</f>
        <v>104334501</v>
      </c>
      <c r="M47" s="508"/>
      <c r="N47" s="1779">
        <f>ROUND(N12+N25-N45,0)</f>
        <v>181581146</v>
      </c>
      <c r="O47" s="509"/>
      <c r="P47" s="1779">
        <f>ROUND(P12+P25-P45,0)</f>
        <v>0</v>
      </c>
      <c r="Q47" s="509"/>
      <c r="R47" s="1779">
        <f>ROUND(R12+R25-R45,0)</f>
        <v>0</v>
      </c>
      <c r="S47" s="509"/>
      <c r="T47" s="1779">
        <f>ROUND(T12+T25-T45,0)</f>
        <v>0</v>
      </c>
      <c r="U47" s="509"/>
      <c r="V47" s="1779">
        <f>ROUND(V12+V25-V45,0)</f>
        <v>0</v>
      </c>
      <c r="W47" s="509"/>
      <c r="X47" s="1779">
        <f>ROUND(X12+X25-X45,0)</f>
        <v>0</v>
      </c>
      <c r="Y47" s="509"/>
      <c r="Z47" s="3009">
        <f>ROUND(Z12+Z25-Z45,0)</f>
        <v>181581146</v>
      </c>
      <c r="AA47" s="3449"/>
    </row>
    <row r="48" spans="1:28" ht="16" thickTop="1">
      <c r="A48" s="1765"/>
      <c r="B48" s="1311"/>
      <c r="C48" s="1311"/>
      <c r="D48" s="1311"/>
      <c r="E48" s="1334"/>
      <c r="F48" s="1311"/>
      <c r="G48" s="1334"/>
      <c r="H48" s="1311"/>
      <c r="I48" s="1780"/>
      <c r="J48" s="1759"/>
      <c r="K48" s="1759"/>
      <c r="L48" s="1759"/>
      <c r="M48" s="1780"/>
      <c r="N48" s="1759"/>
      <c r="O48" s="1780"/>
      <c r="P48" s="1759"/>
      <c r="Q48" s="1780"/>
      <c r="R48" s="1759"/>
      <c r="S48" s="1780"/>
      <c r="T48" s="1759"/>
      <c r="U48" s="1780"/>
      <c r="V48" s="1759"/>
      <c r="W48" s="1780"/>
      <c r="X48" s="1759"/>
      <c r="Y48" s="1780"/>
      <c r="Z48" s="1778"/>
    </row>
    <row r="49" spans="1:26">
      <c r="A49" s="1781"/>
      <c r="B49" s="1335"/>
      <c r="C49" s="1335"/>
      <c r="D49" s="1335"/>
      <c r="E49" s="1312"/>
      <c r="F49" s="1335"/>
      <c r="G49" s="1312"/>
      <c r="H49" s="1335"/>
      <c r="I49" s="1760"/>
      <c r="J49" s="1782"/>
      <c r="K49" s="1782"/>
      <c r="L49" s="1782"/>
      <c r="M49" s="1760"/>
      <c r="N49" s="1782"/>
      <c r="O49" s="1760"/>
      <c r="P49" s="1782"/>
      <c r="Q49" s="1760"/>
      <c r="R49" s="1782"/>
      <c r="S49" s="1760"/>
      <c r="T49" s="1782"/>
      <c r="U49" s="1760"/>
      <c r="V49" s="1782"/>
      <c r="W49" s="1760"/>
      <c r="X49" s="1782"/>
      <c r="Y49" s="1760"/>
      <c r="Z49" s="1764"/>
    </row>
    <row r="51" spans="1:26" ht="17.5">
      <c r="A51" s="1783"/>
      <c r="B51" s="1307"/>
      <c r="C51" s="1307"/>
      <c r="D51" s="1307"/>
      <c r="E51" s="478"/>
      <c r="F51" s="1307"/>
      <c r="G51" s="478"/>
      <c r="H51" s="1307"/>
      <c r="I51" s="1738"/>
      <c r="J51" s="1742"/>
      <c r="K51" s="1742"/>
      <c r="L51" s="1742"/>
      <c r="M51" s="1760"/>
      <c r="N51" s="1742"/>
      <c r="O51" s="1738"/>
      <c r="P51" s="1742"/>
      <c r="Q51" s="1738"/>
      <c r="R51" s="1742"/>
      <c r="S51" s="1738"/>
      <c r="T51" s="1742"/>
      <c r="U51" s="1738"/>
      <c r="V51" s="1742"/>
      <c r="W51" s="1738"/>
      <c r="X51" s="1742"/>
      <c r="Y51" s="1738"/>
      <c r="Z51" s="1744"/>
    </row>
    <row r="52" spans="1:26">
      <c r="A52" s="1752"/>
      <c r="B52" s="1335"/>
      <c r="C52" s="1335"/>
      <c r="D52" s="1335"/>
      <c r="E52" s="1312"/>
      <c r="F52" s="1335"/>
      <c r="G52" s="1312"/>
      <c r="H52" s="1335"/>
      <c r="I52" s="1760"/>
      <c r="J52" s="1782"/>
      <c r="K52" s="1782"/>
      <c r="L52" s="1782"/>
      <c r="M52" s="1760"/>
      <c r="N52" s="1782"/>
      <c r="O52" s="1760"/>
      <c r="P52" s="1782"/>
      <c r="Q52" s="1760"/>
      <c r="R52" s="1782"/>
      <c r="S52" s="1760"/>
      <c r="T52" s="1782"/>
      <c r="U52" s="1760"/>
      <c r="V52" s="1782"/>
      <c r="W52" s="1760"/>
      <c r="X52" s="1782"/>
      <c r="Y52" s="1760"/>
      <c r="Z52" s="1767"/>
    </row>
    <row r="53" spans="1:26">
      <c r="A53" s="1752"/>
      <c r="B53" s="1335"/>
      <c r="C53" s="1335"/>
      <c r="D53" s="1335"/>
      <c r="E53" s="1312"/>
      <c r="F53" s="1335"/>
      <c r="G53" s="1312"/>
      <c r="H53" s="1335"/>
      <c r="I53" s="1760"/>
      <c r="J53" s="1782"/>
      <c r="K53" s="1782"/>
      <c r="L53" s="1782"/>
      <c r="M53" s="1760"/>
      <c r="N53" s="1782"/>
      <c r="O53" s="1760"/>
      <c r="P53" s="1782"/>
      <c r="Q53" s="1760"/>
      <c r="R53" s="1782"/>
      <c r="S53" s="1760"/>
      <c r="T53" s="1782"/>
      <c r="U53" s="1760"/>
      <c r="V53" s="1782"/>
      <c r="W53" s="1760"/>
      <c r="X53" s="1782"/>
      <c r="Y53" s="1760"/>
      <c r="Z53" s="1767"/>
    </row>
    <row r="54" spans="1:26">
      <c r="A54" s="1749"/>
      <c r="B54" s="477"/>
      <c r="C54" s="477"/>
      <c r="D54" s="477"/>
      <c r="E54" s="478"/>
      <c r="F54" s="477"/>
      <c r="G54" s="478"/>
      <c r="H54" s="477"/>
      <c r="I54" s="1738"/>
      <c r="J54" s="1737"/>
      <c r="K54" s="1737"/>
      <c r="L54" s="1737"/>
      <c r="M54" s="1738"/>
      <c r="N54" s="1737"/>
      <c r="O54" s="1738"/>
      <c r="P54" s="1737"/>
      <c r="Q54" s="1738"/>
      <c r="R54" s="1737"/>
      <c r="S54" s="1738"/>
      <c r="T54" s="1737"/>
      <c r="U54" s="1738"/>
      <c r="V54" s="1737"/>
      <c r="W54" s="1738"/>
      <c r="X54" s="1737"/>
      <c r="Y54" s="1738"/>
      <c r="Z54" s="1784"/>
    </row>
    <row r="55" spans="1:26">
      <c r="A55" s="1749"/>
      <c r="B55" s="477"/>
      <c r="C55" s="477"/>
      <c r="D55" s="477"/>
      <c r="E55" s="478"/>
      <c r="F55" s="477"/>
      <c r="G55" s="478"/>
      <c r="H55" s="477"/>
      <c r="I55" s="1738"/>
      <c r="J55" s="1737"/>
      <c r="K55" s="1737"/>
      <c r="L55" s="1737"/>
      <c r="M55" s="1738"/>
      <c r="N55" s="1737"/>
      <c r="O55" s="1738"/>
      <c r="P55" s="1737"/>
      <c r="Q55" s="1738"/>
      <c r="R55" s="1737"/>
      <c r="S55" s="1738"/>
      <c r="T55" s="1737"/>
      <c r="U55" s="1738"/>
      <c r="V55" s="1737"/>
      <c r="W55" s="1738"/>
      <c r="X55" s="1737"/>
      <c r="Y55" s="1738"/>
      <c r="Z55" s="1784"/>
    </row>
    <row r="56" spans="1:26">
      <c r="A56" s="1749"/>
      <c r="B56" s="477"/>
      <c r="C56" s="477"/>
      <c r="D56" s="477"/>
      <c r="E56" s="478"/>
      <c r="F56" s="477"/>
      <c r="G56" s="478"/>
      <c r="H56" s="477"/>
      <c r="I56" s="1738"/>
      <c r="J56" s="1737"/>
      <c r="K56" s="1737"/>
      <c r="L56" s="1737"/>
      <c r="M56" s="1738"/>
      <c r="N56" s="1737"/>
      <c r="O56" s="1738"/>
      <c r="P56" s="1737"/>
      <c r="Q56" s="1738"/>
      <c r="R56" s="1737"/>
      <c r="S56" s="1738"/>
      <c r="T56" s="1737"/>
      <c r="U56" s="1738"/>
      <c r="V56" s="1737"/>
      <c r="W56" s="1738"/>
      <c r="X56" s="1737"/>
      <c r="Y56" s="1738"/>
      <c r="Z56" s="1784"/>
    </row>
    <row r="57" spans="1:26">
      <c r="A57" s="1749"/>
      <c r="B57" s="477"/>
      <c r="C57" s="477"/>
      <c r="D57" s="477"/>
      <c r="E57" s="478"/>
      <c r="F57" s="477"/>
      <c r="G57" s="478"/>
      <c r="H57" s="477"/>
      <c r="I57" s="1738"/>
      <c r="J57" s="1737"/>
      <c r="K57" s="1737"/>
      <c r="L57" s="1737"/>
      <c r="M57" s="1738"/>
      <c r="N57" s="1737"/>
      <c r="O57" s="1738"/>
      <c r="P57" s="1737"/>
      <c r="Q57" s="1738"/>
      <c r="R57" s="1737"/>
      <c r="S57" s="1738"/>
      <c r="T57" s="1737"/>
      <c r="U57" s="1738"/>
      <c r="V57" s="1737"/>
      <c r="W57" s="1738"/>
      <c r="X57" s="1737"/>
      <c r="Y57" s="1738"/>
      <c r="Z57" s="1784"/>
    </row>
    <row r="58" spans="1:26">
      <c r="A58" s="1749"/>
      <c r="B58" s="477"/>
      <c r="C58" s="477"/>
      <c r="D58" s="477"/>
      <c r="E58" s="478"/>
      <c r="F58" s="477"/>
      <c r="G58" s="478"/>
      <c r="H58" s="477"/>
      <c r="I58" s="1738"/>
      <c r="J58" s="1737"/>
      <c r="K58" s="1737"/>
      <c r="L58" s="1737"/>
      <c r="M58" s="1738"/>
      <c r="N58" s="1737"/>
      <c r="O58" s="1738"/>
      <c r="P58" s="1737"/>
      <c r="Q58" s="1738"/>
      <c r="R58" s="1737"/>
      <c r="S58" s="1738"/>
      <c r="T58" s="1737"/>
      <c r="U58" s="1738"/>
      <c r="V58" s="1737"/>
      <c r="W58" s="1738"/>
      <c r="X58" s="1737"/>
      <c r="Y58" s="1738"/>
      <c r="Z58" s="1784"/>
    </row>
    <row r="59" spans="1:26">
      <c r="A59" s="1749"/>
      <c r="B59" s="477"/>
      <c r="C59" s="477"/>
      <c r="D59" s="477"/>
      <c r="E59" s="478"/>
      <c r="F59" s="477"/>
      <c r="G59" s="478"/>
      <c r="H59" s="477"/>
      <c r="I59" s="1738"/>
      <c r="J59" s="1737"/>
      <c r="K59" s="1737"/>
      <c r="L59" s="1737"/>
      <c r="M59" s="1738"/>
      <c r="N59" s="1737"/>
      <c r="O59" s="1738"/>
      <c r="P59" s="1737"/>
      <c r="Q59" s="1738"/>
      <c r="R59" s="1737"/>
      <c r="S59" s="1738"/>
      <c r="T59" s="1737"/>
      <c r="U59" s="1738"/>
      <c r="V59" s="1737"/>
      <c r="W59" s="1738"/>
      <c r="X59" s="1737"/>
      <c r="Y59" s="1738"/>
      <c r="Z59" s="1784"/>
    </row>
    <row r="60" spans="1:26">
      <c r="A60" s="1749"/>
      <c r="B60" s="477"/>
      <c r="C60" s="477"/>
      <c r="D60" s="477"/>
      <c r="E60" s="478"/>
      <c r="F60" s="477"/>
      <c r="G60" s="478"/>
      <c r="H60" s="477"/>
      <c r="I60" s="1738"/>
      <c r="J60" s="1737"/>
      <c r="K60" s="1737"/>
      <c r="L60" s="1737"/>
      <c r="M60" s="1738"/>
      <c r="N60" s="1737"/>
      <c r="O60" s="1738"/>
      <c r="P60" s="1737"/>
      <c r="Q60" s="1738"/>
      <c r="R60" s="1737"/>
      <c r="S60" s="1738"/>
      <c r="T60" s="1737"/>
      <c r="U60" s="1738"/>
      <c r="V60" s="1737"/>
      <c r="W60" s="1738"/>
      <c r="X60" s="1737"/>
      <c r="Y60" s="1738"/>
      <c r="Z60" s="1784"/>
    </row>
    <row r="61" spans="1:26">
      <c r="A61" s="1749"/>
      <c r="B61" s="477"/>
      <c r="C61" s="477"/>
      <c r="D61" s="477"/>
      <c r="E61" s="478"/>
      <c r="F61" s="477"/>
      <c r="G61" s="478"/>
      <c r="H61" s="477"/>
      <c r="I61" s="1738"/>
      <c r="J61" s="1737"/>
      <c r="K61" s="1737"/>
      <c r="L61" s="1737"/>
      <c r="M61" s="1738"/>
      <c r="N61" s="1737"/>
      <c r="O61" s="1738"/>
      <c r="P61" s="1737"/>
      <c r="Q61" s="1738"/>
      <c r="R61" s="1737"/>
      <c r="S61" s="1738"/>
      <c r="T61" s="1737"/>
      <c r="U61" s="1738"/>
      <c r="V61" s="1737"/>
      <c r="W61" s="1738"/>
      <c r="X61" s="1737"/>
      <c r="Y61" s="1738"/>
      <c r="Z61" s="1784"/>
    </row>
    <row r="62" spans="1:26">
      <c r="A62" s="1749"/>
      <c r="B62" s="477"/>
      <c r="C62" s="477"/>
      <c r="D62" s="477"/>
      <c r="E62" s="478"/>
      <c r="F62" s="477"/>
      <c r="G62" s="478"/>
      <c r="H62" s="477"/>
      <c r="I62" s="1738"/>
      <c r="J62" s="1737"/>
      <c r="K62" s="1737"/>
      <c r="L62" s="1737"/>
      <c r="M62" s="1738"/>
      <c r="N62" s="1737"/>
      <c r="O62" s="1738"/>
      <c r="P62" s="1737"/>
      <c r="Q62" s="1738"/>
      <c r="R62" s="1737"/>
      <c r="S62" s="1738"/>
      <c r="T62" s="1737"/>
      <c r="U62" s="1738"/>
      <c r="V62" s="1737"/>
      <c r="W62" s="1738"/>
      <c r="X62" s="1737"/>
      <c r="Y62" s="1738"/>
      <c r="Z62" s="1784"/>
    </row>
    <row r="63" spans="1:26">
      <c r="A63" s="1749"/>
      <c r="B63" s="477"/>
      <c r="C63" s="477"/>
      <c r="D63" s="477"/>
      <c r="E63" s="478"/>
      <c r="F63" s="477"/>
      <c r="G63" s="478"/>
      <c r="H63" s="477"/>
      <c r="I63" s="1738"/>
      <c r="J63" s="1737"/>
      <c r="K63" s="1737"/>
      <c r="L63" s="1737"/>
      <c r="M63" s="1738"/>
      <c r="N63" s="1737"/>
      <c r="O63" s="1738"/>
      <c r="P63" s="1737"/>
      <c r="Q63" s="1738"/>
      <c r="R63" s="1737"/>
      <c r="S63" s="1738"/>
      <c r="T63" s="1737"/>
      <c r="U63" s="1738"/>
      <c r="V63" s="1737"/>
      <c r="W63" s="1738"/>
      <c r="X63" s="1737"/>
      <c r="Y63" s="1738"/>
      <c r="Z63" s="1784"/>
    </row>
    <row r="64" spans="1:26">
      <c r="A64" s="1749"/>
      <c r="B64" s="477"/>
      <c r="C64" s="477"/>
      <c r="D64" s="477"/>
      <c r="E64" s="478"/>
      <c r="F64" s="477"/>
      <c r="G64" s="478"/>
      <c r="H64" s="477"/>
      <c r="I64" s="1738"/>
      <c r="J64" s="1737"/>
      <c r="K64" s="1737"/>
      <c r="L64" s="1737"/>
      <c r="M64" s="1738"/>
      <c r="N64" s="1737"/>
      <c r="O64" s="1738"/>
      <c r="P64" s="1737"/>
      <c r="Q64" s="1738"/>
      <c r="R64" s="1737"/>
      <c r="S64" s="1738"/>
      <c r="T64" s="1737"/>
      <c r="U64" s="1738"/>
      <c r="V64" s="1737"/>
      <c r="W64" s="1738"/>
      <c r="X64" s="1737"/>
      <c r="Y64" s="1738"/>
      <c r="Z64" s="1784"/>
    </row>
    <row r="65" spans="1:26">
      <c r="A65" s="1749"/>
      <c r="B65" s="477"/>
      <c r="C65" s="477"/>
      <c r="D65" s="477"/>
      <c r="E65" s="478"/>
      <c r="F65" s="477"/>
      <c r="G65" s="478"/>
      <c r="H65" s="477"/>
      <c r="I65" s="1738"/>
      <c r="J65" s="1737"/>
      <c r="K65" s="1737"/>
      <c r="L65" s="1737"/>
      <c r="M65" s="1738"/>
      <c r="N65" s="1737"/>
      <c r="O65" s="1738"/>
      <c r="P65" s="1737"/>
      <c r="Q65" s="1738"/>
      <c r="R65" s="1737"/>
      <c r="S65" s="1738"/>
      <c r="T65" s="1737"/>
      <c r="U65" s="1738"/>
      <c r="V65" s="1737"/>
      <c r="W65" s="1738"/>
      <c r="X65" s="1737"/>
      <c r="Y65" s="1738"/>
      <c r="Z65" s="1784"/>
    </row>
    <row r="66" spans="1:26">
      <c r="A66" s="1749"/>
      <c r="B66" s="477"/>
      <c r="C66" s="477"/>
      <c r="D66" s="477"/>
      <c r="E66" s="478"/>
      <c r="F66" s="477"/>
      <c r="G66" s="478"/>
      <c r="H66" s="477"/>
      <c r="I66" s="1738"/>
      <c r="J66" s="1737"/>
      <c r="K66" s="1737"/>
      <c r="L66" s="1737"/>
      <c r="M66" s="1738"/>
      <c r="N66" s="1737"/>
      <c r="O66" s="1738"/>
      <c r="P66" s="1737"/>
      <c r="Q66" s="1738"/>
      <c r="R66" s="1737"/>
      <c r="S66" s="1738"/>
      <c r="T66" s="1737"/>
      <c r="U66" s="1738"/>
      <c r="V66" s="1737"/>
      <c r="W66" s="1738"/>
      <c r="X66" s="1737"/>
      <c r="Y66" s="1738"/>
      <c r="Z66" s="1784"/>
    </row>
    <row r="67" spans="1:26">
      <c r="A67" s="1749"/>
      <c r="B67" s="477"/>
      <c r="C67" s="477"/>
      <c r="D67" s="477"/>
      <c r="E67" s="478"/>
      <c r="F67" s="477"/>
      <c r="G67" s="478"/>
      <c r="H67" s="477"/>
      <c r="I67" s="1738"/>
      <c r="J67" s="1737"/>
      <c r="K67" s="1737"/>
      <c r="L67" s="1737"/>
      <c r="M67" s="1738"/>
      <c r="N67" s="1737"/>
      <c r="O67" s="1738"/>
      <c r="P67" s="1737"/>
      <c r="Q67" s="1738"/>
      <c r="R67" s="1737"/>
      <c r="S67" s="1738"/>
      <c r="T67" s="1737"/>
      <c r="U67" s="1738"/>
      <c r="V67" s="1737"/>
      <c r="W67" s="1738"/>
      <c r="X67" s="1737"/>
      <c r="Y67" s="1738"/>
      <c r="Z67" s="1784"/>
    </row>
    <row r="68" spans="1:26">
      <c r="A68" s="1749"/>
      <c r="B68" s="477"/>
      <c r="C68" s="477"/>
      <c r="D68" s="477"/>
      <c r="E68" s="478"/>
      <c r="F68" s="477"/>
      <c r="G68" s="478"/>
      <c r="H68" s="477"/>
      <c r="I68" s="1738"/>
      <c r="J68" s="1737"/>
      <c r="K68" s="1737"/>
      <c r="L68" s="1737"/>
      <c r="M68" s="1738"/>
      <c r="N68" s="1737"/>
      <c r="O68" s="1738"/>
      <c r="P68" s="1737"/>
      <c r="Q68" s="1738"/>
      <c r="R68" s="1737"/>
      <c r="S68" s="1738"/>
      <c r="T68" s="1737"/>
      <c r="U68" s="1738"/>
      <c r="V68" s="1737"/>
      <c r="W68" s="1738"/>
      <c r="X68" s="1737"/>
      <c r="Y68" s="1738"/>
      <c r="Z68" s="1784"/>
    </row>
    <row r="69" spans="1:26">
      <c r="A69" s="1749"/>
      <c r="B69" s="477"/>
      <c r="C69" s="477"/>
      <c r="D69" s="477"/>
      <c r="E69" s="478"/>
      <c r="F69" s="477"/>
      <c r="G69" s="478"/>
      <c r="H69" s="477"/>
      <c r="I69" s="1738"/>
      <c r="J69" s="1737"/>
      <c r="K69" s="1737"/>
      <c r="L69" s="1737"/>
      <c r="M69" s="1738"/>
      <c r="N69" s="1737"/>
      <c r="O69" s="1738"/>
      <c r="P69" s="1737"/>
      <c r="Q69" s="1738"/>
      <c r="R69" s="1737"/>
      <c r="S69" s="1738"/>
      <c r="T69" s="1737"/>
      <c r="U69" s="1738"/>
      <c r="V69" s="1737"/>
      <c r="W69" s="1738"/>
      <c r="X69" s="1737"/>
      <c r="Y69" s="1738"/>
      <c r="Z69" s="1784"/>
    </row>
    <row r="70" spans="1:26">
      <c r="A70" s="1749"/>
      <c r="B70" s="477"/>
      <c r="C70" s="477"/>
      <c r="D70" s="477"/>
      <c r="E70" s="478"/>
      <c r="F70" s="477"/>
      <c r="G70" s="478"/>
      <c r="H70" s="477"/>
      <c r="I70" s="1738"/>
      <c r="J70" s="1737"/>
      <c r="K70" s="1737"/>
      <c r="L70" s="1737"/>
      <c r="M70" s="1738"/>
      <c r="N70" s="1737"/>
      <c r="O70" s="1738"/>
      <c r="P70" s="1737"/>
      <c r="Q70" s="1738"/>
      <c r="R70" s="1737"/>
      <c r="S70" s="1738"/>
      <c r="T70" s="1737"/>
      <c r="U70" s="1738"/>
      <c r="V70" s="1737"/>
      <c r="W70" s="1738"/>
      <c r="X70" s="1737"/>
      <c r="Y70" s="1738"/>
      <c r="Z70" s="1784"/>
    </row>
    <row r="71" spans="1:26">
      <c r="A71" s="1749"/>
      <c r="B71" s="477"/>
      <c r="C71" s="477"/>
      <c r="D71" s="477"/>
      <c r="E71" s="478"/>
      <c r="F71" s="477"/>
      <c r="G71" s="478"/>
      <c r="H71" s="477"/>
      <c r="I71" s="1738"/>
      <c r="J71" s="1737"/>
      <c r="K71" s="1737"/>
      <c r="L71" s="1737"/>
      <c r="M71" s="1738"/>
      <c r="N71" s="1737"/>
      <c r="O71" s="1738"/>
      <c r="P71" s="1737"/>
      <c r="Q71" s="1738"/>
      <c r="R71" s="1737"/>
      <c r="S71" s="1738"/>
      <c r="T71" s="1737"/>
      <c r="U71" s="1738"/>
      <c r="V71" s="1737"/>
      <c r="W71" s="1738"/>
      <c r="X71" s="1737"/>
      <c r="Y71" s="1738"/>
      <c r="Z71" s="1784"/>
    </row>
    <row r="72" spans="1:26">
      <c r="A72" s="1749"/>
      <c r="B72" s="477"/>
      <c r="C72" s="477"/>
      <c r="D72" s="477"/>
      <c r="E72" s="478"/>
      <c r="F72" s="477"/>
      <c r="G72" s="478"/>
      <c r="H72" s="477"/>
      <c r="I72" s="1738"/>
      <c r="J72" s="1737"/>
      <c r="K72" s="1737"/>
      <c r="L72" s="1737"/>
      <c r="M72" s="1738"/>
      <c r="N72" s="1737"/>
      <c r="O72" s="1738"/>
      <c r="P72" s="1737"/>
      <c r="Q72" s="1738"/>
      <c r="R72" s="1737"/>
      <c r="S72" s="1738"/>
      <c r="T72" s="1737"/>
      <c r="U72" s="1738"/>
      <c r="V72" s="1737"/>
      <c r="W72" s="1738"/>
      <c r="X72" s="1737"/>
      <c r="Y72" s="1738"/>
      <c r="Z72" s="1784"/>
    </row>
    <row r="73" spans="1:26">
      <c r="A73" s="1749"/>
      <c r="B73" s="477"/>
      <c r="C73" s="477"/>
      <c r="D73" s="477"/>
      <c r="E73" s="478"/>
      <c r="F73" s="477"/>
      <c r="G73" s="478"/>
      <c r="H73" s="477"/>
      <c r="I73" s="1738"/>
      <c r="J73" s="1737"/>
      <c r="K73" s="1737"/>
      <c r="L73" s="1737"/>
      <c r="M73" s="1738"/>
      <c r="N73" s="1737"/>
      <c r="O73" s="1738"/>
      <c r="P73" s="1737"/>
      <c r="Q73" s="1738"/>
      <c r="R73" s="1737"/>
      <c r="S73" s="1738"/>
      <c r="T73" s="1737"/>
      <c r="U73" s="1738"/>
      <c r="V73" s="1737"/>
      <c r="W73" s="1738"/>
      <c r="X73" s="1737"/>
      <c r="Y73" s="1738"/>
      <c r="Z73" s="1784"/>
    </row>
    <row r="74" spans="1:26">
      <c r="A74" s="1749"/>
      <c r="B74" s="477"/>
      <c r="C74" s="477"/>
      <c r="D74" s="477"/>
      <c r="E74" s="478"/>
      <c r="F74" s="477"/>
      <c r="G74" s="478"/>
      <c r="H74" s="477"/>
      <c r="I74" s="1738"/>
      <c r="J74" s="1737"/>
      <c r="K74" s="1737"/>
      <c r="L74" s="1737"/>
      <c r="M74" s="1738"/>
      <c r="N74" s="1737"/>
      <c r="O74" s="1738"/>
      <c r="P74" s="1737"/>
      <c r="Q74" s="1738"/>
      <c r="R74" s="1737"/>
      <c r="S74" s="1738"/>
      <c r="T74" s="1737"/>
      <c r="U74" s="1738"/>
      <c r="V74" s="1737"/>
      <c r="W74" s="1738"/>
      <c r="X74" s="1737"/>
      <c r="Y74" s="1738"/>
      <c r="Z74" s="1784"/>
    </row>
    <row r="75" spans="1:26">
      <c r="A75" s="1749"/>
      <c r="B75" s="477"/>
      <c r="C75" s="477"/>
      <c r="D75" s="477"/>
      <c r="E75" s="478"/>
      <c r="F75" s="477"/>
      <c r="G75" s="478"/>
      <c r="H75" s="477"/>
      <c r="I75" s="1738"/>
      <c r="J75" s="1737"/>
      <c r="K75" s="1737"/>
      <c r="L75" s="1737"/>
      <c r="M75" s="1738"/>
      <c r="N75" s="1737"/>
      <c r="O75" s="1738"/>
      <c r="P75" s="1737"/>
      <c r="Q75" s="1738"/>
      <c r="R75" s="1737"/>
      <c r="S75" s="1738"/>
      <c r="T75" s="1737"/>
      <c r="U75" s="1738"/>
      <c r="V75" s="1737"/>
      <c r="W75" s="1738"/>
      <c r="X75" s="1737"/>
      <c r="Y75" s="1738"/>
      <c r="Z75" s="1784"/>
    </row>
    <row r="76" spans="1:26">
      <c r="A76" s="1749"/>
      <c r="B76" s="477"/>
      <c r="C76" s="477"/>
      <c r="D76" s="477"/>
      <c r="E76" s="478"/>
      <c r="F76" s="477"/>
      <c r="G76" s="478"/>
      <c r="H76" s="477"/>
      <c r="I76" s="1738"/>
      <c r="J76" s="1737"/>
      <c r="K76" s="1737"/>
      <c r="L76" s="1737"/>
      <c r="M76" s="1738"/>
      <c r="N76" s="1737"/>
      <c r="O76" s="1738"/>
      <c r="P76" s="1737"/>
      <c r="Q76" s="1738"/>
      <c r="R76" s="1737"/>
      <c r="S76" s="1738"/>
      <c r="T76" s="1737"/>
      <c r="U76" s="1738"/>
      <c r="V76" s="1737"/>
      <c r="W76" s="1738"/>
      <c r="X76" s="1737"/>
      <c r="Y76" s="1738"/>
      <c r="Z76" s="1784"/>
    </row>
    <row r="77" spans="1:26">
      <c r="A77" s="1749"/>
      <c r="B77" s="477"/>
      <c r="C77" s="477"/>
      <c r="D77" s="477"/>
      <c r="E77" s="478"/>
      <c r="F77" s="477"/>
      <c r="G77" s="478"/>
      <c r="H77" s="477"/>
      <c r="I77" s="1738"/>
      <c r="J77" s="1737"/>
      <c r="K77" s="1737"/>
      <c r="L77" s="1737"/>
      <c r="M77" s="1738"/>
      <c r="N77" s="1737"/>
      <c r="O77" s="1738"/>
      <c r="P77" s="1737"/>
      <c r="Q77" s="1738"/>
      <c r="R77" s="1737"/>
      <c r="S77" s="1738"/>
      <c r="T77" s="1737"/>
      <c r="U77" s="1738"/>
      <c r="V77" s="1737"/>
      <c r="W77" s="1738"/>
      <c r="X77" s="1737"/>
      <c r="Y77" s="1738"/>
      <c r="Z77" s="1784"/>
    </row>
    <row r="78" spans="1:26">
      <c r="A78" s="1749"/>
      <c r="B78" s="477"/>
      <c r="C78" s="477"/>
      <c r="D78" s="477"/>
      <c r="E78" s="478"/>
      <c r="F78" s="477"/>
      <c r="G78" s="478"/>
      <c r="H78" s="477"/>
      <c r="I78" s="1738"/>
      <c r="J78" s="1737"/>
      <c r="K78" s="1737"/>
      <c r="L78" s="1737"/>
      <c r="M78" s="1738"/>
      <c r="N78" s="1737"/>
      <c r="O78" s="1738"/>
      <c r="P78" s="1737"/>
      <c r="Q78" s="1738"/>
      <c r="R78" s="1737"/>
      <c r="S78" s="1738"/>
      <c r="T78" s="1737"/>
      <c r="U78" s="1738"/>
      <c r="V78" s="1737"/>
      <c r="W78" s="1738"/>
      <c r="X78" s="1737"/>
      <c r="Y78" s="1738"/>
      <c r="Z78" s="1784"/>
    </row>
    <row r="79" spans="1:26">
      <c r="A79" s="1749"/>
      <c r="B79" s="477"/>
      <c r="C79" s="477"/>
      <c r="D79" s="477"/>
      <c r="E79" s="478"/>
      <c r="F79" s="477"/>
      <c r="G79" s="478"/>
      <c r="H79" s="477"/>
      <c r="I79" s="1738"/>
      <c r="J79" s="1737"/>
      <c r="K79" s="1737"/>
      <c r="L79" s="1737"/>
      <c r="M79" s="1738"/>
      <c r="N79" s="1737"/>
      <c r="O79" s="1738"/>
      <c r="P79" s="1737"/>
      <c r="Q79" s="1738"/>
      <c r="R79" s="1737"/>
      <c r="S79" s="1738"/>
      <c r="T79" s="1737"/>
      <c r="U79" s="1738"/>
      <c r="V79" s="1737"/>
      <c r="W79" s="1738"/>
      <c r="X79" s="1737"/>
      <c r="Y79" s="1738"/>
      <c r="Z79" s="1784"/>
    </row>
    <row r="80" spans="1:26">
      <c r="A80" s="1749"/>
      <c r="B80" s="477"/>
      <c r="C80" s="477"/>
      <c r="D80" s="477"/>
      <c r="E80" s="478"/>
      <c r="F80" s="477"/>
      <c r="G80" s="478"/>
      <c r="H80" s="477"/>
      <c r="I80" s="1738"/>
      <c r="J80" s="1737"/>
      <c r="K80" s="1737"/>
      <c r="L80" s="1737"/>
      <c r="M80" s="1738"/>
      <c r="N80" s="1737"/>
      <c r="O80" s="1738"/>
      <c r="P80" s="1737"/>
      <c r="Q80" s="1738"/>
      <c r="R80" s="1737"/>
      <c r="S80" s="1738"/>
      <c r="T80" s="1737"/>
      <c r="U80" s="1738"/>
      <c r="V80" s="1737"/>
      <c r="W80" s="1738"/>
      <c r="X80" s="1737"/>
      <c r="Y80" s="1738"/>
      <c r="Z80" s="1784"/>
    </row>
    <row r="81" spans="1:26">
      <c r="A81" s="1749"/>
      <c r="B81" s="477"/>
      <c r="C81" s="477"/>
      <c r="D81" s="477"/>
      <c r="E81" s="478"/>
      <c r="F81" s="477"/>
      <c r="G81" s="478"/>
      <c r="H81" s="477"/>
      <c r="I81" s="1738"/>
      <c r="J81" s="1737"/>
      <c r="K81" s="1737"/>
      <c r="L81" s="1737"/>
      <c r="M81" s="1738"/>
      <c r="N81" s="1737"/>
      <c r="O81" s="1738"/>
      <c r="P81" s="1737"/>
      <c r="Q81" s="1738"/>
      <c r="R81" s="1737"/>
      <c r="S81" s="1738"/>
      <c r="T81" s="1737"/>
      <c r="U81" s="1738"/>
      <c r="V81" s="1737"/>
      <c r="W81" s="1738"/>
      <c r="X81" s="1737"/>
      <c r="Y81" s="1738"/>
      <c r="Z81" s="1784"/>
    </row>
    <row r="82" spans="1:26">
      <c r="A82" s="1749"/>
      <c r="B82" s="477"/>
      <c r="C82" s="477"/>
      <c r="D82" s="477"/>
      <c r="E82" s="478"/>
      <c r="F82" s="477"/>
      <c r="G82" s="478"/>
      <c r="H82" s="477"/>
      <c r="I82" s="1738"/>
      <c r="J82" s="1737"/>
      <c r="K82" s="1737"/>
      <c r="L82" s="1737"/>
      <c r="M82" s="1738"/>
      <c r="N82" s="1737"/>
      <c r="O82" s="1738"/>
      <c r="P82" s="1737"/>
      <c r="Q82" s="1738"/>
      <c r="R82" s="1737"/>
      <c r="S82" s="1738"/>
      <c r="T82" s="1737"/>
      <c r="U82" s="1738"/>
      <c r="V82" s="1737"/>
      <c r="W82" s="1738"/>
      <c r="X82" s="1737"/>
      <c r="Y82" s="1738"/>
      <c r="Z82" s="1784"/>
    </row>
    <row r="83" spans="1:26">
      <c r="A83" s="1749"/>
      <c r="B83" s="477"/>
      <c r="C83" s="477"/>
      <c r="D83" s="477"/>
      <c r="E83" s="478"/>
      <c r="F83" s="477"/>
      <c r="G83" s="478"/>
      <c r="H83" s="477"/>
      <c r="I83" s="1738"/>
      <c r="J83" s="1737"/>
      <c r="K83" s="1737"/>
      <c r="L83" s="1737"/>
      <c r="M83" s="1738"/>
      <c r="N83" s="1737"/>
      <c r="O83" s="1738"/>
      <c r="P83" s="1737"/>
      <c r="Q83" s="1738"/>
      <c r="R83" s="1737"/>
      <c r="S83" s="1738"/>
      <c r="T83" s="1737"/>
      <c r="U83" s="1738"/>
      <c r="V83" s="1737"/>
      <c r="W83" s="1738"/>
      <c r="X83" s="1737"/>
      <c r="Y83" s="1738"/>
      <c r="Z83" s="1784"/>
    </row>
    <row r="84" spans="1:26">
      <c r="A84" s="1749"/>
      <c r="B84" s="477"/>
      <c r="C84" s="477"/>
      <c r="D84" s="477"/>
      <c r="E84" s="478"/>
      <c r="F84" s="477"/>
      <c r="G84" s="478"/>
      <c r="H84" s="477"/>
      <c r="I84" s="1738"/>
      <c r="J84" s="1737"/>
      <c r="K84" s="1737"/>
      <c r="L84" s="1737"/>
      <c r="M84" s="1738"/>
      <c r="N84" s="1737"/>
      <c r="O84" s="1738"/>
      <c r="P84" s="1737"/>
      <c r="Q84" s="1738"/>
      <c r="R84" s="1737"/>
      <c r="S84" s="1738"/>
      <c r="T84" s="1737"/>
      <c r="U84" s="1738"/>
      <c r="V84" s="1737"/>
      <c r="W84" s="1738"/>
      <c r="X84" s="1737"/>
      <c r="Y84" s="1738"/>
      <c r="Z84" s="1784"/>
    </row>
    <row r="85" spans="1:26">
      <c r="A85" s="1749"/>
      <c r="B85" s="477"/>
      <c r="C85" s="477"/>
      <c r="D85" s="477"/>
      <c r="E85" s="478"/>
      <c r="F85" s="477"/>
      <c r="G85" s="478"/>
      <c r="H85" s="477"/>
      <c r="I85" s="1738"/>
      <c r="J85" s="1737"/>
      <c r="K85" s="1737"/>
      <c r="L85" s="1737"/>
      <c r="M85" s="1738"/>
      <c r="N85" s="1737"/>
      <c r="O85" s="1738"/>
      <c r="P85" s="1737"/>
      <c r="Q85" s="1738"/>
      <c r="R85" s="1737"/>
      <c r="S85" s="1738"/>
      <c r="T85" s="1737"/>
      <c r="U85" s="1738"/>
      <c r="V85" s="1737"/>
      <c r="W85" s="1738"/>
      <c r="X85" s="1737"/>
      <c r="Y85" s="1738"/>
      <c r="Z85" s="1784"/>
    </row>
    <row r="86" spans="1:26">
      <c r="A86" s="1749"/>
      <c r="B86" s="477"/>
      <c r="C86" s="477"/>
      <c r="D86" s="477"/>
      <c r="E86" s="478"/>
      <c r="F86" s="477"/>
      <c r="G86" s="478"/>
      <c r="H86" s="477"/>
      <c r="I86" s="1738"/>
      <c r="J86" s="1737"/>
      <c r="K86" s="1737"/>
      <c r="L86" s="1737"/>
      <c r="M86" s="1738"/>
      <c r="N86" s="1737"/>
      <c r="O86" s="1738"/>
      <c r="P86" s="1737"/>
      <c r="Q86" s="1738"/>
      <c r="R86" s="1737"/>
      <c r="S86" s="1738"/>
      <c r="T86" s="1737"/>
      <c r="U86" s="1738"/>
      <c r="V86" s="1737"/>
      <c r="W86" s="1738"/>
      <c r="X86" s="1737"/>
      <c r="Y86" s="1738"/>
      <c r="Z86" s="1784"/>
    </row>
    <row r="87" spans="1:26">
      <c r="A87" s="1749"/>
      <c r="B87" s="477"/>
      <c r="C87" s="477"/>
      <c r="D87" s="477"/>
      <c r="E87" s="478"/>
      <c r="F87" s="477"/>
      <c r="G87" s="478"/>
      <c r="H87" s="477"/>
      <c r="I87" s="1738"/>
      <c r="J87" s="1737"/>
      <c r="K87" s="1737"/>
      <c r="L87" s="1737"/>
      <c r="M87" s="1738"/>
      <c r="N87" s="1737"/>
      <c r="O87" s="1738"/>
      <c r="P87" s="1737"/>
      <c r="Q87" s="1738"/>
      <c r="R87" s="1737"/>
      <c r="S87" s="1738"/>
      <c r="T87" s="1737"/>
      <c r="U87" s="1738"/>
      <c r="V87" s="1737"/>
      <c r="W87" s="1738"/>
      <c r="X87" s="1737"/>
      <c r="Y87" s="1738"/>
      <c r="Z87" s="1784"/>
    </row>
    <row r="88" spans="1:26">
      <c r="A88" s="1749"/>
      <c r="B88" s="477"/>
      <c r="C88" s="477"/>
      <c r="D88" s="477"/>
      <c r="E88" s="478"/>
      <c r="F88" s="477"/>
      <c r="G88" s="478"/>
      <c r="H88" s="477"/>
      <c r="I88" s="1738"/>
      <c r="J88" s="1737"/>
      <c r="K88" s="1737"/>
      <c r="L88" s="1737"/>
      <c r="M88" s="1738"/>
      <c r="N88" s="1737"/>
      <c r="O88" s="1738"/>
      <c r="P88" s="1737"/>
      <c r="Q88" s="1738"/>
      <c r="R88" s="1737"/>
      <c r="S88" s="1738"/>
      <c r="T88" s="1737"/>
      <c r="U88" s="1738"/>
      <c r="V88" s="1737"/>
      <c r="W88" s="1738"/>
      <c r="X88" s="1737"/>
      <c r="Y88" s="1738"/>
      <c r="Z88" s="1784"/>
    </row>
    <row r="89" spans="1:26">
      <c r="A89" s="1749"/>
      <c r="B89" s="477"/>
      <c r="C89" s="477"/>
      <c r="D89" s="477"/>
      <c r="E89" s="478"/>
      <c r="F89" s="477"/>
      <c r="G89" s="478"/>
      <c r="H89" s="477"/>
      <c r="I89" s="1738"/>
      <c r="J89" s="1737"/>
      <c r="K89" s="1737"/>
      <c r="L89" s="1737"/>
      <c r="M89" s="1738"/>
      <c r="N89" s="1737"/>
      <c r="O89" s="1738"/>
      <c r="P89" s="1737"/>
      <c r="Q89" s="1738"/>
      <c r="R89" s="1737"/>
      <c r="S89" s="1738"/>
      <c r="T89" s="1737"/>
      <c r="U89" s="1738"/>
      <c r="V89" s="1737"/>
      <c r="W89" s="1738"/>
      <c r="X89" s="1737"/>
      <c r="Y89" s="1738"/>
      <c r="Z89" s="1784"/>
    </row>
    <row r="90" spans="1:26">
      <c r="A90" s="1749"/>
      <c r="B90" s="477"/>
      <c r="C90" s="477"/>
      <c r="D90" s="477"/>
      <c r="E90" s="478"/>
      <c r="F90" s="477"/>
      <c r="G90" s="478"/>
      <c r="H90" s="477"/>
      <c r="I90" s="1738"/>
      <c r="J90" s="1737"/>
      <c r="K90" s="1737"/>
      <c r="L90" s="1737"/>
      <c r="M90" s="1738"/>
      <c r="N90" s="1737"/>
      <c r="O90" s="1738"/>
      <c r="P90" s="1737"/>
      <c r="Q90" s="1738"/>
      <c r="R90" s="1737"/>
      <c r="S90" s="1738"/>
      <c r="T90" s="1737"/>
      <c r="U90" s="1738"/>
      <c r="V90" s="1737"/>
      <c r="W90" s="1738"/>
      <c r="X90" s="1737"/>
      <c r="Y90" s="1738"/>
      <c r="Z90" s="1784"/>
    </row>
    <row r="91" spans="1:26">
      <c r="A91" s="1749"/>
      <c r="B91" s="477"/>
      <c r="C91" s="477"/>
      <c r="D91" s="477"/>
      <c r="E91" s="478"/>
      <c r="F91" s="477"/>
      <c r="G91" s="478"/>
      <c r="H91" s="477"/>
      <c r="I91" s="1738"/>
      <c r="J91" s="1737"/>
      <c r="K91" s="1737"/>
      <c r="L91" s="1737"/>
      <c r="M91" s="1738"/>
      <c r="N91" s="1737"/>
      <c r="O91" s="1738"/>
      <c r="P91" s="1737"/>
      <c r="Q91" s="1738"/>
      <c r="R91" s="1737"/>
      <c r="S91" s="1738"/>
      <c r="T91" s="1737"/>
      <c r="U91" s="1738"/>
      <c r="V91" s="1737"/>
      <c r="W91" s="1738"/>
      <c r="X91" s="1737"/>
      <c r="Y91" s="1738"/>
      <c r="Z91" s="1784"/>
    </row>
    <row r="92" spans="1:26">
      <c r="A92" s="1749"/>
      <c r="B92" s="477"/>
      <c r="C92" s="477"/>
      <c r="D92" s="477"/>
      <c r="E92" s="478"/>
      <c r="F92" s="477"/>
      <c r="G92" s="478"/>
      <c r="H92" s="477"/>
      <c r="I92" s="1738"/>
      <c r="J92" s="1737"/>
      <c r="K92" s="1737"/>
      <c r="L92" s="1737"/>
      <c r="M92" s="1738"/>
      <c r="N92" s="1737"/>
      <c r="O92" s="1738"/>
      <c r="P92" s="1737"/>
      <c r="Q92" s="1738"/>
      <c r="R92" s="1737"/>
      <c r="S92" s="1738"/>
      <c r="T92" s="1737"/>
      <c r="U92" s="1738"/>
      <c r="V92" s="1737"/>
      <c r="W92" s="1738"/>
      <c r="X92" s="1737"/>
      <c r="Y92" s="1738"/>
      <c r="Z92" s="1784"/>
    </row>
    <row r="93" spans="1:26">
      <c r="A93" s="1749"/>
      <c r="B93" s="477"/>
      <c r="C93" s="477"/>
      <c r="D93" s="477"/>
      <c r="E93" s="478"/>
      <c r="F93" s="477"/>
      <c r="G93" s="478"/>
      <c r="H93" s="477"/>
      <c r="I93" s="1738"/>
      <c r="J93" s="1737"/>
      <c r="K93" s="1737"/>
      <c r="L93" s="1737"/>
      <c r="M93" s="1738"/>
      <c r="N93" s="1737"/>
      <c r="O93" s="1738"/>
      <c r="P93" s="1737"/>
      <c r="Q93" s="1738"/>
      <c r="R93" s="1737"/>
      <c r="S93" s="1738"/>
      <c r="T93" s="1737"/>
      <c r="U93" s="1738"/>
      <c r="V93" s="1737"/>
      <c r="W93" s="1738"/>
      <c r="X93" s="1737"/>
      <c r="Y93" s="1738"/>
      <c r="Z93" s="1784"/>
    </row>
    <row r="94" spans="1:26">
      <c r="A94" s="1749"/>
      <c r="B94" s="477"/>
      <c r="C94" s="477"/>
      <c r="D94" s="477"/>
      <c r="E94" s="478"/>
      <c r="F94" s="477"/>
      <c r="G94" s="478"/>
      <c r="H94" s="477"/>
      <c r="I94" s="1738"/>
      <c r="J94" s="1737"/>
      <c r="K94" s="1737"/>
      <c r="L94" s="1737"/>
      <c r="M94" s="1738"/>
      <c r="N94" s="1737"/>
      <c r="O94" s="1738"/>
      <c r="P94" s="1737"/>
      <c r="Q94" s="1738"/>
      <c r="R94" s="1737"/>
      <c r="S94" s="1738"/>
      <c r="T94" s="1737"/>
      <c r="U94" s="1738"/>
      <c r="V94" s="1737"/>
      <c r="W94" s="1738"/>
      <c r="X94" s="1737"/>
      <c r="Y94" s="1738"/>
      <c r="Z94" s="1784"/>
    </row>
    <row r="95" spans="1:26">
      <c r="A95" s="1749"/>
      <c r="B95" s="477"/>
      <c r="C95" s="477"/>
      <c r="D95" s="477"/>
      <c r="E95" s="478"/>
      <c r="F95" s="477"/>
      <c r="G95" s="478"/>
      <c r="H95" s="477"/>
      <c r="I95" s="1738"/>
      <c r="J95" s="1737"/>
      <c r="K95" s="1737"/>
      <c r="L95" s="1737"/>
      <c r="M95" s="1738"/>
      <c r="N95" s="1737"/>
      <c r="O95" s="1738"/>
      <c r="P95" s="1737"/>
      <c r="Q95" s="1738"/>
      <c r="R95" s="1737"/>
      <c r="S95" s="1738"/>
      <c r="T95" s="1737"/>
      <c r="U95" s="1738"/>
      <c r="V95" s="1737"/>
      <c r="W95" s="1738"/>
      <c r="X95" s="1737"/>
      <c r="Y95" s="1738"/>
      <c r="Z95" s="1784"/>
    </row>
    <row r="96" spans="1:26">
      <c r="A96" s="1749"/>
      <c r="B96" s="477"/>
      <c r="C96" s="477"/>
      <c r="D96" s="477"/>
      <c r="E96" s="478"/>
      <c r="F96" s="477"/>
      <c r="G96" s="478"/>
      <c r="H96" s="477"/>
      <c r="I96" s="1738"/>
      <c r="J96" s="1737"/>
      <c r="K96" s="1737"/>
      <c r="L96" s="1737"/>
      <c r="M96" s="1738"/>
      <c r="N96" s="1737"/>
      <c r="O96" s="1738"/>
      <c r="P96" s="1737"/>
      <c r="Q96" s="1738"/>
      <c r="R96" s="1737"/>
      <c r="S96" s="1738"/>
      <c r="T96" s="1737"/>
      <c r="U96" s="1738"/>
      <c r="V96" s="1737"/>
      <c r="W96" s="1738"/>
      <c r="X96" s="1737"/>
      <c r="Y96" s="1738"/>
      <c r="Z96" s="1784"/>
    </row>
  </sheetData>
  <printOptions horizontalCentered="1"/>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69140625" defaultRowHeight="12.5"/>
  <cols>
    <col min="1" max="1" width="54.69140625" style="909" customWidth="1"/>
    <col min="2" max="2" width="22.07421875" style="909" customWidth="1"/>
    <col min="3" max="3" width="24.69140625" style="909" customWidth="1"/>
    <col min="4" max="4" width="29" style="909" customWidth="1"/>
    <col min="5" max="5" width="2" style="911" customWidth="1"/>
    <col min="6" max="6" width="13" style="1946" bestFit="1" customWidth="1"/>
    <col min="7" max="7" width="8.69140625" style="911"/>
    <col min="8" max="16384" width="8.69140625" style="909"/>
  </cols>
  <sheetData>
    <row r="1" spans="1:7">
      <c r="A1" s="3068" t="s">
        <v>963</v>
      </c>
      <c r="B1" s="1582"/>
      <c r="C1" s="1582"/>
      <c r="D1" s="1582"/>
      <c r="E1" s="910"/>
    </row>
    <row r="2" spans="1:7">
      <c r="A2" s="3069"/>
      <c r="B2" s="1582"/>
      <c r="C2" s="1582"/>
      <c r="D2" s="1496"/>
      <c r="E2" s="910"/>
    </row>
    <row r="3" spans="1:7" s="916" customFormat="1" ht="15.5">
      <c r="A3" s="1543" t="s">
        <v>494</v>
      </c>
      <c r="B3" s="1582"/>
      <c r="C3" s="1582"/>
      <c r="D3" s="3417" t="s">
        <v>495</v>
      </c>
      <c r="E3" s="3035"/>
      <c r="F3" s="1947"/>
      <c r="G3" s="623"/>
    </row>
    <row r="4" spans="1:7" s="916" customFormat="1" ht="15.5">
      <c r="A4" s="1543" t="s">
        <v>496</v>
      </c>
      <c r="B4" s="1582"/>
      <c r="C4" s="1582"/>
      <c r="D4" s="1582"/>
      <c r="E4" s="3035"/>
      <c r="F4" s="1947"/>
      <c r="G4" s="623"/>
    </row>
    <row r="5" spans="1:7" s="916" customFormat="1" ht="15.5">
      <c r="A5" s="1543" t="s">
        <v>497</v>
      </c>
      <c r="B5" s="1582"/>
      <c r="C5" s="1582"/>
      <c r="D5" s="1582"/>
      <c r="E5" s="3035"/>
      <c r="F5" s="1947"/>
      <c r="G5" s="623"/>
    </row>
    <row r="6" spans="1:7" s="916" customFormat="1" ht="15.5">
      <c r="A6" s="1544" t="s">
        <v>1473</v>
      </c>
      <c r="B6" s="1582"/>
      <c r="C6" s="1582"/>
      <c r="D6" s="1582"/>
      <c r="E6" s="3035"/>
      <c r="F6" s="1947"/>
      <c r="G6" s="623"/>
    </row>
    <row r="7" spans="1:7" ht="13">
      <c r="A7" s="1544"/>
      <c r="B7" s="1582"/>
      <c r="C7" s="1582"/>
      <c r="D7" s="1582"/>
      <c r="E7" s="910"/>
    </row>
    <row r="8" spans="1:7" ht="27" customHeight="1">
      <c r="A8" s="3565" t="s">
        <v>498</v>
      </c>
      <c r="B8" s="3565" t="s">
        <v>1313</v>
      </c>
      <c r="C8" s="3565" t="s">
        <v>1554</v>
      </c>
      <c r="D8" s="3566" t="s">
        <v>1555</v>
      </c>
      <c r="E8" s="3036"/>
    </row>
    <row r="9" spans="1:7" s="916" customFormat="1" ht="13">
      <c r="A9" s="3614" t="s">
        <v>499</v>
      </c>
      <c r="B9" s="3657">
        <v>8752000</v>
      </c>
      <c r="C9" s="3657">
        <v>183447.37999999998</v>
      </c>
      <c r="D9" s="3657">
        <v>1500932.58</v>
      </c>
      <c r="E9" s="1644"/>
      <c r="F9" s="1947"/>
      <c r="G9" s="623"/>
    </row>
    <row r="10" spans="1:7" s="916" customFormat="1" ht="15.5">
      <c r="A10" s="3573" t="s">
        <v>1314</v>
      </c>
      <c r="B10" s="3574">
        <v>8752000</v>
      </c>
      <c r="C10" s="3574">
        <v>183447.37999999998</v>
      </c>
      <c r="D10" s="3574">
        <v>1500932.58</v>
      </c>
      <c r="E10" s="3037"/>
      <c r="F10" s="1947"/>
      <c r="G10" s="623"/>
    </row>
    <row r="11" spans="1:7" s="916" customFormat="1" ht="13">
      <c r="A11" s="3614" t="s">
        <v>500</v>
      </c>
      <c r="B11" s="3615">
        <v>2134768000</v>
      </c>
      <c r="C11" s="3615">
        <v>32163173.030000001</v>
      </c>
      <c r="D11" s="3615">
        <v>274411948.01999998</v>
      </c>
      <c r="E11" s="1644"/>
      <c r="F11" s="1947"/>
      <c r="G11" s="623"/>
    </row>
    <row r="12" spans="1:7" s="916" customFormat="1">
      <c r="A12" s="3573" t="s">
        <v>1315</v>
      </c>
      <c r="B12" s="3574">
        <v>2134768000</v>
      </c>
      <c r="C12" s="3574">
        <v>32163173.030000001</v>
      </c>
      <c r="D12" s="3574">
        <v>274411948.01999998</v>
      </c>
      <c r="E12" s="1644"/>
      <c r="F12" s="1947"/>
      <c r="G12" s="623"/>
    </row>
    <row r="13" spans="1:7" s="916" customFormat="1" ht="13">
      <c r="A13" s="3614" t="s">
        <v>501</v>
      </c>
      <c r="B13" s="3615">
        <v>120000</v>
      </c>
      <c r="C13" s="3615">
        <v>0</v>
      </c>
      <c r="D13" s="3615">
        <v>0</v>
      </c>
      <c r="E13" s="1644"/>
      <c r="F13" s="1947"/>
      <c r="G13" s="623"/>
    </row>
    <row r="14" spans="1:7" s="916" customFormat="1">
      <c r="A14" s="3573" t="s">
        <v>1316</v>
      </c>
      <c r="B14" s="3574">
        <v>120000</v>
      </c>
      <c r="C14" s="3574">
        <v>0</v>
      </c>
      <c r="D14" s="3574">
        <v>0</v>
      </c>
      <c r="E14" s="1644"/>
      <c r="F14" s="1947"/>
      <c r="G14" s="623"/>
    </row>
    <row r="15" spans="1:7" s="916" customFormat="1" ht="13">
      <c r="A15" s="3614" t="s">
        <v>1207</v>
      </c>
      <c r="B15" s="3615">
        <v>384850000</v>
      </c>
      <c r="C15" s="3615">
        <v>12948002.780000001</v>
      </c>
      <c r="D15" s="3615">
        <v>60146687.329999998</v>
      </c>
      <c r="E15" s="1644"/>
      <c r="F15" s="1947"/>
      <c r="G15" s="623"/>
    </row>
    <row r="16" spans="1:7" s="916" customFormat="1">
      <c r="A16" s="3573" t="s">
        <v>1317</v>
      </c>
      <c r="B16" s="3574">
        <v>384850000</v>
      </c>
      <c r="C16" s="3574">
        <v>12948002.780000001</v>
      </c>
      <c r="D16" s="3574">
        <v>60146687.329999998</v>
      </c>
      <c r="E16" s="1644"/>
      <c r="F16" s="1947"/>
      <c r="G16" s="623"/>
    </row>
    <row r="17" spans="1:7" s="916" customFormat="1" ht="13">
      <c r="A17" s="3614" t="s">
        <v>502</v>
      </c>
      <c r="B17" s="3615">
        <v>1490325059.03</v>
      </c>
      <c r="C17" s="3615">
        <v>9461678.9399999995</v>
      </c>
      <c r="D17" s="3615">
        <v>133897486.52000001</v>
      </c>
      <c r="E17" s="1644"/>
      <c r="F17" s="1947"/>
      <c r="G17" s="623"/>
    </row>
    <row r="18" spans="1:7" s="916" customFormat="1">
      <c r="A18" s="3573" t="s">
        <v>1318</v>
      </c>
      <c r="B18" s="3574">
        <v>123150000</v>
      </c>
      <c r="C18" s="3574">
        <v>0</v>
      </c>
      <c r="D18" s="3574">
        <v>0</v>
      </c>
      <c r="E18" s="1644"/>
      <c r="F18" s="1947"/>
      <c r="G18" s="623"/>
    </row>
    <row r="19" spans="1:7" s="916" customFormat="1">
      <c r="A19" s="3573" t="s">
        <v>1319</v>
      </c>
      <c r="B19" s="3574">
        <v>3537000</v>
      </c>
      <c r="C19" s="3574">
        <v>0</v>
      </c>
      <c r="D19" s="3574">
        <v>448825.76999999996</v>
      </c>
      <c r="E19" s="1644"/>
      <c r="F19" s="1947"/>
      <c r="G19" s="623"/>
    </row>
    <row r="20" spans="1:7" s="916" customFormat="1">
      <c r="A20" s="3573" t="s">
        <v>1320</v>
      </c>
      <c r="B20" s="3574">
        <v>3387000</v>
      </c>
      <c r="C20" s="3574">
        <v>0</v>
      </c>
      <c r="D20" s="3574">
        <v>583185.43999999994</v>
      </c>
      <c r="E20" s="1644"/>
      <c r="F20" s="1947"/>
      <c r="G20" s="623"/>
    </row>
    <row r="21" spans="1:7" s="916" customFormat="1">
      <c r="A21" s="3573" t="s">
        <v>1321</v>
      </c>
      <c r="B21" s="3574">
        <v>24700000</v>
      </c>
      <c r="C21" s="3574">
        <v>0</v>
      </c>
      <c r="D21" s="3574">
        <v>-0.01</v>
      </c>
      <c r="E21" s="1644"/>
      <c r="F21" s="1947"/>
      <c r="G21" s="623"/>
    </row>
    <row r="22" spans="1:7" s="916" customFormat="1">
      <c r="A22" s="3573" t="s">
        <v>1322</v>
      </c>
      <c r="B22" s="3574">
        <v>163200000</v>
      </c>
      <c r="C22" s="3574">
        <v>0</v>
      </c>
      <c r="D22" s="3574">
        <v>0</v>
      </c>
      <c r="E22" s="1644"/>
      <c r="F22" s="1947"/>
      <c r="G22" s="623"/>
    </row>
    <row r="23" spans="1:7" s="916" customFormat="1">
      <c r="A23" s="3573" t="s">
        <v>1323</v>
      </c>
      <c r="B23" s="3574">
        <v>4732000</v>
      </c>
      <c r="C23" s="3574">
        <v>0</v>
      </c>
      <c r="D23" s="3574">
        <v>0</v>
      </c>
      <c r="E23" s="1644"/>
      <c r="F23" s="1947"/>
      <c r="G23" s="623"/>
    </row>
    <row r="24" spans="1:7" s="916" customFormat="1">
      <c r="A24" s="3573" t="s">
        <v>1324</v>
      </c>
      <c r="B24" s="3574">
        <v>10335000</v>
      </c>
      <c r="C24" s="3574">
        <v>0</v>
      </c>
      <c r="D24" s="3574">
        <v>0</v>
      </c>
      <c r="E24" s="1644"/>
      <c r="F24" s="1947"/>
      <c r="G24" s="623"/>
    </row>
    <row r="25" spans="1:7" s="916" customFormat="1">
      <c r="A25" s="3573" t="s">
        <v>1325</v>
      </c>
      <c r="B25" s="3574">
        <v>9440000</v>
      </c>
      <c r="C25" s="3574">
        <v>0</v>
      </c>
      <c r="D25" s="3574">
        <v>411213.15</v>
      </c>
      <c r="E25" s="1644"/>
      <c r="F25" s="1947"/>
      <c r="G25" s="623"/>
    </row>
    <row r="26" spans="1:7" s="916" customFormat="1">
      <c r="A26" s="3573" t="s">
        <v>1326</v>
      </c>
      <c r="B26" s="3574">
        <v>39200000</v>
      </c>
      <c r="C26" s="3574">
        <v>0</v>
      </c>
      <c r="D26" s="3574">
        <v>0</v>
      </c>
      <c r="E26" s="1644"/>
      <c r="F26" s="1947"/>
      <c r="G26" s="623"/>
    </row>
    <row r="27" spans="1:7" s="916" customFormat="1">
      <c r="A27" s="3573" t="s">
        <v>1327</v>
      </c>
      <c r="B27" s="3574">
        <v>18320000</v>
      </c>
      <c r="C27" s="3574">
        <v>137376.95999999999</v>
      </c>
      <c r="D27" s="3574">
        <v>2635355.7599999998</v>
      </c>
      <c r="E27" s="910"/>
      <c r="F27" s="1947"/>
      <c r="G27" s="623"/>
    </row>
    <row r="28" spans="1:7" s="916" customFormat="1">
      <c r="A28" s="3573" t="s">
        <v>1328</v>
      </c>
      <c r="B28" s="3574">
        <v>5733000</v>
      </c>
      <c r="C28" s="3574">
        <v>39643.17</v>
      </c>
      <c r="D28" s="3574">
        <v>130812.89</v>
      </c>
      <c r="E28" s="910"/>
      <c r="F28" s="1947"/>
      <c r="G28" s="623"/>
    </row>
    <row r="29" spans="1:7">
      <c r="A29" s="3573" t="s">
        <v>1329</v>
      </c>
      <c r="B29" s="3574">
        <v>52000000</v>
      </c>
      <c r="C29" s="3574">
        <v>0</v>
      </c>
      <c r="D29" s="3574">
        <v>0</v>
      </c>
      <c r="E29" s="910"/>
    </row>
    <row r="30" spans="1:7">
      <c r="A30" s="3573" t="s">
        <v>1330</v>
      </c>
      <c r="B30" s="3574">
        <v>2200000</v>
      </c>
      <c r="C30" s="3574">
        <v>0</v>
      </c>
      <c r="D30" s="3574">
        <v>0</v>
      </c>
      <c r="E30" s="910"/>
    </row>
    <row r="31" spans="1:7">
      <c r="A31" s="3573" t="s">
        <v>1331</v>
      </c>
      <c r="B31" s="3574">
        <v>359900000</v>
      </c>
      <c r="C31" s="3574">
        <v>0</v>
      </c>
      <c r="D31" s="3574">
        <v>102100000</v>
      </c>
      <c r="E31" s="910"/>
    </row>
    <row r="32" spans="1:7">
      <c r="A32" s="3573" t="s">
        <v>1332</v>
      </c>
      <c r="B32" s="3574">
        <v>27195000</v>
      </c>
      <c r="C32" s="3574">
        <v>85306.64</v>
      </c>
      <c r="D32" s="3574">
        <v>1189674.6499999999</v>
      </c>
      <c r="E32" s="910"/>
    </row>
    <row r="33" spans="1:5" ht="13">
      <c r="A33" s="3573" t="s">
        <v>1333</v>
      </c>
      <c r="B33" s="3574">
        <v>974000</v>
      </c>
      <c r="C33" s="3574">
        <v>0</v>
      </c>
      <c r="D33" s="3574">
        <v>124000</v>
      </c>
      <c r="E33" s="3038"/>
    </row>
    <row r="34" spans="1:5">
      <c r="A34" s="3573" t="s">
        <v>1334</v>
      </c>
      <c r="B34" s="3574">
        <v>6320000</v>
      </c>
      <c r="C34" s="3574">
        <v>0</v>
      </c>
      <c r="D34" s="3574">
        <v>0</v>
      </c>
      <c r="E34" s="910"/>
    </row>
    <row r="35" spans="1:5">
      <c r="A35" s="3573" t="s">
        <v>1335</v>
      </c>
      <c r="B35" s="3574">
        <v>5300000</v>
      </c>
      <c r="C35" s="3574">
        <v>650765.66</v>
      </c>
      <c r="D35" s="3574">
        <v>966827.13</v>
      </c>
      <c r="E35" s="910"/>
    </row>
    <row r="36" spans="1:5">
      <c r="A36" s="3573" t="s">
        <v>1336</v>
      </c>
      <c r="B36" s="3574">
        <v>89266000</v>
      </c>
      <c r="C36" s="3574">
        <v>7592600</v>
      </c>
      <c r="D36" s="3574">
        <v>22777800</v>
      </c>
      <c r="E36" s="910"/>
    </row>
    <row r="37" spans="1:5">
      <c r="A37" s="3573" t="s">
        <v>1377</v>
      </c>
      <c r="B37" s="3574">
        <v>50000</v>
      </c>
      <c r="C37" s="3574">
        <v>0</v>
      </c>
      <c r="D37" s="3574">
        <v>0</v>
      </c>
      <c r="E37" s="910"/>
    </row>
    <row r="38" spans="1:5">
      <c r="A38" s="3573" t="s">
        <v>1337</v>
      </c>
      <c r="B38" s="3574">
        <v>17050000</v>
      </c>
      <c r="C38" s="3574">
        <v>195030.95</v>
      </c>
      <c r="D38" s="3574">
        <v>397984.62</v>
      </c>
      <c r="E38" s="910"/>
    </row>
    <row r="39" spans="1:5">
      <c r="A39" s="3573" t="s">
        <v>1478</v>
      </c>
      <c r="B39" s="3574">
        <v>9410000</v>
      </c>
      <c r="C39" s="3574">
        <v>760955.56</v>
      </c>
      <c r="D39" s="3574">
        <v>934581.33</v>
      </c>
      <c r="E39" s="910"/>
    </row>
    <row r="40" spans="1:5">
      <c r="A40" s="3573" t="s">
        <v>1488</v>
      </c>
      <c r="B40" s="3574">
        <v>1100000</v>
      </c>
      <c r="C40" s="3574">
        <v>0</v>
      </c>
      <c r="D40" s="3574">
        <v>0</v>
      </c>
      <c r="E40" s="910"/>
    </row>
    <row r="41" spans="1:5">
      <c r="A41" s="3573" t="s">
        <v>1338</v>
      </c>
      <c r="B41" s="3574">
        <v>11610000</v>
      </c>
      <c r="C41" s="3574">
        <v>0</v>
      </c>
      <c r="D41" s="3574">
        <v>1197225.79</v>
      </c>
      <c r="E41" s="910"/>
    </row>
    <row r="42" spans="1:5">
      <c r="A42" s="3573" t="s">
        <v>1339</v>
      </c>
      <c r="B42" s="3574">
        <v>4230000</v>
      </c>
      <c r="C42" s="3574">
        <v>0</v>
      </c>
      <c r="D42" s="3574">
        <v>0</v>
      </c>
      <c r="E42" s="910"/>
    </row>
    <row r="43" spans="1:5">
      <c r="A43" s="3573" t="s">
        <v>1340</v>
      </c>
      <c r="B43" s="3574">
        <v>8460000</v>
      </c>
      <c r="C43" s="3574">
        <v>0</v>
      </c>
      <c r="D43" s="3574">
        <v>0</v>
      </c>
      <c r="E43" s="910"/>
    </row>
    <row r="44" spans="1:5">
      <c r="A44" s="3573" t="s">
        <v>1341</v>
      </c>
      <c r="B44" s="3574">
        <v>489526059.02999997</v>
      </c>
      <c r="C44" s="3574">
        <v>0</v>
      </c>
      <c r="D44" s="3574">
        <v>0</v>
      </c>
      <c r="E44" s="910"/>
    </row>
    <row r="45" spans="1:5" ht="13">
      <c r="A45" s="3614" t="s">
        <v>503</v>
      </c>
      <c r="B45" s="3615">
        <v>28631301000</v>
      </c>
      <c r="C45" s="3615">
        <v>351021925.77999997</v>
      </c>
      <c r="D45" s="3615">
        <v>2790243981.52</v>
      </c>
      <c r="E45" s="910"/>
    </row>
    <row r="46" spans="1:5">
      <c r="A46" s="3573" t="s">
        <v>1342</v>
      </c>
      <c r="B46" s="3574">
        <v>300000000</v>
      </c>
      <c r="C46" s="3574">
        <v>0</v>
      </c>
      <c r="D46" s="3574">
        <v>0</v>
      </c>
      <c r="E46" s="910"/>
    </row>
    <row r="47" spans="1:5">
      <c r="A47" s="3573" t="s">
        <v>1343</v>
      </c>
      <c r="B47" s="3574">
        <v>4999000000</v>
      </c>
      <c r="C47" s="3574">
        <v>51021925.780000001</v>
      </c>
      <c r="D47" s="3574">
        <v>465243981.52000004</v>
      </c>
      <c r="E47" s="910"/>
    </row>
    <row r="48" spans="1:5">
      <c r="A48" s="3573" t="s">
        <v>1344</v>
      </c>
      <c r="B48" s="3574">
        <v>22349101000</v>
      </c>
      <c r="C48" s="3574">
        <v>300000000</v>
      </c>
      <c r="D48" s="3574">
        <v>2325000000</v>
      </c>
      <c r="E48" s="910"/>
    </row>
    <row r="49" spans="1:5">
      <c r="A49" s="3573" t="s">
        <v>1345</v>
      </c>
      <c r="B49" s="3574">
        <v>916000000</v>
      </c>
      <c r="C49" s="3574">
        <v>0</v>
      </c>
      <c r="D49" s="3574">
        <v>0</v>
      </c>
      <c r="E49" s="910"/>
    </row>
    <row r="50" spans="1:5">
      <c r="A50" s="3573" t="s">
        <v>1346</v>
      </c>
      <c r="B50" s="3574">
        <v>67200000</v>
      </c>
      <c r="C50" s="3574">
        <v>0</v>
      </c>
      <c r="D50" s="3574">
        <v>0</v>
      </c>
      <c r="E50" s="910"/>
    </row>
    <row r="51" spans="1:5" ht="13">
      <c r="A51" s="3614" t="s">
        <v>1363</v>
      </c>
      <c r="B51" s="3615">
        <v>102431000</v>
      </c>
      <c r="C51" s="3615">
        <v>3418634.2</v>
      </c>
      <c r="D51" s="3615">
        <v>16350054.5</v>
      </c>
      <c r="E51" s="910"/>
    </row>
    <row r="52" spans="1:5">
      <c r="A52" s="3573" t="s">
        <v>1364</v>
      </c>
      <c r="B52" s="3574">
        <v>102431000</v>
      </c>
      <c r="C52" s="3574">
        <v>3418634.2</v>
      </c>
      <c r="D52" s="3574">
        <v>16350054.5</v>
      </c>
      <c r="E52" s="910"/>
    </row>
    <row r="53" spans="1:5" ht="13">
      <c r="A53" s="3614" t="s">
        <v>504</v>
      </c>
      <c r="B53" s="3615">
        <v>1834000</v>
      </c>
      <c r="C53" s="3615">
        <v>0</v>
      </c>
      <c r="D53" s="3615">
        <v>0</v>
      </c>
      <c r="E53" s="910"/>
    </row>
    <row r="54" spans="1:5">
      <c r="A54" s="3573" t="s">
        <v>1347</v>
      </c>
      <c r="B54" s="3574">
        <v>1834000</v>
      </c>
      <c r="C54" s="3574">
        <v>0</v>
      </c>
      <c r="D54" s="3574">
        <v>0</v>
      </c>
      <c r="E54" s="910"/>
    </row>
    <row r="55" spans="1:5" ht="13">
      <c r="A55" s="3614" t="s">
        <v>505</v>
      </c>
      <c r="B55" s="3615">
        <v>68317000</v>
      </c>
      <c r="C55" s="3615">
        <v>972283.86</v>
      </c>
      <c r="D55" s="3615">
        <v>4614676.1500000004</v>
      </c>
      <c r="E55" s="910"/>
    </row>
    <row r="56" spans="1:5">
      <c r="A56" s="3573" t="s">
        <v>1348</v>
      </c>
      <c r="B56" s="3574">
        <v>68317000</v>
      </c>
      <c r="C56" s="3574">
        <v>972283.86</v>
      </c>
      <c r="D56" s="3574">
        <v>4614676.1500000004</v>
      </c>
      <c r="E56" s="910"/>
    </row>
    <row r="57" spans="1:5" ht="13">
      <c r="A57" s="3614" t="s">
        <v>506</v>
      </c>
      <c r="B57" s="3615">
        <v>2477800</v>
      </c>
      <c r="C57" s="3615">
        <v>0</v>
      </c>
      <c r="D57" s="3615">
        <v>0</v>
      </c>
      <c r="E57" s="910"/>
    </row>
    <row r="58" spans="1:5">
      <c r="A58" s="3573" t="s">
        <v>1349</v>
      </c>
      <c r="B58" s="3574">
        <v>2477800</v>
      </c>
      <c r="C58" s="3574">
        <v>0</v>
      </c>
      <c r="D58" s="3574">
        <v>0</v>
      </c>
      <c r="E58" s="910"/>
    </row>
    <row r="59" spans="1:5" ht="13">
      <c r="A59" s="3614" t="s">
        <v>1247</v>
      </c>
      <c r="B59" s="3615">
        <v>8190000</v>
      </c>
      <c r="C59" s="3615">
        <v>1012326.25</v>
      </c>
      <c r="D59" s="3615">
        <v>2674293.0700000003</v>
      </c>
      <c r="E59" s="910"/>
    </row>
    <row r="60" spans="1:5">
      <c r="A60" s="3573" t="s">
        <v>1247</v>
      </c>
      <c r="B60" s="3574">
        <v>8190000</v>
      </c>
      <c r="C60" s="3574">
        <v>1012326.25</v>
      </c>
      <c r="D60" s="3574">
        <v>2674293.0700000003</v>
      </c>
      <c r="E60" s="910"/>
    </row>
    <row r="61" spans="1:5" ht="13">
      <c r="A61" s="3784" t="s">
        <v>547</v>
      </c>
      <c r="B61" s="3786">
        <v>32833365859.029999</v>
      </c>
      <c r="C61" s="3786">
        <v>411181472.22000003</v>
      </c>
      <c r="D61" s="3786">
        <v>3283840059.6899996</v>
      </c>
      <c r="E61" s="910"/>
    </row>
    <row r="62" spans="1:5" ht="15" customHeight="1">
      <c r="A62" s="3584" t="s">
        <v>507</v>
      </c>
      <c r="B62" s="3785"/>
      <c r="C62" s="3585">
        <v>-384115.4</v>
      </c>
      <c r="D62" s="3585">
        <v>-4033521.62</v>
      </c>
      <c r="E62" s="910"/>
    </row>
    <row r="63" spans="1:5" ht="15.65" customHeight="1">
      <c r="A63" s="3584" t="s">
        <v>1298</v>
      </c>
      <c r="B63" s="3785"/>
      <c r="C63" s="3585">
        <v>0</v>
      </c>
      <c r="D63" s="3585">
        <v>0</v>
      </c>
      <c r="E63" s="910"/>
    </row>
    <row r="64" spans="1:5" ht="12.75" customHeight="1">
      <c r="A64" s="3584" t="s">
        <v>1299</v>
      </c>
      <c r="B64" s="3585"/>
      <c r="C64" s="3585">
        <v>0</v>
      </c>
      <c r="D64" s="3585">
        <v>0</v>
      </c>
      <c r="E64" s="3039"/>
    </row>
    <row r="65" spans="1:5">
      <c r="A65" s="3584" t="s">
        <v>508</v>
      </c>
      <c r="B65" s="3585"/>
      <c r="C65" s="3585">
        <v>461.87</v>
      </c>
      <c r="D65" s="3585">
        <v>-256</v>
      </c>
      <c r="E65" s="910"/>
    </row>
    <row r="66" spans="1:5" ht="13.5" thickBot="1">
      <c r="A66" s="3568" t="s">
        <v>1350</v>
      </c>
      <c r="B66" s="3603">
        <v>32833365859.029999</v>
      </c>
      <c r="C66" s="3603">
        <v>410797818.69000006</v>
      </c>
      <c r="D66" s="3603">
        <v>3279806282.0699997</v>
      </c>
      <c r="E66" s="910"/>
    </row>
    <row r="67" spans="1:5" ht="13" thickTop="1">
      <c r="A67" s="1582"/>
      <c r="B67" s="3567"/>
      <c r="C67" s="3567"/>
      <c r="D67" s="3567"/>
      <c r="E67" s="910"/>
    </row>
    <row r="68" spans="1:5">
      <c r="A68" s="3569" t="s">
        <v>1479</v>
      </c>
      <c r="B68" s="1582"/>
      <c r="C68" s="1582"/>
      <c r="D68" s="1582"/>
      <c r="E68" s="910"/>
    </row>
    <row r="69" spans="1:5">
      <c r="A69" s="3569" t="s">
        <v>962</v>
      </c>
      <c r="B69" s="1582"/>
      <c r="C69" s="1582"/>
      <c r="D69" s="1582"/>
      <c r="E69" s="910"/>
    </row>
    <row r="70" spans="1:5" ht="13.4" customHeight="1">
      <c r="A70" s="3570" t="s">
        <v>932</v>
      </c>
      <c r="B70" s="1582"/>
      <c r="C70" s="1582"/>
      <c r="D70" s="1582"/>
    </row>
    <row r="71" spans="1:5" ht="12.75" customHeight="1">
      <c r="A71" s="3571" t="s">
        <v>933</v>
      </c>
      <c r="B71" s="1582"/>
      <c r="C71" s="1582"/>
      <c r="D71" s="3572"/>
    </row>
    <row r="72" spans="1:5">
      <c r="A72" s="3571" t="s">
        <v>934</v>
      </c>
      <c r="B72" s="1582"/>
      <c r="C72" s="1582"/>
      <c r="D72" s="3567"/>
    </row>
    <row r="73" spans="1:5">
      <c r="B73" s="917"/>
      <c r="C73" s="1586"/>
      <c r="D73" s="914"/>
    </row>
    <row r="74" spans="1:5">
      <c r="A74" s="912"/>
      <c r="B74" s="913"/>
      <c r="C74" s="913"/>
    </row>
    <row r="75" spans="1:5">
      <c r="A75" s="912"/>
      <c r="B75" s="913"/>
      <c r="C75" s="913" t="s">
        <v>15</v>
      </c>
    </row>
    <row r="76" spans="1:5">
      <c r="C76" s="3567" t="s">
        <v>15</v>
      </c>
    </row>
    <row r="77" spans="1:5">
      <c r="A77" s="913"/>
      <c r="B77" s="915"/>
      <c r="C77" s="915"/>
      <c r="D77" s="915"/>
    </row>
    <row r="78" spans="1:5" ht="12.75" customHeight="1">
      <c r="A78" s="913"/>
      <c r="B78" s="915"/>
      <c r="C78" s="915"/>
      <c r="D78" s="915"/>
    </row>
    <row r="79" spans="1:5" ht="12.75" customHeight="1">
      <c r="A79" s="913"/>
      <c r="B79" s="915"/>
      <c r="C79" s="3790" t="s">
        <v>15</v>
      </c>
      <c r="D79" s="915"/>
    </row>
    <row r="80" spans="1:5" ht="12.75" customHeight="1">
      <c r="A80" s="913"/>
      <c r="B80" s="915"/>
      <c r="C80" s="915"/>
      <c r="D80" s="915"/>
    </row>
    <row r="81" spans="1:3">
      <c r="A81" s="913"/>
      <c r="B81" s="915"/>
      <c r="C81" s="915"/>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90" zoomScaleNormal="70" workbookViewId="0"/>
  </sheetViews>
  <sheetFormatPr defaultColWidth="8.69140625" defaultRowHeight="15" customHeight="1"/>
  <cols>
    <col min="1" max="1" width="55.07421875" style="1269" customWidth="1"/>
    <col min="2" max="2" width="4.69140625" style="1269" customWidth="1"/>
    <col min="3" max="3" width="20.69140625" style="1270" customWidth="1"/>
    <col min="4" max="4" width="1.69140625" style="1269" customWidth="1"/>
    <col min="5" max="5" width="20.69140625" style="1270" customWidth="1"/>
    <col min="6" max="6" width="1.69140625" style="1269" customWidth="1"/>
    <col min="7" max="7" width="20.69140625" style="1270" customWidth="1"/>
    <col min="8" max="8" width="2.07421875" style="1269" customWidth="1"/>
    <col min="9" max="9" width="1.69140625" style="1271" customWidth="1"/>
    <col min="10" max="10" width="20.07421875" style="1271" customWidth="1"/>
    <col min="11" max="12" width="8.69140625" style="1270"/>
    <col min="13" max="16384" width="8.69140625" style="1269"/>
  </cols>
  <sheetData>
    <row r="1" spans="1:12" ht="15" customHeight="1">
      <c r="A1" s="642" t="s">
        <v>963</v>
      </c>
    </row>
    <row r="2" spans="1:12" ht="15" customHeight="1">
      <c r="A2" s="1272"/>
    </row>
    <row r="3" spans="1:12" ht="15" customHeight="1">
      <c r="J3" s="1350" t="s">
        <v>509</v>
      </c>
    </row>
    <row r="4" spans="1:12" ht="18" customHeight="1">
      <c r="A4" s="1951" t="s">
        <v>494</v>
      </c>
      <c r="B4" s="1273"/>
      <c r="C4" s="1273"/>
      <c r="D4" s="1273"/>
      <c r="E4" s="1273"/>
      <c r="F4" s="1273"/>
      <c r="G4" s="1273"/>
      <c r="H4" s="1273"/>
      <c r="I4" s="1352"/>
      <c r="J4" s="1352"/>
    </row>
    <row r="5" spans="1:12" ht="18" customHeight="1">
      <c r="A5" s="1951" t="s">
        <v>876</v>
      </c>
      <c r="B5" s="1951"/>
      <c r="C5" s="1951"/>
      <c r="D5" s="1951"/>
      <c r="E5" s="1951"/>
      <c r="F5" s="1951"/>
      <c r="G5" s="1951"/>
      <c r="H5" s="1951"/>
      <c r="I5" s="1351"/>
      <c r="J5" s="1951"/>
    </row>
    <row r="6" spans="1:12" ht="18" customHeight="1">
      <c r="A6" s="1951" t="s">
        <v>1473</v>
      </c>
      <c r="B6" s="1952"/>
      <c r="C6" s="1952"/>
      <c r="D6" s="1952"/>
      <c r="E6" s="1952"/>
      <c r="F6" s="1952"/>
      <c r="G6" s="1952"/>
      <c r="H6" s="1952"/>
      <c r="I6" s="1351"/>
      <c r="J6" s="1951"/>
    </row>
    <row r="7" spans="1:12" ht="15" customHeight="1">
      <c r="A7" s="1953"/>
      <c r="B7" s="1953"/>
      <c r="C7" s="1953"/>
      <c r="D7" s="1953"/>
      <c r="E7" s="1953"/>
      <c r="F7" s="1953"/>
      <c r="G7" s="1953"/>
      <c r="H7" s="1953"/>
      <c r="I7" s="1353"/>
      <c r="J7" s="1353"/>
    </row>
    <row r="8" spans="1:12" ht="15" customHeight="1">
      <c r="A8" s="1275"/>
      <c r="B8" s="1276"/>
      <c r="C8" s="1277"/>
      <c r="D8" s="1276"/>
      <c r="E8" s="1277"/>
      <c r="F8" s="1276"/>
      <c r="G8" s="1277"/>
      <c r="H8" s="1276"/>
      <c r="I8" s="1354"/>
      <c r="J8" s="1278"/>
    </row>
    <row r="9" spans="1:12" s="1281" customFormat="1" ht="15" customHeight="1">
      <c r="A9" s="1279"/>
      <c r="B9" s="1279"/>
      <c r="C9" s="1634" t="s">
        <v>1507</v>
      </c>
      <c r="D9" s="1279"/>
      <c r="E9" s="1634" t="s">
        <v>1556</v>
      </c>
      <c r="F9" s="1279"/>
      <c r="G9" s="1634">
        <v>2020</v>
      </c>
      <c r="H9" s="1279"/>
      <c r="I9" s="1280"/>
      <c r="J9" s="1280"/>
      <c r="K9" s="1268"/>
      <c r="L9" s="1268"/>
    </row>
    <row r="10" spans="1:12" ht="15" customHeight="1">
      <c r="A10" s="1282"/>
      <c r="B10" s="1282"/>
      <c r="C10" s="2229" t="s">
        <v>1508</v>
      </c>
      <c r="D10" s="1282"/>
      <c r="E10" s="2229" t="s">
        <v>1557</v>
      </c>
      <c r="F10" s="1282"/>
      <c r="G10" s="2229" t="s">
        <v>144</v>
      </c>
      <c r="H10" s="1282"/>
      <c r="I10" s="1274"/>
      <c r="J10" s="1283" t="s">
        <v>1474</v>
      </c>
    </row>
    <row r="11" spans="1:12" ht="15" customHeight="1">
      <c r="A11" s="1282"/>
      <c r="B11" s="1282"/>
      <c r="C11" s="1274"/>
      <c r="D11" s="1282"/>
      <c r="E11" s="1274"/>
      <c r="F11" s="1282"/>
      <c r="G11" s="1274"/>
      <c r="H11" s="1282"/>
      <c r="I11" s="1274"/>
      <c r="J11" s="1892"/>
    </row>
    <row r="12" spans="1:12" s="1281" customFormat="1" ht="15" customHeight="1">
      <c r="A12" s="1285" t="s">
        <v>471</v>
      </c>
      <c r="B12" s="1285"/>
      <c r="C12" s="1286">
        <v>350947309.06</v>
      </c>
      <c r="D12" s="1285"/>
      <c r="E12" s="1286">
        <f>C52</f>
        <v>126897506.61</v>
      </c>
      <c r="F12" s="1285"/>
      <c r="G12" s="1286">
        <f>E52</f>
        <v>318804091.75999999</v>
      </c>
      <c r="H12" s="1285"/>
      <c r="I12" s="1287"/>
      <c r="J12" s="1355">
        <f>C12</f>
        <v>350947309.06</v>
      </c>
      <c r="K12" s="1268"/>
      <c r="L12" s="1268"/>
    </row>
    <row r="13" spans="1:12" ht="15" customHeight="1">
      <c r="A13" s="1285"/>
      <c r="B13" s="1282"/>
      <c r="C13" s="1284"/>
      <c r="D13" s="1282"/>
      <c r="E13" s="1284"/>
      <c r="F13" s="1282"/>
      <c r="G13" s="1284"/>
      <c r="H13" s="1282"/>
      <c r="I13" s="1288"/>
      <c r="J13" s="1291"/>
    </row>
    <row r="14" spans="1:12" ht="15" customHeight="1">
      <c r="A14" s="1285" t="s">
        <v>14</v>
      </c>
      <c r="B14" s="1282"/>
      <c r="C14" s="1289"/>
      <c r="D14" s="1282"/>
      <c r="E14" s="1289"/>
      <c r="F14" s="1282"/>
      <c r="G14" s="1289"/>
      <c r="H14" s="1282"/>
      <c r="I14" s="1290"/>
      <c r="J14" s="1291"/>
    </row>
    <row r="15" spans="1:12" ht="15" customHeight="1">
      <c r="A15" s="1282" t="s">
        <v>511</v>
      </c>
      <c r="B15" s="1282"/>
      <c r="C15" s="1257">
        <v>722415689.44000006</v>
      </c>
      <c r="D15" s="1282"/>
      <c r="E15" s="1257">
        <v>975374899.18000007</v>
      </c>
      <c r="F15" s="1282"/>
      <c r="G15" s="3798">
        <v>285489035.06999999</v>
      </c>
      <c r="H15" s="1282"/>
      <c r="I15" s="1290"/>
      <c r="J15" s="1291">
        <f t="shared" ref="J15:J21" si="0">SUM(C15:G15)</f>
        <v>1983279623.6900001</v>
      </c>
    </row>
    <row r="16" spans="1:12" ht="15" customHeight="1">
      <c r="A16" s="1282" t="s">
        <v>512</v>
      </c>
      <c r="B16" s="1282"/>
      <c r="C16" s="1257">
        <v>224564997.99000001</v>
      </c>
      <c r="D16" s="1282"/>
      <c r="E16" s="1257">
        <v>294913084.03000003</v>
      </c>
      <c r="F16" s="1282"/>
      <c r="G16" s="3798">
        <v>84288479.430000007</v>
      </c>
      <c r="H16" s="1282"/>
      <c r="I16" s="1290"/>
      <c r="J16" s="1291">
        <f t="shared" si="0"/>
        <v>603766561.45000005</v>
      </c>
    </row>
    <row r="17" spans="1:17" ht="15" customHeight="1">
      <c r="A17" s="1282" t="s">
        <v>513</v>
      </c>
      <c r="B17" s="1282"/>
      <c r="C17" s="1257">
        <v>19621242.870000001</v>
      </c>
      <c r="D17" s="1282"/>
      <c r="E17" s="1257">
        <v>22021897.799999997</v>
      </c>
      <c r="F17" s="1282"/>
      <c r="G17" s="3798">
        <v>7247462.6100000003</v>
      </c>
      <c r="H17" s="1282"/>
      <c r="I17" s="1290"/>
      <c r="J17" s="1291">
        <f t="shared" si="0"/>
        <v>48890603.280000001</v>
      </c>
    </row>
    <row r="18" spans="1:17" ht="15" customHeight="1">
      <c r="A18" s="1282" t="s">
        <v>514</v>
      </c>
      <c r="B18" s="1282"/>
      <c r="C18" s="1257">
        <v>103739180</v>
      </c>
      <c r="D18" s="1282"/>
      <c r="E18" s="1257">
        <v>107280064</v>
      </c>
      <c r="F18" s="1282"/>
      <c r="G18" s="3798">
        <v>34082840</v>
      </c>
      <c r="H18" s="1282"/>
      <c r="I18" s="1290"/>
      <c r="J18" s="1291">
        <f t="shared" si="0"/>
        <v>245102084</v>
      </c>
    </row>
    <row r="19" spans="1:17" s="1479" customFormat="1" ht="18" customHeight="1">
      <c r="A19" s="1480" t="s">
        <v>515</v>
      </c>
      <c r="B19" s="1282"/>
      <c r="C19" s="788">
        <v>0</v>
      </c>
      <c r="D19" s="1282"/>
      <c r="E19" s="788">
        <v>0</v>
      </c>
      <c r="F19" s="1282"/>
      <c r="G19" s="3804">
        <v>0</v>
      </c>
      <c r="H19" s="1282"/>
      <c r="I19" s="1290"/>
      <c r="J19" s="1291">
        <f t="shared" si="0"/>
        <v>0</v>
      </c>
      <c r="K19" s="1284"/>
      <c r="L19" s="1284"/>
    </row>
    <row r="20" spans="1:17" ht="15" customHeight="1">
      <c r="A20" s="1282" t="s">
        <v>516</v>
      </c>
      <c r="B20" s="1282"/>
      <c r="C20" s="1257">
        <v>13893.949999999999</v>
      </c>
      <c r="D20" s="1282"/>
      <c r="E20" s="1257">
        <v>16145.630000000001</v>
      </c>
      <c r="F20" s="1282"/>
      <c r="G20" s="3798">
        <v>2835.45</v>
      </c>
      <c r="H20" s="1282"/>
      <c r="I20" s="1290"/>
      <c r="J20" s="1291">
        <f t="shared" si="0"/>
        <v>32875.03</v>
      </c>
    </row>
    <row r="21" spans="1:17" ht="15" customHeight="1">
      <c r="A21" s="1282" t="s">
        <v>517</v>
      </c>
      <c r="B21" s="1282"/>
      <c r="C21" s="1958">
        <v>-1563049.3199999845</v>
      </c>
      <c r="D21" s="1282"/>
      <c r="E21" s="1958">
        <v>-978886.85000000102</v>
      </c>
      <c r="F21" s="1282"/>
      <c r="G21" s="3800">
        <v>1100696.29</v>
      </c>
      <c r="H21" s="1282"/>
      <c r="I21" s="1292"/>
      <c r="J21" s="1291">
        <f t="shared" si="0"/>
        <v>-1441239.8799999855</v>
      </c>
      <c r="K21" s="1271"/>
    </row>
    <row r="22" spans="1:17" s="1281" customFormat="1" ht="15.5">
      <c r="A22" s="1285" t="s">
        <v>150</v>
      </c>
      <c r="B22" s="1285"/>
      <c r="C22" s="1959">
        <f>ROUND(SUM(C15:C21),2)</f>
        <v>1068791954.9299999</v>
      </c>
      <c r="D22" s="1285"/>
      <c r="E22" s="1959">
        <f>ROUND(SUM(E15:E21),2)</f>
        <v>1398627203.79</v>
      </c>
      <c r="F22" s="1285"/>
      <c r="G22" s="1959">
        <f>ROUND(SUM(G15:G21),2)</f>
        <v>412211348.85000002</v>
      </c>
      <c r="H22" s="1285"/>
      <c r="I22" s="1293"/>
      <c r="J22" s="1893">
        <f>ROUND(SUM(J15:J21),2)</f>
        <v>2879630507.5700002</v>
      </c>
      <c r="K22" s="1295"/>
      <c r="L22" s="1268"/>
    </row>
    <row r="23" spans="1:17" ht="15" customHeight="1">
      <c r="A23" s="1282"/>
      <c r="B23" s="1282"/>
      <c r="C23" s="1289"/>
      <c r="D23" s="1282"/>
      <c r="E23" s="1289"/>
      <c r="F23" s="1282"/>
      <c r="G23" s="1289"/>
      <c r="H23" s="1282"/>
      <c r="I23" s="1290"/>
      <c r="J23" s="1291"/>
    </row>
    <row r="24" spans="1:17" ht="15" customHeight="1">
      <c r="A24" s="1285" t="s">
        <v>928</v>
      </c>
      <c r="B24" s="1282"/>
      <c r="C24" s="1296"/>
      <c r="D24" s="1282"/>
      <c r="E24" s="1296"/>
      <c r="F24" s="1282"/>
      <c r="G24" s="1296"/>
      <c r="H24" s="1282"/>
      <c r="I24" s="1290"/>
      <c r="J24" s="1291"/>
    </row>
    <row r="25" spans="1:17" ht="15" customHeight="1">
      <c r="A25" s="1297" t="s">
        <v>518</v>
      </c>
      <c r="B25" s="1282"/>
      <c r="C25" s="1289">
        <v>0</v>
      </c>
      <c r="D25" s="1282"/>
      <c r="E25" s="1289">
        <v>0</v>
      </c>
      <c r="F25" s="1282"/>
      <c r="G25" s="1289">
        <v>0</v>
      </c>
      <c r="H25" s="1282"/>
      <c r="I25" s="1290"/>
      <c r="J25" s="1291">
        <f>SUM(C25:G25)</f>
        <v>0</v>
      </c>
    </row>
    <row r="26" spans="1:17" ht="15" customHeight="1">
      <c r="A26" s="1297" t="s">
        <v>519</v>
      </c>
      <c r="B26" s="1282"/>
      <c r="C26" s="1289">
        <v>0</v>
      </c>
      <c r="D26" s="1282"/>
      <c r="E26" s="1289">
        <v>0</v>
      </c>
      <c r="F26" s="1282"/>
      <c r="G26" s="1289">
        <v>0</v>
      </c>
      <c r="H26" s="1282"/>
      <c r="I26" s="1290"/>
      <c r="J26" s="1291">
        <f>SUM(C26:G26)</f>
        <v>0</v>
      </c>
    </row>
    <row r="27" spans="1:17" ht="15" customHeight="1">
      <c r="A27" s="1297" t="s">
        <v>520</v>
      </c>
      <c r="B27" s="1282"/>
      <c r="C27" s="1289">
        <v>0</v>
      </c>
      <c r="D27" s="1282"/>
      <c r="E27" s="1289">
        <v>0</v>
      </c>
      <c r="F27" s="1282"/>
      <c r="G27" s="1289">
        <v>0</v>
      </c>
      <c r="H27" s="1282"/>
      <c r="I27" s="1292"/>
      <c r="J27" s="1291">
        <f>SUM(C27:G27)</f>
        <v>0</v>
      </c>
    </row>
    <row r="28" spans="1:17" ht="15.5">
      <c r="A28" s="1273" t="s">
        <v>968</v>
      </c>
      <c r="B28" s="1285"/>
      <c r="C28" s="1893">
        <f>ROUND(SUM(C25:C27),2)</f>
        <v>0</v>
      </c>
      <c r="D28" s="1285"/>
      <c r="E28" s="1893">
        <f>ROUND(SUM(E25:E27),2)</f>
        <v>0</v>
      </c>
      <c r="F28" s="1285"/>
      <c r="G28" s="1893">
        <f>ROUND(SUM(G25:G27),2)</f>
        <v>0</v>
      </c>
      <c r="H28" s="1285"/>
      <c r="I28" s="1293"/>
      <c r="J28" s="1893">
        <f>ROUND(SUM(J25:J27),2)</f>
        <v>0</v>
      </c>
    </row>
    <row r="29" spans="1:17" ht="15" customHeight="1">
      <c r="A29" s="1282"/>
      <c r="B29" s="1282"/>
      <c r="C29" s="1289"/>
      <c r="D29" s="1282"/>
      <c r="E29" s="1289"/>
      <c r="F29" s="1282"/>
      <c r="G29" s="1289"/>
      <c r="H29" s="1282"/>
      <c r="I29" s="1290"/>
      <c r="J29" s="1291"/>
    </row>
    <row r="30" spans="1:17" ht="15" customHeight="1">
      <c r="A30" s="1285" t="s">
        <v>521</v>
      </c>
      <c r="B30" s="1285"/>
      <c r="C30" s="2231">
        <f>ROUND(+C22+C28,2)</f>
        <v>1068791954.9299999</v>
      </c>
      <c r="D30" s="1285"/>
      <c r="E30" s="2231">
        <f>ROUND(+E22+E28,2)</f>
        <v>1398627203.79</v>
      </c>
      <c r="F30" s="1285"/>
      <c r="G30" s="2231">
        <f>ROUND(+G22+G28,2)</f>
        <v>412211348.85000002</v>
      </c>
      <c r="H30" s="1285"/>
      <c r="I30" s="1298"/>
      <c r="J30" s="1294">
        <f>ROUND(+J22+J28,2)</f>
        <v>2879630507.5700002</v>
      </c>
    </row>
    <row r="31" spans="1:17" ht="15" customHeight="1">
      <c r="A31" s="1282"/>
      <c r="B31" s="1282"/>
      <c r="C31" s="1291"/>
      <c r="D31" s="1282"/>
      <c r="E31" s="1291"/>
      <c r="F31" s="1282"/>
      <c r="G31" s="1291"/>
      <c r="H31" s="1282"/>
      <c r="I31" s="1290"/>
      <c r="J31" s="1894"/>
      <c r="K31" s="1271"/>
      <c r="L31" s="1271"/>
      <c r="M31" s="1299"/>
      <c r="N31" s="1299"/>
      <c r="O31" s="1299"/>
      <c r="P31" s="1299"/>
      <c r="Q31" s="1299"/>
    </row>
    <row r="32" spans="1:17" ht="15" customHeight="1">
      <c r="A32" s="1285" t="s">
        <v>46</v>
      </c>
      <c r="B32" s="1282"/>
      <c r="C32" s="1291"/>
      <c r="D32" s="1282"/>
      <c r="E32" s="1291"/>
      <c r="F32" s="1282"/>
      <c r="G32" s="1291"/>
      <c r="H32" s="1282"/>
      <c r="I32" s="1290"/>
      <c r="J32" s="1291"/>
      <c r="K32" s="1271"/>
      <c r="L32" s="1271"/>
      <c r="M32" s="1299"/>
      <c r="N32" s="1299"/>
      <c r="O32" s="1299"/>
      <c r="P32" s="1299"/>
      <c r="Q32" s="1299"/>
    </row>
    <row r="33" spans="1:17" ht="15" customHeight="1">
      <c r="A33" s="1285" t="s">
        <v>877</v>
      </c>
      <c r="B33" s="1282"/>
      <c r="C33" s="1291"/>
      <c r="D33" s="1282"/>
      <c r="E33" s="1291"/>
      <c r="F33" s="1282"/>
      <c r="G33" s="1291"/>
      <c r="H33" s="1282"/>
      <c r="I33" s="1290"/>
      <c r="J33" s="1291"/>
      <c r="K33" s="1271"/>
      <c r="L33" s="1271"/>
      <c r="M33" s="1299"/>
      <c r="N33" s="1299"/>
      <c r="O33" s="1299"/>
      <c r="P33" s="1299"/>
      <c r="Q33" s="1299"/>
    </row>
    <row r="34" spans="1:17" ht="15" customHeight="1">
      <c r="A34" s="1282" t="s">
        <v>522</v>
      </c>
      <c r="B34" s="1282"/>
      <c r="C34" s="1257">
        <v>0</v>
      </c>
      <c r="D34" s="1282"/>
      <c r="E34" s="1257">
        <v>0</v>
      </c>
      <c r="F34" s="1282"/>
      <c r="G34" s="1257">
        <v>0</v>
      </c>
      <c r="H34" s="1282"/>
      <c r="I34" s="1290"/>
      <c r="J34" s="1291">
        <f>SUM(C34:G34)</f>
        <v>0</v>
      </c>
      <c r="K34" s="1271"/>
      <c r="L34" s="1271"/>
      <c r="M34" s="1299"/>
      <c r="N34" s="1299"/>
      <c r="O34" s="1299"/>
      <c r="P34" s="1299"/>
      <c r="Q34" s="1299"/>
    </row>
    <row r="35" spans="1:17" ht="15" customHeight="1">
      <c r="A35" s="1297" t="s">
        <v>523</v>
      </c>
      <c r="B35" s="1282"/>
      <c r="C35" s="1257">
        <v>13334232</v>
      </c>
      <c r="D35" s="1282"/>
      <c r="E35" s="1257">
        <v>13201960</v>
      </c>
      <c r="F35" s="1282"/>
      <c r="G35" s="1257">
        <v>4284504</v>
      </c>
      <c r="H35" s="1282"/>
      <c r="I35" s="1290"/>
      <c r="J35" s="1291">
        <f>SUM(C35:G35)</f>
        <v>30820696</v>
      </c>
      <c r="K35" s="1271"/>
      <c r="L35" s="1271"/>
      <c r="M35" s="1299"/>
      <c r="N35" s="1299"/>
      <c r="O35" s="1299"/>
      <c r="P35" s="1299"/>
      <c r="Q35" s="1299"/>
    </row>
    <row r="36" spans="1:17" ht="15" customHeight="1">
      <c r="A36" s="1285" t="s">
        <v>524</v>
      </c>
      <c r="B36" s="1282"/>
      <c r="C36" s="1291"/>
      <c r="D36" s="1282"/>
      <c r="E36" s="1291"/>
      <c r="F36" s="1282"/>
      <c r="G36" s="1291"/>
      <c r="H36" s="1282"/>
      <c r="I36" s="1290"/>
      <c r="J36" s="1291"/>
      <c r="K36" s="1271"/>
      <c r="L36" s="1271"/>
      <c r="M36" s="1299"/>
      <c r="N36" s="1299"/>
      <c r="O36" s="1299"/>
      <c r="P36" s="1299"/>
      <c r="Q36" s="1299"/>
    </row>
    <row r="37" spans="1:17" ht="15" customHeight="1">
      <c r="A37" s="1249" t="s">
        <v>525</v>
      </c>
      <c r="B37" s="1282"/>
      <c r="C37" s="1300">
        <v>0</v>
      </c>
      <c r="D37" s="1282"/>
      <c r="E37" s="1300">
        <v>0</v>
      </c>
      <c r="F37" s="1282"/>
      <c r="G37" s="1300">
        <v>0</v>
      </c>
      <c r="H37" s="1282"/>
      <c r="I37" s="1290"/>
      <c r="J37" s="1291">
        <f>SUM(C37:G37)</f>
        <v>0</v>
      </c>
      <c r="K37" s="1271"/>
      <c r="L37" s="1271"/>
      <c r="M37" s="1299"/>
      <c r="N37" s="1299"/>
      <c r="O37" s="1299"/>
      <c r="P37" s="1299"/>
      <c r="Q37" s="1299"/>
    </row>
    <row r="38" spans="1:17" s="1281" customFormat="1" ht="15.5">
      <c r="A38" s="1285" t="s">
        <v>526</v>
      </c>
      <c r="B38" s="1285"/>
      <c r="C38" s="1893">
        <f>ROUND(SUM(C34:C37),2)</f>
        <v>13334232</v>
      </c>
      <c r="D38" s="1285"/>
      <c r="E38" s="1893">
        <f>ROUND(SUM(E34:E37),2)</f>
        <v>13201960</v>
      </c>
      <c r="F38" s="1285"/>
      <c r="G38" s="1893">
        <f>ROUND(SUM(G34:G37),2)</f>
        <v>4284504</v>
      </c>
      <c r="H38" s="1285"/>
      <c r="I38" s="1293"/>
      <c r="J38" s="1893">
        <f>ROUND(SUM(J34:J37),2)</f>
        <v>30820696</v>
      </c>
      <c r="K38" s="1295"/>
      <c r="L38" s="1295"/>
      <c r="M38" s="1301"/>
      <c r="N38" s="1301"/>
      <c r="O38" s="1301"/>
      <c r="P38" s="1301"/>
      <c r="Q38" s="1301"/>
    </row>
    <row r="39" spans="1:17" ht="15" customHeight="1">
      <c r="A39" s="1282"/>
      <c r="B39" s="1282"/>
      <c r="C39" s="1289"/>
      <c r="D39" s="1282"/>
      <c r="E39" s="1289"/>
      <c r="F39" s="1282"/>
      <c r="G39" s="1289"/>
      <c r="H39" s="1282"/>
      <c r="I39" s="1290"/>
      <c r="J39" s="1291"/>
      <c r="K39" s="1271"/>
      <c r="L39" s="1271"/>
      <c r="M39" s="1299"/>
      <c r="N39" s="1299"/>
      <c r="O39" s="1299"/>
      <c r="P39" s="1299"/>
      <c r="Q39" s="1299"/>
    </row>
    <row r="40" spans="1:17" ht="15" customHeight="1">
      <c r="A40" s="1285" t="s">
        <v>929</v>
      </c>
      <c r="B40" s="1282"/>
      <c r="C40" s="1289"/>
      <c r="D40" s="1282"/>
      <c r="E40" s="1289"/>
      <c r="F40" s="1282"/>
      <c r="G40" s="1289"/>
      <c r="H40" s="1282"/>
      <c r="I40" s="1290"/>
      <c r="J40" s="1291"/>
      <c r="K40" s="1271"/>
      <c r="L40" s="1271"/>
      <c r="M40" s="1299"/>
      <c r="N40" s="1299"/>
      <c r="O40" s="1299"/>
      <c r="P40" s="1299"/>
      <c r="Q40" s="1299"/>
    </row>
    <row r="41" spans="1:17" ht="15" customHeight="1">
      <c r="A41" s="1282" t="s">
        <v>522</v>
      </c>
      <c r="B41" s="1282"/>
      <c r="C41" s="1250">
        <v>0</v>
      </c>
      <c r="D41" s="1282"/>
      <c r="E41" s="1250">
        <v>0</v>
      </c>
      <c r="F41" s="1282"/>
      <c r="G41" s="1250">
        <v>0</v>
      </c>
      <c r="H41" s="1282"/>
      <c r="I41" s="1290"/>
      <c r="J41" s="1291">
        <f t="shared" ref="J41:J46" si="1">SUM(C41:G41)</f>
        <v>0</v>
      </c>
      <c r="K41" s="1271"/>
      <c r="L41" s="1271"/>
      <c r="M41" s="1299"/>
      <c r="N41" s="1299"/>
      <c r="O41" s="1299"/>
      <c r="P41" s="1299"/>
      <c r="Q41" s="1299"/>
    </row>
    <row r="42" spans="1:17" ht="15" customHeight="1">
      <c r="A42" s="1282" t="s">
        <v>527</v>
      </c>
      <c r="B42" s="1282"/>
      <c r="C42" s="1289">
        <v>0</v>
      </c>
      <c r="D42" s="1282"/>
      <c r="E42" s="1289">
        <v>0</v>
      </c>
      <c r="F42" s="1282"/>
      <c r="G42" s="1289">
        <v>0</v>
      </c>
      <c r="H42" s="1282"/>
      <c r="I42" s="1290"/>
      <c r="J42" s="1291">
        <f t="shared" si="1"/>
        <v>0</v>
      </c>
      <c r="K42" s="1271"/>
      <c r="L42" s="1271"/>
      <c r="M42" s="1299"/>
      <c r="N42" s="1299"/>
      <c r="O42" s="1299"/>
      <c r="P42" s="1299"/>
      <c r="Q42" s="1299"/>
    </row>
    <row r="43" spans="1:17" ht="15" customHeight="1">
      <c r="A43" s="1285" t="s">
        <v>930</v>
      </c>
      <c r="B43" s="1282"/>
      <c r="C43" s="1289"/>
      <c r="D43" s="1282"/>
      <c r="E43" s="1289"/>
      <c r="F43" s="1282"/>
      <c r="G43" s="1289"/>
      <c r="H43" s="1282"/>
      <c r="I43" s="1290"/>
      <c r="J43" s="1291"/>
      <c r="K43" s="1271"/>
      <c r="L43" s="1271"/>
      <c r="M43" s="1299"/>
      <c r="N43" s="1299"/>
      <c r="O43" s="1299"/>
      <c r="P43" s="1299"/>
      <c r="Q43" s="1299"/>
    </row>
    <row r="44" spans="1:17" ht="15" customHeight="1">
      <c r="A44" s="1297" t="s">
        <v>525</v>
      </c>
      <c r="B44" s="1282"/>
      <c r="C44" s="1257">
        <v>-1306175989.3799999</v>
      </c>
      <c r="D44" s="1282"/>
      <c r="E44" s="1257">
        <v>-1219922578.6400001</v>
      </c>
      <c r="F44" s="1282"/>
      <c r="G44" s="3799">
        <v>-435069166.88999999</v>
      </c>
      <c r="H44" s="1282"/>
      <c r="I44" s="1290"/>
      <c r="J44" s="1291">
        <f t="shared" si="1"/>
        <v>-2961167734.9099998</v>
      </c>
      <c r="K44" s="1271"/>
      <c r="L44" s="1271"/>
      <c r="M44" s="1299"/>
      <c r="N44" s="1299"/>
      <c r="O44" s="1299"/>
      <c r="P44" s="1299"/>
      <c r="Q44" s="1299"/>
    </row>
    <row r="45" spans="1:17" ht="15" customHeight="1">
      <c r="A45" s="1282" t="s">
        <v>1288</v>
      </c>
      <c r="B45" s="1282"/>
      <c r="C45" s="1257">
        <v>0</v>
      </c>
      <c r="D45" s="1282"/>
      <c r="E45" s="1257">
        <v>0</v>
      </c>
      <c r="F45" s="1282"/>
      <c r="G45" s="1257">
        <v>0</v>
      </c>
      <c r="H45" s="1282"/>
      <c r="I45" s="1290"/>
      <c r="J45" s="1291">
        <f t="shared" si="1"/>
        <v>0</v>
      </c>
      <c r="K45" s="1271"/>
      <c r="L45" s="1271"/>
      <c r="M45" s="1299"/>
      <c r="N45" s="1299"/>
      <c r="O45" s="1299"/>
      <c r="P45" s="1299"/>
      <c r="Q45" s="1299"/>
    </row>
    <row r="46" spans="1:17" ht="15" customHeight="1">
      <c r="A46" s="1282" t="s">
        <v>1289</v>
      </c>
      <c r="B46" s="1282"/>
      <c r="C46" s="1960">
        <v>0</v>
      </c>
      <c r="D46" s="1282"/>
      <c r="E46" s="1960">
        <v>0</v>
      </c>
      <c r="F46" s="1282"/>
      <c r="G46" s="1960">
        <v>0</v>
      </c>
      <c r="H46" s="1282"/>
      <c r="I46" s="1290"/>
      <c r="J46" s="1291">
        <f t="shared" si="1"/>
        <v>0</v>
      </c>
      <c r="K46" s="1271"/>
      <c r="L46" s="1271"/>
      <c r="M46" s="1299"/>
      <c r="N46" s="1299"/>
      <c r="O46" s="1299"/>
      <c r="P46" s="1299"/>
      <c r="Q46" s="1299"/>
    </row>
    <row r="47" spans="1:17" ht="15.5">
      <c r="A47" s="1285" t="s">
        <v>528</v>
      </c>
      <c r="B47" s="1285"/>
      <c r="C47" s="1893">
        <f>ROUND(SUM(C41:C46),2)</f>
        <v>-1306175989.3800001</v>
      </c>
      <c r="D47" s="1285"/>
      <c r="E47" s="1893">
        <f>ROUND(SUM(E41:E46),2)</f>
        <v>-1219922578.6400001</v>
      </c>
      <c r="F47" s="1285"/>
      <c r="G47" s="1893">
        <f>ROUND(SUM(G41:G46),2)</f>
        <v>-435069166.88999999</v>
      </c>
      <c r="H47" s="1285"/>
      <c r="I47" s="1293"/>
      <c r="J47" s="1893">
        <f>ROUND(SUM(J41:J46),2)</f>
        <v>-2961167734.9099998</v>
      </c>
      <c r="K47" s="1271"/>
      <c r="L47" s="1271"/>
      <c r="M47" s="1299"/>
      <c r="N47" s="1299"/>
      <c r="O47" s="1299"/>
      <c r="P47" s="1299"/>
      <c r="Q47" s="1299"/>
    </row>
    <row r="48" spans="1:17" ht="15" customHeight="1">
      <c r="A48" s="1282"/>
      <c r="B48" s="1282"/>
      <c r="C48" s="1289"/>
      <c r="D48" s="1282"/>
      <c r="E48" s="1289"/>
      <c r="F48" s="1282"/>
      <c r="G48" s="1289"/>
      <c r="H48" s="1282"/>
      <c r="I48" s="1290"/>
      <c r="J48" s="1291"/>
      <c r="K48" s="1271"/>
      <c r="L48" s="1271"/>
      <c r="M48" s="1299"/>
      <c r="N48" s="1299"/>
      <c r="O48" s="1299"/>
      <c r="P48" s="1299"/>
      <c r="Q48" s="1299"/>
    </row>
    <row r="49" spans="1:17" ht="15" customHeight="1">
      <c r="A49" s="1285" t="s">
        <v>529</v>
      </c>
      <c r="B49" s="1282"/>
      <c r="C49" s="1289"/>
      <c r="D49" s="1282"/>
      <c r="E49" s="1289"/>
      <c r="F49" s="1282"/>
      <c r="G49" s="1289"/>
      <c r="H49" s="1282"/>
      <c r="I49" s="1290"/>
      <c r="J49" s="1291"/>
      <c r="K49" s="1271"/>
      <c r="L49" s="1271"/>
      <c r="M49" s="1299"/>
      <c r="N49" s="1299"/>
      <c r="O49" s="1299"/>
      <c r="P49" s="1299"/>
      <c r="Q49" s="1299"/>
    </row>
    <row r="50" spans="1:17" ht="15" customHeight="1">
      <c r="A50" s="1285" t="s">
        <v>530</v>
      </c>
      <c r="B50" s="1282"/>
      <c r="C50" s="1959">
        <f>ROUND(+C30+C38+C47,2)</f>
        <v>-224049802.44999999</v>
      </c>
      <c r="D50" s="1282"/>
      <c r="E50" s="1959">
        <f>ROUND(+E30+E38+E47,2)</f>
        <v>191906585.15000001</v>
      </c>
      <c r="F50" s="1282"/>
      <c r="G50" s="1959">
        <f>ROUND(+G30+G38+G47,2)</f>
        <v>-18573314.039999999</v>
      </c>
      <c r="H50" s="1282"/>
      <c r="I50" s="1298"/>
      <c r="J50" s="1959">
        <f>ROUND(+J30+J38+J47,2)</f>
        <v>-50716531.340000004</v>
      </c>
      <c r="K50" s="1271"/>
      <c r="L50" s="1271"/>
      <c r="M50" s="1299"/>
      <c r="N50" s="1299"/>
      <c r="O50" s="1299"/>
      <c r="P50" s="1299"/>
      <c r="Q50" s="1299"/>
    </row>
    <row r="51" spans="1:17" ht="15" customHeight="1">
      <c r="A51" s="1282"/>
      <c r="B51" s="1282"/>
      <c r="C51" s="1284"/>
      <c r="D51" s="1282"/>
      <c r="E51" s="1284"/>
      <c r="F51" s="1282"/>
      <c r="G51" s="1284"/>
      <c r="H51" s="1282"/>
      <c r="I51" s="1302"/>
      <c r="J51" s="1291"/>
      <c r="K51" s="1271"/>
      <c r="L51" s="1271"/>
      <c r="M51" s="1299"/>
      <c r="N51" s="1299"/>
      <c r="O51" s="1299"/>
      <c r="P51" s="1299"/>
      <c r="Q51" s="1299"/>
    </row>
    <row r="52" spans="1:17" s="1281" customFormat="1" ht="21" customHeight="1" thickBot="1">
      <c r="A52" s="1285" t="s">
        <v>531</v>
      </c>
      <c r="B52" s="1285"/>
      <c r="C52" s="2230">
        <f>ROUND(C12+C50,2)</f>
        <v>126897506.61</v>
      </c>
      <c r="D52" s="1285"/>
      <c r="E52" s="2230">
        <f>ROUND(E12+E50,2)</f>
        <v>318804091.75999999</v>
      </c>
      <c r="F52" s="1285"/>
      <c r="G52" s="2230">
        <f>ROUND(G12+G50,2)</f>
        <v>300230777.72000003</v>
      </c>
      <c r="H52" s="1285"/>
      <c r="I52" s="1303"/>
      <c r="J52" s="1355">
        <f>ROUND(J12+J50,2)</f>
        <v>300230777.72000003</v>
      </c>
      <c r="K52" s="1268"/>
      <c r="L52" s="1268"/>
    </row>
    <row r="53" spans="1:17" ht="15" customHeight="1" thickTop="1">
      <c r="A53" s="1282" t="s">
        <v>15</v>
      </c>
      <c r="B53" s="1282"/>
      <c r="C53" s="1274"/>
      <c r="D53" s="1282"/>
      <c r="E53" s="1274"/>
      <c r="F53" s="1282"/>
      <c r="G53" s="1274"/>
      <c r="H53" s="1282"/>
      <c r="I53" s="1274"/>
      <c r="J53" s="1304"/>
    </row>
    <row r="54" spans="1:17" ht="15" customHeight="1">
      <c r="A54" s="1265" t="s">
        <v>532</v>
      </c>
    </row>
    <row r="55" spans="1:17" ht="15" customHeight="1">
      <c r="A55" s="1305"/>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1"/>
  <sheetViews>
    <sheetView showGridLines="0" zoomScale="90" zoomScaleNormal="90" workbookViewId="0"/>
  </sheetViews>
  <sheetFormatPr defaultColWidth="8.69140625" defaultRowHeight="15.5"/>
  <cols>
    <col min="1" max="1" width="3.53515625" style="1492" customWidth="1"/>
    <col min="2" max="2" width="8.4609375" style="1493" customWidth="1"/>
    <col min="3" max="3" width="12.07421875" style="1493" customWidth="1"/>
    <col min="4" max="4" width="15" style="1494" customWidth="1"/>
    <col min="5" max="5" width="15.07421875" style="1491" customWidth="1"/>
    <col min="6" max="6" width="10.4609375" style="1492" customWidth="1"/>
    <col min="7" max="7" width="10.07421875" style="1492" customWidth="1"/>
    <col min="8" max="8" width="9.07421875" style="1553" customWidth="1"/>
    <col min="9" max="9" width="5.53515625" style="1490" customWidth="1"/>
    <col min="10" max="10" width="9.07421875" style="1490" customWidth="1"/>
    <col min="11" max="11" width="8.07421875" style="1491" customWidth="1"/>
    <col min="12" max="12" width="16" style="1491" customWidth="1"/>
    <col min="13" max="13" width="12.07421875" style="1491" customWidth="1"/>
    <col min="14" max="14" width="5.4609375" style="1491" customWidth="1"/>
    <col min="15" max="15" width="18.69140625" style="1555" customWidth="1"/>
    <col min="16" max="16" width="4.69140625" style="1555" customWidth="1"/>
    <col min="17" max="17" width="8" style="1555" customWidth="1"/>
    <col min="18" max="18" width="3.69140625" style="1555" customWidth="1"/>
    <col min="19" max="19" width="13.07421875" style="1555" customWidth="1"/>
    <col min="20" max="21" width="12.07421875" style="1555" customWidth="1"/>
    <col min="22" max="16384" width="8.69140625" style="1555"/>
  </cols>
  <sheetData>
    <row r="1" spans="1:20">
      <c r="A1" s="642" t="s">
        <v>963</v>
      </c>
    </row>
    <row r="2" spans="1:20">
      <c r="A2" s="545" t="s">
        <v>783</v>
      </c>
      <c r="B2" s="546"/>
      <c r="C2" s="547"/>
      <c r="D2" s="548"/>
      <c r="E2" s="1553"/>
      <c r="F2" s="1553"/>
      <c r="G2" s="1553"/>
      <c r="I2" s="549"/>
      <c r="J2" s="549"/>
      <c r="K2" s="1553"/>
      <c r="L2" s="1553"/>
      <c r="M2" s="1553"/>
      <c r="N2" s="550"/>
      <c r="O2" s="882" t="s">
        <v>959</v>
      </c>
      <c r="Q2" s="552"/>
      <c r="R2" s="552"/>
      <c r="S2" s="553"/>
      <c r="T2" s="554"/>
    </row>
    <row r="3" spans="1:20" ht="12.75" customHeight="1">
      <c r="A3" s="546"/>
      <c r="B3" s="546"/>
      <c r="C3" s="547"/>
      <c r="D3" s="548"/>
      <c r="E3" s="1553"/>
      <c r="F3" s="1553"/>
      <c r="G3" s="1553"/>
      <c r="I3" s="1493"/>
      <c r="J3" s="1493"/>
      <c r="K3" s="1494"/>
      <c r="M3" s="1492"/>
      <c r="N3" s="1492"/>
      <c r="O3" s="883" t="s">
        <v>1541</v>
      </c>
      <c r="T3" s="554"/>
    </row>
    <row r="4" spans="1:20" ht="9" customHeight="1">
      <c r="B4" s="1623"/>
      <c r="C4" s="1623"/>
      <c r="D4" s="1618"/>
      <c r="E4" s="1619"/>
      <c r="F4" s="1620"/>
      <c r="G4" s="1620"/>
      <c r="H4" s="562"/>
      <c r="I4" s="665"/>
      <c r="J4" s="665"/>
      <c r="K4" s="1619"/>
      <c r="L4" s="1619"/>
      <c r="M4" s="1619"/>
      <c r="N4" s="1619"/>
      <c r="O4" s="1625"/>
      <c r="P4" s="1625"/>
      <c r="T4" s="554"/>
    </row>
    <row r="5" spans="1:20" ht="13.5" customHeight="1">
      <c r="T5" s="554"/>
    </row>
    <row r="6" spans="1:20" ht="13.5" customHeight="1">
      <c r="A6" s="555" t="s">
        <v>784</v>
      </c>
      <c r="B6" s="1554" t="s">
        <v>785</v>
      </c>
      <c r="C6" s="1554"/>
      <c r="D6" s="1554"/>
      <c r="E6" s="562"/>
      <c r="F6" s="562"/>
      <c r="G6" s="562"/>
      <c r="H6" s="557"/>
      <c r="I6" s="1647" t="s">
        <v>1380</v>
      </c>
      <c r="J6" s="549"/>
      <c r="K6" s="548"/>
      <c r="L6" s="1553"/>
      <c r="M6" s="1622"/>
      <c r="N6" s="1492"/>
    </row>
    <row r="7" spans="1:20" ht="13.5" customHeight="1">
      <c r="A7" s="555"/>
      <c r="B7" s="1554" t="s">
        <v>786</v>
      </c>
      <c r="C7" s="1554"/>
      <c r="D7" s="1554"/>
      <c r="E7" s="562"/>
      <c r="F7" s="562"/>
      <c r="G7" s="562"/>
      <c r="H7" s="1492"/>
      <c r="I7" s="1554" t="s">
        <v>1572</v>
      </c>
      <c r="J7" s="549"/>
      <c r="K7" s="548"/>
      <c r="L7" s="1553"/>
      <c r="M7" s="1622"/>
      <c r="N7" s="1492"/>
    </row>
    <row r="8" spans="1:20" ht="13.4" customHeight="1">
      <c r="A8" s="555"/>
      <c r="B8" s="1554" t="s">
        <v>787</v>
      </c>
      <c r="C8" s="1554"/>
      <c r="D8" s="1554"/>
      <c r="E8" s="562"/>
      <c r="F8" s="562"/>
      <c r="G8" s="562"/>
      <c r="H8" s="1492"/>
      <c r="I8" s="1554" t="s">
        <v>1520</v>
      </c>
      <c r="J8" s="549"/>
      <c r="K8" s="1494"/>
      <c r="M8" s="1622"/>
    </row>
    <row r="9" spans="1:20" ht="12.75" customHeight="1">
      <c r="A9" s="555"/>
      <c r="B9" s="1554" t="s">
        <v>788</v>
      </c>
      <c r="C9" s="1554"/>
      <c r="D9" s="1554"/>
      <c r="E9" s="562"/>
      <c r="F9" s="562"/>
      <c r="G9" s="562"/>
      <c r="H9" s="1630"/>
      <c r="I9" s="1554" t="s">
        <v>1532</v>
      </c>
    </row>
    <row r="10" spans="1:20" ht="12.75" customHeight="1">
      <c r="B10" s="1623"/>
      <c r="C10" s="1623"/>
      <c r="D10" s="1618"/>
      <c r="E10" s="1619"/>
      <c r="F10" s="1627"/>
      <c r="G10" s="1620"/>
      <c r="H10" s="562"/>
      <c r="I10" s="2112" t="s">
        <v>1573</v>
      </c>
      <c r="J10" s="1626"/>
      <c r="K10" s="1621"/>
      <c r="L10" s="562"/>
      <c r="M10" s="1622"/>
    </row>
    <row r="11" spans="1:20" ht="12.75" customHeight="1">
      <c r="A11" s="1553"/>
      <c r="B11" s="1554"/>
      <c r="C11" s="1626" t="s">
        <v>834</v>
      </c>
      <c r="D11" s="1621"/>
      <c r="E11" s="562"/>
      <c r="F11" s="1621">
        <v>233</v>
      </c>
      <c r="G11" s="562" t="s">
        <v>789</v>
      </c>
      <c r="H11" s="1632"/>
      <c r="I11" s="3788"/>
      <c r="J11" s="1626"/>
      <c r="K11" s="1621"/>
      <c r="L11" s="562"/>
      <c r="M11" s="1622"/>
    </row>
    <row r="12" spans="1:20" ht="12.75" customHeight="1">
      <c r="A12" s="1553"/>
      <c r="B12" s="1626"/>
      <c r="C12" s="1626" t="s">
        <v>988</v>
      </c>
      <c r="D12" s="1628"/>
      <c r="E12" s="562"/>
      <c r="F12" s="3033">
        <v>17.2</v>
      </c>
      <c r="G12" s="562"/>
      <c r="H12" s="562"/>
    </row>
    <row r="13" spans="1:20" ht="12.75" customHeight="1">
      <c r="A13" s="1553"/>
      <c r="B13" s="1626"/>
      <c r="C13" s="1626" t="s">
        <v>790</v>
      </c>
      <c r="D13" s="1628"/>
      <c r="E13" s="562"/>
      <c r="F13" s="3034">
        <v>448.4</v>
      </c>
      <c r="G13" s="562"/>
      <c r="H13" s="1625"/>
      <c r="I13" s="2112" t="s">
        <v>1502</v>
      </c>
      <c r="T13" s="1553"/>
    </row>
    <row r="14" spans="1:20" ht="12.75" customHeight="1">
      <c r="A14" s="1553"/>
      <c r="B14" s="1626"/>
      <c r="C14" s="1626" t="s">
        <v>791</v>
      </c>
      <c r="D14" s="1628"/>
      <c r="E14" s="562"/>
      <c r="F14" s="3034">
        <v>12.9</v>
      </c>
      <c r="G14" s="1620"/>
      <c r="H14" s="1492"/>
      <c r="T14" s="556"/>
    </row>
    <row r="15" spans="1:20" ht="12.75" customHeight="1">
      <c r="A15" s="1553"/>
      <c r="B15" s="1626"/>
      <c r="C15" s="1626" t="s">
        <v>989</v>
      </c>
      <c r="D15" s="1628"/>
      <c r="E15" s="562"/>
      <c r="F15" s="3034">
        <v>394.8</v>
      </c>
      <c r="G15" s="562"/>
      <c r="H15" s="1630"/>
      <c r="J15" s="3764" t="s">
        <v>1504</v>
      </c>
      <c r="M15" s="3767">
        <v>51.2</v>
      </c>
      <c r="N15" s="1553" t="s">
        <v>789</v>
      </c>
      <c r="T15" s="556"/>
    </row>
    <row r="16" spans="1:20" ht="12.75" customHeight="1">
      <c r="A16" s="1553"/>
      <c r="B16" s="1626"/>
      <c r="C16" s="1626" t="s">
        <v>835</v>
      </c>
      <c r="D16" s="1628"/>
      <c r="E16" s="562"/>
      <c r="F16" s="3033">
        <v>308.3</v>
      </c>
      <c r="G16" s="562"/>
      <c r="H16" s="562"/>
      <c r="J16" s="3764" t="s">
        <v>1525</v>
      </c>
      <c r="K16" s="3764"/>
      <c r="M16" s="3765">
        <v>5.3</v>
      </c>
      <c r="N16" s="3765"/>
      <c r="R16" s="1553"/>
    </row>
    <row r="17" spans="1:16" ht="12.75" customHeight="1">
      <c r="A17" s="1553"/>
      <c r="B17" s="1626"/>
      <c r="C17" s="1626" t="s">
        <v>792</v>
      </c>
      <c r="D17" s="1629"/>
      <c r="E17" s="562"/>
      <c r="F17" s="3033">
        <v>539.6</v>
      </c>
      <c r="G17" s="562"/>
      <c r="H17" s="1632"/>
      <c r="J17" s="3764" t="s">
        <v>1526</v>
      </c>
      <c r="K17" s="3764"/>
      <c r="M17" s="3765">
        <v>7.7</v>
      </c>
    </row>
    <row r="18" spans="1:16" ht="12.75" customHeight="1">
      <c r="A18" s="1553"/>
      <c r="B18" s="1626"/>
      <c r="C18" s="1626" t="s">
        <v>1248</v>
      </c>
      <c r="D18" s="1629"/>
      <c r="E18" s="562"/>
      <c r="F18" s="3034">
        <v>187.6</v>
      </c>
      <c r="G18" s="562"/>
      <c r="H18" s="562"/>
      <c r="J18" s="3764" t="s">
        <v>1503</v>
      </c>
      <c r="M18" s="3765">
        <v>22.4</v>
      </c>
    </row>
    <row r="19" spans="1:16" ht="12.75" customHeight="1">
      <c r="A19" s="1620"/>
      <c r="B19" s="1623"/>
      <c r="C19" s="1623"/>
      <c r="D19" s="1618"/>
      <c r="E19" s="1619"/>
      <c r="F19" s="1620"/>
      <c r="G19" s="1620"/>
      <c r="J19" s="3764" t="s">
        <v>1527</v>
      </c>
      <c r="M19" s="3765">
        <v>2.7</v>
      </c>
    </row>
    <row r="20" spans="1:16" ht="13.4" customHeight="1">
      <c r="A20" s="1632" t="s">
        <v>793</v>
      </c>
      <c r="B20" s="1554" t="s">
        <v>970</v>
      </c>
      <c r="C20" s="1554"/>
      <c r="D20" s="1554"/>
      <c r="E20" s="562"/>
      <c r="F20" s="562"/>
      <c r="G20" s="562"/>
      <c r="H20" s="1492"/>
      <c r="J20" s="3764" t="s">
        <v>1533</v>
      </c>
      <c r="M20" s="3765">
        <v>11.3</v>
      </c>
    </row>
    <row r="21" spans="1:16" ht="12.75" customHeight="1">
      <c r="A21" s="1632"/>
      <c r="B21" s="1554" t="s">
        <v>1374</v>
      </c>
      <c r="C21" s="1554"/>
      <c r="D21" s="1554"/>
      <c r="E21" s="562"/>
      <c r="F21" s="562"/>
      <c r="G21" s="562"/>
      <c r="H21" s="1632"/>
    </row>
    <row r="22" spans="1:16" ht="14.15" customHeight="1">
      <c r="A22" s="1632"/>
      <c r="B22" s="1554"/>
      <c r="C22" s="1554"/>
      <c r="D22" s="1554"/>
      <c r="E22" s="562"/>
      <c r="F22" s="562"/>
      <c r="G22" s="562"/>
      <c r="I22" s="1647" t="s">
        <v>1167</v>
      </c>
      <c r="J22" s="1647"/>
      <c r="K22" s="562"/>
      <c r="L22" s="562"/>
      <c r="M22" s="562"/>
    </row>
    <row r="23" spans="1:16" ht="12.75" customHeight="1">
      <c r="A23" s="562"/>
      <c r="B23" s="1631" t="s">
        <v>1264</v>
      </c>
      <c r="C23" s="1631"/>
      <c r="D23" s="1554"/>
      <c r="E23" s="562"/>
      <c r="F23" s="562"/>
      <c r="G23" s="562"/>
      <c r="I23" s="665"/>
      <c r="J23" s="665"/>
      <c r="K23" s="1619"/>
      <c r="L23" s="1619"/>
      <c r="M23" s="1619"/>
      <c r="N23" s="1492"/>
    </row>
    <row r="24" spans="1:16" ht="12.75" customHeight="1">
      <c r="A24" s="1620"/>
      <c r="B24" s="1623"/>
      <c r="C24" s="1623"/>
      <c r="D24" s="1618"/>
      <c r="E24" s="1619"/>
      <c r="F24" s="1620"/>
      <c r="G24" s="562"/>
      <c r="I24" s="1626"/>
      <c r="J24" s="1626" t="s">
        <v>795</v>
      </c>
      <c r="K24" s="1621"/>
      <c r="L24" s="562"/>
      <c r="M24" s="1648">
        <v>11676.3</v>
      </c>
      <c r="N24" s="562" t="s">
        <v>789</v>
      </c>
      <c r="P24" s="562"/>
    </row>
    <row r="25" spans="1:16" ht="13.4" customHeight="1">
      <c r="A25" s="1620"/>
      <c r="B25" s="1623"/>
      <c r="C25" s="1626" t="s">
        <v>1220</v>
      </c>
      <c r="D25" s="1618"/>
      <c r="E25" s="1619"/>
      <c r="F25" s="1648">
        <v>907.4</v>
      </c>
      <c r="G25" s="562" t="s">
        <v>789</v>
      </c>
      <c r="I25" s="1626"/>
      <c r="J25" s="1626" t="s">
        <v>796</v>
      </c>
      <c r="K25" s="1621"/>
      <c r="L25" s="562"/>
      <c r="M25" s="1622">
        <v>1830.3</v>
      </c>
      <c r="N25" s="1619"/>
    </row>
    <row r="26" spans="1:16" ht="12.75" customHeight="1">
      <c r="A26" s="1620"/>
      <c r="B26" s="1623"/>
      <c r="C26" s="1626" t="s">
        <v>794</v>
      </c>
      <c r="D26" s="1621"/>
      <c r="E26" s="562"/>
      <c r="F26" s="1622">
        <v>166.7</v>
      </c>
      <c r="G26" s="1625"/>
      <c r="I26" s="1626"/>
      <c r="J26" s="1626" t="s">
        <v>797</v>
      </c>
      <c r="K26" s="1621"/>
      <c r="L26" s="562"/>
      <c r="M26" s="1622">
        <v>1120.3</v>
      </c>
      <c r="N26" s="562"/>
    </row>
    <row r="27" spans="1:16" ht="12.75" customHeight="1">
      <c r="A27" s="1620"/>
      <c r="B27" s="1623"/>
      <c r="C27" s="1626" t="s">
        <v>1201</v>
      </c>
      <c r="D27" s="1621"/>
      <c r="E27" s="562"/>
      <c r="F27" s="1622">
        <v>18.7</v>
      </c>
      <c r="G27" s="562"/>
      <c r="H27" s="1632"/>
      <c r="I27" s="665"/>
      <c r="J27" s="1626" t="s">
        <v>798</v>
      </c>
      <c r="K27" s="1621"/>
      <c r="L27" s="562"/>
      <c r="M27" s="1622">
        <v>360.4</v>
      </c>
      <c r="N27" s="1555"/>
    </row>
    <row r="28" spans="1:16" ht="12.75" customHeight="1">
      <c r="C28" s="3764" t="s">
        <v>1493</v>
      </c>
      <c r="D28" s="3766"/>
      <c r="E28" s="1553"/>
      <c r="F28" s="1624">
        <v>8</v>
      </c>
      <c r="H28" s="1555"/>
      <c r="J28" s="549" t="s">
        <v>1307</v>
      </c>
      <c r="K28" s="2166"/>
      <c r="L28" s="1553"/>
      <c r="M28" s="1624">
        <v>755.4</v>
      </c>
      <c r="N28" s="1555"/>
    </row>
    <row r="29" spans="1:16" ht="13.4" customHeight="1">
      <c r="C29" s="3764" t="s">
        <v>1494</v>
      </c>
      <c r="D29" s="3766"/>
      <c r="E29" s="1553"/>
      <c r="F29" s="1624">
        <v>26.9</v>
      </c>
      <c r="I29" s="665"/>
      <c r="J29" s="1626"/>
      <c r="K29" s="1619"/>
      <c r="L29" s="1619"/>
      <c r="M29" s="1619"/>
      <c r="N29" s="1555"/>
    </row>
    <row r="30" spans="1:16" ht="12.75" customHeight="1">
      <c r="C30" s="3764" t="s">
        <v>1495</v>
      </c>
      <c r="D30" s="3766"/>
      <c r="E30" s="1553"/>
      <c r="F30" s="1624">
        <v>11.5</v>
      </c>
      <c r="I30" s="562" t="s">
        <v>986</v>
      </c>
      <c r="J30" s="1626"/>
      <c r="K30" s="562"/>
      <c r="L30" s="562"/>
      <c r="M30" s="562"/>
      <c r="N30" s="1555"/>
    </row>
    <row r="31" spans="1:16" ht="12.75" customHeight="1">
      <c r="C31" s="1626" t="s">
        <v>1371</v>
      </c>
      <c r="D31" s="1621"/>
      <c r="E31" s="562"/>
      <c r="F31" s="1622">
        <v>62.6</v>
      </c>
      <c r="I31" s="562" t="s">
        <v>1376</v>
      </c>
      <c r="J31" s="1626"/>
      <c r="K31" s="562"/>
      <c r="L31" s="562"/>
      <c r="M31" s="562"/>
      <c r="N31" s="1619"/>
    </row>
    <row r="32" spans="1:16" ht="12.75" customHeight="1">
      <c r="C32" s="3764" t="s">
        <v>1496</v>
      </c>
      <c r="D32" s="3766"/>
      <c r="E32" s="1553"/>
      <c r="F32" s="1624">
        <v>33</v>
      </c>
      <c r="I32" s="562" t="s">
        <v>1571</v>
      </c>
      <c r="J32" s="1626"/>
      <c r="K32" s="562"/>
      <c r="L32" s="562"/>
      <c r="M32" s="562"/>
      <c r="N32" s="562"/>
    </row>
    <row r="33" spans="1:20" ht="12.75" customHeight="1">
      <c r="C33" s="3787" t="s">
        <v>1509</v>
      </c>
      <c r="F33" s="1624">
        <v>204</v>
      </c>
      <c r="I33" s="1493"/>
      <c r="J33" s="1493"/>
      <c r="K33" s="1494"/>
      <c r="M33" s="1492"/>
      <c r="N33" s="1492"/>
    </row>
    <row r="34" spans="1:20" ht="13.4" customHeight="1">
      <c r="C34" s="3764" t="s">
        <v>1535</v>
      </c>
      <c r="D34" s="3766"/>
      <c r="E34" s="1553"/>
      <c r="F34" s="1624">
        <v>4.4000000000000004</v>
      </c>
      <c r="I34" s="1647" t="s">
        <v>1567</v>
      </c>
      <c r="J34" s="2113"/>
    </row>
    <row r="35" spans="1:20" ht="12.75" customHeight="1">
      <c r="C35" s="3764" t="s">
        <v>1536</v>
      </c>
      <c r="D35" s="3766"/>
      <c r="E35" s="1553"/>
      <c r="F35" s="1624">
        <v>24.4</v>
      </c>
      <c r="G35" s="1620"/>
      <c r="I35" s="1554" t="s">
        <v>1568</v>
      </c>
      <c r="J35" s="2113"/>
      <c r="O35" s="3589"/>
    </row>
    <row r="36" spans="1:20" ht="12.75" customHeight="1">
      <c r="C36" s="3764" t="s">
        <v>1537</v>
      </c>
      <c r="D36" s="3766"/>
      <c r="E36" s="1553"/>
      <c r="F36" s="1624">
        <v>2.5</v>
      </c>
      <c r="J36" s="549"/>
      <c r="O36" s="1624"/>
      <c r="R36" s="1553"/>
    </row>
    <row r="37" spans="1:20" ht="12.75" customHeight="1">
      <c r="C37" s="3764" t="s">
        <v>1497</v>
      </c>
      <c r="D37" s="3766"/>
      <c r="E37" s="1553"/>
      <c r="F37" s="1624">
        <v>14</v>
      </c>
      <c r="H37" s="555" t="s">
        <v>1531</v>
      </c>
      <c r="I37" s="548" t="s">
        <v>1529</v>
      </c>
      <c r="J37" s="549"/>
      <c r="O37" s="1624"/>
      <c r="R37" s="556"/>
    </row>
    <row r="38" spans="1:20" ht="12.75" customHeight="1">
      <c r="C38" s="3764" t="s">
        <v>1498</v>
      </c>
      <c r="D38" s="3766"/>
      <c r="E38" s="1553"/>
      <c r="F38" s="1624">
        <v>12</v>
      </c>
      <c r="H38" s="1492"/>
      <c r="I38" s="548" t="s">
        <v>1530</v>
      </c>
      <c r="J38" s="549"/>
      <c r="O38" s="1624"/>
      <c r="R38" s="556"/>
      <c r="T38" s="660"/>
    </row>
    <row r="39" spans="1:20" ht="12.75" customHeight="1">
      <c r="C39" s="3764" t="s">
        <v>1528</v>
      </c>
      <c r="D39" s="3766"/>
      <c r="E39" s="1553"/>
      <c r="F39" s="1624">
        <v>2.9</v>
      </c>
      <c r="H39" s="1492"/>
      <c r="I39" s="548" t="s">
        <v>1565</v>
      </c>
      <c r="J39" s="549"/>
      <c r="O39" s="1624"/>
      <c r="T39" s="660"/>
    </row>
    <row r="40" spans="1:20" ht="13.4" customHeight="1">
      <c r="C40" s="1626" t="s">
        <v>1490</v>
      </c>
      <c r="D40" s="1621"/>
      <c r="E40" s="562"/>
      <c r="F40" s="1622">
        <v>24.4</v>
      </c>
      <c r="H40" s="1492"/>
      <c r="I40" s="548" t="s">
        <v>1566</v>
      </c>
      <c r="J40" s="549"/>
      <c r="O40" s="1624"/>
      <c r="T40" s="660"/>
    </row>
    <row r="41" spans="1:20" ht="12.75" customHeight="1">
      <c r="C41" s="3764" t="s">
        <v>1499</v>
      </c>
      <c r="D41" s="3766"/>
      <c r="E41" s="1553"/>
      <c r="F41" s="1624">
        <v>244.3</v>
      </c>
      <c r="J41" s="549"/>
      <c r="O41" s="1624"/>
      <c r="T41" s="660"/>
    </row>
    <row r="42" spans="1:20" ht="12.75" customHeight="1">
      <c r="C42" s="1626" t="s">
        <v>1489</v>
      </c>
      <c r="D42" s="3766"/>
      <c r="E42" s="1553"/>
      <c r="F42" s="1622">
        <v>87.5</v>
      </c>
      <c r="G42" s="1620"/>
      <c r="J42" s="549"/>
      <c r="O42" s="1624"/>
      <c r="T42" s="660"/>
    </row>
    <row r="43" spans="1:20" ht="12.75" customHeight="1">
      <c r="C43" s="1626" t="s">
        <v>1487</v>
      </c>
      <c r="D43" s="1621"/>
      <c r="E43" s="562"/>
      <c r="F43" s="1622">
        <v>2.8</v>
      </c>
      <c r="G43" s="1620"/>
      <c r="J43" s="549"/>
      <c r="O43" s="1624"/>
      <c r="T43" s="660"/>
    </row>
    <row r="44" spans="1:20" ht="12.75" customHeight="1">
      <c r="C44" s="549" t="s">
        <v>1574</v>
      </c>
      <c r="F44" s="3765">
        <v>2.1</v>
      </c>
      <c r="J44" s="549"/>
      <c r="O44" s="1624"/>
      <c r="T44" s="660"/>
    </row>
    <row r="45" spans="1:20" ht="12.75" customHeight="1">
      <c r="C45" s="549" t="s">
        <v>1500</v>
      </c>
      <c r="D45" s="3766"/>
      <c r="E45" s="1553"/>
      <c r="F45" s="1624">
        <v>3</v>
      </c>
      <c r="J45" s="549"/>
      <c r="O45" s="1624"/>
      <c r="T45" s="660"/>
    </row>
    <row r="46" spans="1:20" ht="13.5" customHeight="1">
      <c r="C46" s="3764" t="s">
        <v>1501</v>
      </c>
      <c r="D46" s="3766"/>
      <c r="E46" s="1553"/>
      <c r="F46" s="1624">
        <v>865</v>
      </c>
      <c r="J46" s="549"/>
      <c r="O46" s="1624"/>
      <c r="P46" s="562"/>
    </row>
    <row r="47" spans="1:20" ht="12.75" customHeight="1">
      <c r="J47" s="549"/>
      <c r="O47" s="1624"/>
    </row>
    <row r="48" spans="1:20" ht="12.75" customHeight="1">
      <c r="A48" s="562"/>
      <c r="C48" s="1626" t="s">
        <v>799</v>
      </c>
      <c r="J48" s="549"/>
      <c r="O48" s="1624"/>
    </row>
    <row r="49" spans="1:21" ht="13.4" customHeight="1">
      <c r="B49" s="1492"/>
      <c r="C49" s="562" t="s">
        <v>1569</v>
      </c>
      <c r="J49" s="549"/>
      <c r="O49" s="1624"/>
    </row>
    <row r="50" spans="1:21" ht="12.75" customHeight="1">
      <c r="A50" s="1620"/>
      <c r="B50" s="1492"/>
      <c r="C50" s="562" t="s">
        <v>1570</v>
      </c>
      <c r="G50" s="1622"/>
      <c r="J50" s="549"/>
      <c r="O50" s="1624"/>
      <c r="S50" s="547"/>
      <c r="T50" s="660"/>
      <c r="U50" s="660"/>
    </row>
    <row r="51" spans="1:21" ht="12.75" customHeight="1">
      <c r="B51" s="562"/>
      <c r="C51" s="1490"/>
      <c r="G51" s="1622"/>
      <c r="J51" s="549"/>
      <c r="O51" s="1624"/>
      <c r="S51" s="559"/>
      <c r="T51" s="660"/>
      <c r="U51" s="660"/>
    </row>
    <row r="52" spans="1:21" ht="12.75" customHeight="1">
      <c r="B52" s="1492"/>
      <c r="C52" s="1554" t="s">
        <v>971</v>
      </c>
      <c r="D52" s="1490"/>
      <c r="E52" s="1621"/>
      <c r="F52" s="562"/>
      <c r="J52" s="549"/>
      <c r="O52" s="1624"/>
      <c r="S52" s="559"/>
      <c r="T52" s="660"/>
      <c r="U52" s="660"/>
    </row>
    <row r="53" spans="1:21" ht="12.75" customHeight="1">
      <c r="B53" s="1492"/>
      <c r="C53" s="1554" t="s">
        <v>972</v>
      </c>
      <c r="D53" s="1490"/>
      <c r="E53" s="1621"/>
      <c r="F53" s="562"/>
      <c r="G53" s="1622"/>
      <c r="J53" s="549"/>
      <c r="O53" s="1624"/>
      <c r="P53" s="1491"/>
      <c r="S53" s="560"/>
      <c r="T53" s="660"/>
      <c r="U53" s="660"/>
    </row>
    <row r="54" spans="1:21" ht="12.75" customHeight="1">
      <c r="B54" s="1492"/>
      <c r="C54" s="1554" t="s">
        <v>1563</v>
      </c>
      <c r="D54" s="1490"/>
      <c r="E54" s="1494"/>
      <c r="F54" s="1491"/>
      <c r="G54" s="1622"/>
      <c r="J54" s="549"/>
      <c r="O54" s="1624"/>
      <c r="R54" s="551"/>
    </row>
    <row r="55" spans="1:21" ht="12.75" customHeight="1">
      <c r="B55" s="1492"/>
      <c r="C55" s="3788" t="s">
        <v>1564</v>
      </c>
      <c r="D55" s="1490"/>
      <c r="E55" s="1621"/>
      <c r="F55" s="562"/>
      <c r="G55" s="1622"/>
      <c r="R55" s="551"/>
    </row>
    <row r="56" spans="1:21" ht="12.75" customHeight="1">
      <c r="B56" s="1492"/>
      <c r="D56" s="1490"/>
      <c r="E56" s="1621"/>
      <c r="F56" s="562"/>
      <c r="G56" s="1622"/>
      <c r="J56" s="549"/>
      <c r="O56" s="1624"/>
      <c r="R56" s="1495"/>
    </row>
    <row r="57" spans="1:21" ht="12.75" customHeight="1">
      <c r="D57" s="3590"/>
      <c r="E57" s="3766" t="s">
        <v>15</v>
      </c>
      <c r="F57" s="3591"/>
      <c r="G57" s="3604"/>
      <c r="R57" s="1495"/>
    </row>
    <row r="58" spans="1:21" ht="12.75" customHeight="1">
      <c r="E58" s="1491" t="s">
        <v>15</v>
      </c>
      <c r="R58" s="1495"/>
    </row>
    <row r="59" spans="1:21" ht="12.75" customHeight="1">
      <c r="E59" s="3901" t="s">
        <v>15</v>
      </c>
      <c r="G59" s="562"/>
      <c r="R59" s="1495"/>
    </row>
    <row r="60" spans="1:21" ht="12.75" customHeight="1">
      <c r="G60" s="562"/>
      <c r="H60" s="1624"/>
      <c r="R60" s="1495"/>
    </row>
    <row r="61" spans="1:21" ht="12.75" customHeight="1">
      <c r="R61" s="1495"/>
    </row>
    <row r="62" spans="1:21" ht="12.75" customHeight="1">
      <c r="P62" s="1553"/>
      <c r="R62" s="1495"/>
    </row>
    <row r="63" spans="1:21" ht="12.75" customHeight="1">
      <c r="P63" s="1553"/>
      <c r="R63" s="1495"/>
    </row>
    <row r="64" spans="1:21" ht="12.75" customHeight="1">
      <c r="P64" s="1553"/>
      <c r="R64" s="1495"/>
    </row>
    <row r="65" spans="2:19" ht="12.75" customHeight="1">
      <c r="P65" s="1553"/>
      <c r="R65" s="1495"/>
    </row>
    <row r="66" spans="2:19" ht="12.75" customHeight="1">
      <c r="I66" s="1493"/>
      <c r="K66" s="1493"/>
      <c r="L66" s="1494"/>
      <c r="N66" s="1492"/>
      <c r="O66" s="1492"/>
      <c r="P66" s="1553"/>
      <c r="R66" s="1495"/>
    </row>
    <row r="67" spans="2:19" ht="12.75" customHeight="1">
      <c r="H67" s="1632"/>
      <c r="I67" s="548"/>
      <c r="K67" s="1493"/>
      <c r="L67" s="1494"/>
      <c r="N67" s="1492"/>
      <c r="O67" s="1492"/>
      <c r="P67" s="1553"/>
      <c r="R67" s="1495"/>
    </row>
    <row r="68" spans="2:19" ht="12.75" customHeight="1">
      <c r="H68" s="1555"/>
      <c r="I68" s="548"/>
      <c r="K68" s="1493"/>
      <c r="L68" s="1494"/>
      <c r="N68" s="1492"/>
      <c r="O68" s="1492"/>
      <c r="P68" s="1553"/>
      <c r="R68" s="1495"/>
    </row>
    <row r="69" spans="2:19" ht="12.75" customHeight="1">
      <c r="H69" s="1555"/>
      <c r="I69" s="548"/>
      <c r="K69" s="1493"/>
      <c r="L69" s="1494"/>
      <c r="N69" s="1492"/>
      <c r="O69" s="1492"/>
      <c r="P69" s="1553"/>
      <c r="R69" s="1495"/>
    </row>
    <row r="70" spans="2:19" ht="12.75" customHeight="1">
      <c r="H70" s="1555"/>
      <c r="I70" s="548"/>
      <c r="K70" s="1493"/>
      <c r="L70" s="1494"/>
      <c r="N70" s="1492"/>
      <c r="O70" s="1492"/>
      <c r="P70" s="1553"/>
      <c r="R70" s="1495"/>
    </row>
    <row r="71" spans="2:19" ht="12.75" customHeight="1">
      <c r="H71" s="1555"/>
      <c r="I71" s="1555"/>
      <c r="J71" s="1553"/>
      <c r="K71" s="1553"/>
      <c r="L71" s="1553"/>
      <c r="M71" s="1553"/>
      <c r="N71" s="1553"/>
      <c r="O71" s="1553"/>
      <c r="R71" s="1495"/>
    </row>
    <row r="72" spans="2:19" s="557" customFormat="1" ht="12.75" customHeight="1">
      <c r="B72" s="665"/>
      <c r="C72" s="665"/>
      <c r="D72" s="1619"/>
      <c r="E72" s="1619"/>
      <c r="F72" s="1619"/>
      <c r="G72" s="1619"/>
      <c r="H72" s="1555"/>
      <c r="I72" s="1555"/>
      <c r="J72" s="1626"/>
      <c r="K72" s="1554"/>
      <c r="L72" s="562"/>
      <c r="M72" s="562"/>
      <c r="N72" s="562"/>
      <c r="O72" s="562"/>
      <c r="P72" s="1555"/>
      <c r="R72" s="1495"/>
    </row>
    <row r="73" spans="2:19" s="557" customFormat="1" ht="12.75" customHeight="1">
      <c r="H73" s="1555"/>
      <c r="I73" s="1555"/>
      <c r="J73" s="1626"/>
      <c r="K73" s="562"/>
      <c r="L73" s="562"/>
      <c r="M73" s="562"/>
      <c r="N73" s="562"/>
      <c r="O73" s="562"/>
      <c r="P73" s="1555"/>
      <c r="R73" s="1495"/>
    </row>
    <row r="74" spans="2:19" ht="12.75" customHeight="1">
      <c r="H74" s="1555"/>
      <c r="I74" s="1555"/>
      <c r="J74" s="1626"/>
      <c r="K74" s="562"/>
      <c r="L74" s="562"/>
      <c r="M74" s="562"/>
      <c r="N74" s="562"/>
      <c r="O74" s="562"/>
      <c r="R74" s="561"/>
    </row>
    <row r="75" spans="2:19" ht="12.75" customHeight="1">
      <c r="I75" s="1553"/>
      <c r="J75" s="1553"/>
      <c r="K75" s="1553"/>
      <c r="L75" s="1553"/>
      <c r="M75" s="1553"/>
      <c r="N75" s="1553"/>
      <c r="O75" s="1553"/>
      <c r="R75" s="1553"/>
      <c r="S75" s="1553"/>
    </row>
    <row r="76" spans="2:19" ht="12.75" customHeight="1">
      <c r="I76" s="1553"/>
      <c r="J76" s="1553"/>
      <c r="K76" s="1553"/>
      <c r="L76" s="1553"/>
      <c r="M76" s="1553"/>
      <c r="N76" s="1553"/>
      <c r="O76" s="1553"/>
      <c r="R76" s="1553"/>
      <c r="S76" s="1553"/>
    </row>
    <row r="77" spans="2:19" ht="12.75" customHeight="1">
      <c r="I77" s="1553"/>
      <c r="J77" s="1553"/>
      <c r="K77" s="1553"/>
      <c r="L77" s="1553"/>
      <c r="M77" s="1553"/>
      <c r="N77" s="1553"/>
      <c r="O77" s="1553"/>
      <c r="R77" s="1553"/>
      <c r="S77" s="1553"/>
    </row>
    <row r="78" spans="2:19" ht="12.75" customHeight="1">
      <c r="I78" s="1553"/>
      <c r="J78" s="1553"/>
      <c r="K78" s="1553"/>
      <c r="L78" s="1553"/>
      <c r="M78" s="1553"/>
      <c r="N78" s="1553"/>
      <c r="O78" s="1553"/>
      <c r="R78" s="1553"/>
      <c r="S78" s="1553"/>
    </row>
    <row r="79" spans="2:19" ht="12.75" customHeight="1">
      <c r="I79" s="1553"/>
      <c r="J79" s="1553"/>
      <c r="K79" s="1553"/>
      <c r="L79" s="1553"/>
      <c r="M79" s="1553"/>
      <c r="N79" s="1553"/>
      <c r="O79" s="1553"/>
      <c r="R79" s="1553"/>
    </row>
    <row r="80" spans="2:19" ht="12.75" customHeight="1">
      <c r="I80" s="1553"/>
      <c r="J80" s="1553"/>
      <c r="K80" s="1553"/>
      <c r="L80" s="1553"/>
      <c r="M80" s="1553"/>
      <c r="N80" s="1553"/>
      <c r="O80" s="1553"/>
      <c r="R80" s="1553"/>
      <c r="S80" s="1553"/>
    </row>
    <row r="81" spans="2:19" ht="12.75" customHeight="1">
      <c r="H81" s="681"/>
      <c r="L81" s="547"/>
      <c r="M81" s="547"/>
      <c r="N81" s="547"/>
      <c r="O81" s="547"/>
      <c r="R81" s="1553"/>
      <c r="S81" s="1553"/>
    </row>
    <row r="82" spans="2:19" ht="12.75" customHeight="1">
      <c r="H82" s="681"/>
      <c r="L82" s="547"/>
      <c r="M82" s="547"/>
      <c r="N82" s="547"/>
      <c r="O82" s="547"/>
      <c r="R82" s="1553"/>
      <c r="S82" s="1553"/>
    </row>
    <row r="83" spans="2:19" ht="12.75" customHeight="1">
      <c r="H83" s="681"/>
      <c r="M83" s="1555"/>
      <c r="N83" s="1555"/>
      <c r="R83" s="1553"/>
      <c r="S83" s="1553"/>
    </row>
    <row r="84" spans="2:19" ht="12.75" customHeight="1">
      <c r="H84" s="681"/>
      <c r="I84" s="549"/>
      <c r="M84" s="563"/>
      <c r="N84" s="564"/>
      <c r="R84" s="1553"/>
      <c r="S84" s="1553"/>
    </row>
    <row r="85" spans="2:19" ht="12.75" customHeight="1">
      <c r="H85" s="681"/>
      <c r="I85" s="549"/>
      <c r="M85" s="563"/>
      <c r="N85" s="564"/>
      <c r="P85" s="564"/>
      <c r="R85" s="1553"/>
      <c r="S85" s="571"/>
    </row>
    <row r="86" spans="2:19" ht="12.75" customHeight="1">
      <c r="H86" s="567"/>
      <c r="I86" s="1555"/>
      <c r="M86" s="563"/>
      <c r="N86" s="564"/>
      <c r="P86" s="552"/>
      <c r="R86" s="571"/>
      <c r="S86" s="571"/>
    </row>
    <row r="87" spans="2:19" ht="12.75" customHeight="1">
      <c r="H87" s="567"/>
      <c r="I87" s="1555"/>
      <c r="M87" s="563"/>
      <c r="N87" s="564"/>
      <c r="P87" s="552"/>
      <c r="R87" s="571"/>
      <c r="S87" s="1553"/>
    </row>
    <row r="88" spans="2:19" ht="12.75" customHeight="1">
      <c r="H88" s="681"/>
      <c r="I88" s="1555"/>
      <c r="M88" s="563"/>
      <c r="N88" s="564"/>
      <c r="P88" s="552"/>
      <c r="R88" s="571"/>
    </row>
    <row r="89" spans="2:19" ht="12.75" customHeight="1">
      <c r="H89" s="557"/>
      <c r="I89" s="1555"/>
      <c r="M89" s="563"/>
      <c r="N89" s="564"/>
      <c r="P89" s="552"/>
      <c r="R89" s="571"/>
    </row>
    <row r="90" spans="2:19" ht="12.75" customHeight="1">
      <c r="H90" s="557"/>
      <c r="I90" s="1555"/>
      <c r="M90" s="563"/>
      <c r="N90" s="564"/>
      <c r="P90" s="552"/>
      <c r="R90" s="571"/>
    </row>
    <row r="91" spans="2:19" ht="12.75" customHeight="1">
      <c r="H91" s="557"/>
      <c r="I91" s="1555"/>
      <c r="M91" s="563"/>
      <c r="N91" s="564"/>
      <c r="P91" s="552"/>
      <c r="R91" s="1553"/>
    </row>
    <row r="92" spans="2:19" ht="12.75" customHeight="1">
      <c r="I92" s="1555"/>
      <c r="M92" s="563"/>
      <c r="N92" s="564"/>
      <c r="P92" s="552"/>
      <c r="R92" s="1553"/>
    </row>
    <row r="93" spans="2:19" ht="12.75" customHeight="1">
      <c r="I93" s="1555"/>
      <c r="M93" s="563"/>
      <c r="N93" s="564"/>
      <c r="P93" s="552"/>
      <c r="R93" s="1553"/>
    </row>
    <row r="94" spans="2:19" ht="12.75" customHeight="1">
      <c r="B94" s="1554"/>
      <c r="C94" s="1554"/>
      <c r="D94" s="1554"/>
      <c r="E94" s="568"/>
      <c r="F94" s="569"/>
      <c r="G94" s="569"/>
      <c r="I94" s="549"/>
      <c r="M94" s="563"/>
      <c r="N94" s="564"/>
      <c r="P94" s="552"/>
    </row>
    <row r="95" spans="2:19" ht="12.75" customHeight="1">
      <c r="E95" s="570"/>
      <c r="F95" s="661"/>
      <c r="G95" s="569"/>
      <c r="I95" s="549"/>
      <c r="M95" s="563"/>
      <c r="N95" s="564"/>
      <c r="P95" s="552"/>
    </row>
    <row r="96" spans="2:19" ht="12.75" customHeight="1">
      <c r="E96" s="570"/>
      <c r="F96" s="661"/>
      <c r="G96" s="562"/>
      <c r="I96" s="549"/>
      <c r="M96" s="563"/>
      <c r="N96" s="564"/>
      <c r="P96" s="552"/>
    </row>
    <row r="97" spans="1:17" ht="12.75" customHeight="1">
      <c r="G97" s="562"/>
      <c r="I97" s="549"/>
      <c r="M97" s="561"/>
      <c r="N97" s="564"/>
      <c r="P97" s="552"/>
    </row>
    <row r="98" spans="1:17" ht="12.75" customHeight="1">
      <c r="I98" s="549"/>
      <c r="J98" s="549"/>
      <c r="K98" s="1553"/>
      <c r="L98" s="558"/>
      <c r="M98" s="565"/>
      <c r="N98" s="565"/>
      <c r="P98" s="552"/>
    </row>
    <row r="99" spans="1:17" ht="12.75" customHeight="1">
      <c r="I99" s="549"/>
      <c r="J99" s="549"/>
      <c r="K99" s="1553"/>
      <c r="L99" s="558"/>
      <c r="M99" s="565"/>
      <c r="N99" s="565"/>
      <c r="P99" s="552"/>
    </row>
    <row r="100" spans="1:17">
      <c r="G100" s="1553"/>
      <c r="I100" s="549"/>
      <c r="J100" s="549"/>
      <c r="K100" s="1553"/>
      <c r="L100" s="558"/>
      <c r="M100" s="565"/>
      <c r="N100" s="565"/>
      <c r="P100" s="552"/>
    </row>
    <row r="101" spans="1:17">
      <c r="C101" s="1490"/>
      <c r="D101" s="548"/>
      <c r="E101" s="1553"/>
      <c r="F101" s="1553"/>
      <c r="G101" s="1553"/>
      <c r="I101" s="549"/>
      <c r="J101" s="549"/>
      <c r="K101" s="1553"/>
      <c r="L101" s="558"/>
      <c r="M101" s="565"/>
      <c r="N101" s="565"/>
      <c r="P101" s="552"/>
    </row>
    <row r="102" spans="1:17">
      <c r="C102" s="665"/>
      <c r="D102" s="548"/>
      <c r="E102" s="1553"/>
      <c r="F102" s="1553"/>
      <c r="G102" s="1553"/>
      <c r="I102" s="549"/>
      <c r="J102" s="549"/>
      <c r="K102" s="1553"/>
      <c r="L102" s="558"/>
      <c r="M102" s="565"/>
      <c r="N102" s="565"/>
      <c r="P102" s="552"/>
    </row>
    <row r="103" spans="1:17">
      <c r="B103" s="572"/>
      <c r="C103" s="548"/>
      <c r="D103" s="548"/>
      <c r="E103" s="1553"/>
      <c r="F103" s="1553"/>
      <c r="G103" s="1553"/>
      <c r="I103" s="549"/>
      <c r="J103" s="549"/>
      <c r="K103" s="1553"/>
      <c r="L103" s="558"/>
      <c r="M103" s="565"/>
      <c r="N103" s="565"/>
      <c r="P103" s="552"/>
    </row>
    <row r="104" spans="1:17">
      <c r="A104" s="555"/>
      <c r="B104" s="572"/>
      <c r="C104" s="548"/>
      <c r="D104" s="548"/>
      <c r="E104" s="1553"/>
      <c r="F104" s="1553"/>
      <c r="G104" s="1553"/>
      <c r="I104" s="549"/>
      <c r="J104" s="549"/>
      <c r="K104" s="1553"/>
      <c r="L104" s="558"/>
      <c r="M104" s="565"/>
      <c r="N104" s="565"/>
    </row>
    <row r="105" spans="1:17">
      <c r="A105" s="1553"/>
      <c r="B105" s="572"/>
      <c r="C105" s="548"/>
      <c r="D105" s="548"/>
      <c r="E105" s="1553"/>
      <c r="F105" s="1553"/>
      <c r="I105" s="549"/>
      <c r="J105" s="549"/>
      <c r="K105" s="1553"/>
      <c r="L105" s="558"/>
      <c r="M105" s="565"/>
      <c r="N105" s="565"/>
    </row>
    <row r="106" spans="1:17">
      <c r="A106" s="1553"/>
      <c r="I106" s="549"/>
      <c r="J106" s="549"/>
      <c r="K106" s="1553"/>
      <c r="L106" s="558"/>
      <c r="M106" s="565"/>
      <c r="N106" s="565"/>
    </row>
    <row r="107" spans="1:17">
      <c r="I107" s="549"/>
      <c r="J107" s="549"/>
      <c r="K107" s="1553"/>
      <c r="L107" s="558"/>
      <c r="M107" s="565"/>
      <c r="N107" s="565"/>
      <c r="Q107" s="1553"/>
    </row>
    <row r="108" spans="1:17">
      <c r="A108" s="1553"/>
      <c r="I108" s="549"/>
      <c r="J108" s="549"/>
      <c r="K108" s="1553"/>
      <c r="L108" s="558"/>
      <c r="M108" s="565"/>
      <c r="N108" s="565"/>
      <c r="Q108" s="1553"/>
    </row>
    <row r="109" spans="1:17">
      <c r="A109" s="1553"/>
      <c r="G109" s="1555"/>
      <c r="I109" s="549"/>
      <c r="J109" s="549"/>
      <c r="K109" s="1553"/>
      <c r="L109" s="558"/>
      <c r="M109" s="565"/>
      <c r="N109" s="565"/>
      <c r="Q109" s="1553"/>
    </row>
    <row r="110" spans="1:17">
      <c r="B110" s="1555"/>
      <c r="C110" s="1555"/>
      <c r="D110" s="1555"/>
      <c r="E110" s="1555"/>
      <c r="F110" s="1555"/>
      <c r="G110" s="1555"/>
      <c r="I110" s="549"/>
      <c r="J110" s="549"/>
      <c r="K110" s="1553"/>
      <c r="L110" s="558"/>
      <c r="M110" s="565"/>
      <c r="N110" s="565"/>
      <c r="Q110" s="1553"/>
    </row>
    <row r="111" spans="1:17">
      <c r="B111" s="1555"/>
      <c r="C111" s="1555"/>
      <c r="D111" s="1555"/>
      <c r="E111" s="1555"/>
      <c r="F111" s="1555"/>
      <c r="G111" s="1555"/>
      <c r="I111" s="549"/>
      <c r="J111" s="549"/>
      <c r="K111" s="1553"/>
      <c r="L111" s="558"/>
      <c r="M111" s="565"/>
      <c r="N111" s="565"/>
      <c r="Q111" s="1553"/>
    </row>
    <row r="112" spans="1:17">
      <c r="B112" s="1555"/>
      <c r="C112" s="1555"/>
      <c r="D112" s="1555"/>
      <c r="E112" s="1555"/>
      <c r="F112" s="1555"/>
      <c r="G112" s="1555"/>
      <c r="I112" s="549"/>
      <c r="J112" s="549"/>
      <c r="K112" s="1553"/>
      <c r="L112" s="558"/>
      <c r="M112" s="565"/>
      <c r="N112" s="565"/>
      <c r="Q112" s="1553"/>
    </row>
    <row r="113" spans="1:17">
      <c r="B113" s="1555"/>
      <c r="C113" s="1555"/>
      <c r="D113" s="1555"/>
      <c r="E113" s="1555"/>
      <c r="F113" s="1555"/>
      <c r="G113" s="1555"/>
      <c r="I113" s="549"/>
      <c r="J113" s="549"/>
      <c r="K113" s="1553"/>
      <c r="L113" s="558"/>
      <c r="M113" s="565"/>
      <c r="N113" s="565"/>
      <c r="Q113" s="1553"/>
    </row>
    <row r="114" spans="1:17">
      <c r="B114" s="1555"/>
      <c r="C114" s="1555"/>
      <c r="D114" s="1555"/>
      <c r="E114" s="1555"/>
      <c r="F114" s="1555"/>
      <c r="G114" s="1555"/>
      <c r="I114" s="549"/>
      <c r="J114" s="549"/>
      <c r="K114" s="1553"/>
      <c r="L114" s="558"/>
      <c r="M114" s="565"/>
      <c r="N114" s="565"/>
      <c r="P114" s="552"/>
      <c r="Q114" s="1553"/>
    </row>
    <row r="115" spans="1:17">
      <c r="B115" s="1555"/>
      <c r="C115" s="1555"/>
      <c r="D115" s="1555"/>
      <c r="E115" s="1555"/>
      <c r="F115" s="1555"/>
      <c r="G115" s="1555"/>
      <c r="I115" s="549"/>
      <c r="J115" s="549"/>
      <c r="K115" s="1553"/>
      <c r="L115" s="558"/>
      <c r="M115" s="565"/>
      <c r="N115" s="565"/>
      <c r="P115" s="552"/>
      <c r="Q115" s="1553"/>
    </row>
    <row r="116" spans="1:17">
      <c r="A116" s="1555"/>
      <c r="B116" s="1555"/>
      <c r="C116" s="1555"/>
      <c r="D116" s="1555"/>
      <c r="E116" s="1555"/>
      <c r="F116" s="1555"/>
      <c r="G116" s="1555"/>
      <c r="I116" s="549"/>
      <c r="J116" s="549"/>
      <c r="K116" s="1553"/>
      <c r="L116" s="558"/>
      <c r="M116" s="565"/>
      <c r="N116" s="565"/>
      <c r="P116" s="552"/>
      <c r="Q116" s="1553"/>
    </row>
    <row r="117" spans="1:17">
      <c r="A117" s="1555"/>
      <c r="B117" s="1555"/>
      <c r="C117" s="1555"/>
      <c r="D117" s="1555"/>
      <c r="E117" s="1555"/>
      <c r="F117" s="1555"/>
      <c r="G117" s="1555"/>
      <c r="J117" s="1493"/>
      <c r="K117" s="1553"/>
      <c r="L117" s="558"/>
      <c r="M117" s="565"/>
      <c r="N117" s="565"/>
      <c r="P117" s="552"/>
      <c r="Q117" s="1553"/>
    </row>
    <row r="118" spans="1:17">
      <c r="A118" s="1555"/>
      <c r="B118" s="1555"/>
      <c r="C118" s="1555"/>
      <c r="D118" s="1555"/>
      <c r="E118" s="1555"/>
      <c r="F118" s="1555"/>
      <c r="G118" s="1555"/>
      <c r="J118" s="1493"/>
      <c r="K118" s="1553"/>
      <c r="L118" s="558"/>
      <c r="M118" s="565"/>
      <c r="N118" s="565"/>
      <c r="P118" s="1553"/>
      <c r="Q118" s="1553"/>
    </row>
    <row r="119" spans="1:17">
      <c r="A119" s="1555"/>
      <c r="B119" s="1555"/>
      <c r="C119" s="1555"/>
      <c r="D119" s="1555"/>
      <c r="E119" s="1555"/>
      <c r="F119" s="1555"/>
      <c r="G119" s="1555"/>
      <c r="H119" s="567"/>
      <c r="P119" s="1553"/>
      <c r="Q119" s="1553"/>
    </row>
    <row r="120" spans="1:17">
      <c r="A120" s="1555"/>
      <c r="B120" s="1555"/>
      <c r="C120" s="1555"/>
      <c r="D120" s="1555"/>
      <c r="E120" s="1555"/>
      <c r="F120" s="1555"/>
      <c r="G120" s="1555"/>
      <c r="H120" s="567"/>
      <c r="P120" s="1553"/>
      <c r="Q120" s="1553"/>
    </row>
    <row r="121" spans="1:17">
      <c r="A121" s="1555"/>
      <c r="B121" s="1555"/>
      <c r="C121" s="1555"/>
      <c r="D121" s="1555"/>
      <c r="E121" s="1555"/>
      <c r="F121" s="1555"/>
      <c r="G121" s="1555"/>
      <c r="H121" s="567"/>
      <c r="P121" s="1553"/>
      <c r="Q121" s="1553"/>
    </row>
    <row r="122" spans="1:17">
      <c r="A122" s="1555"/>
      <c r="B122" s="1555"/>
      <c r="C122" s="1555"/>
      <c r="D122" s="1555"/>
      <c r="E122" s="1555"/>
      <c r="F122" s="1555"/>
      <c r="G122" s="1555"/>
      <c r="H122" s="567"/>
      <c r="P122" s="1553"/>
      <c r="Q122" s="1553"/>
    </row>
    <row r="123" spans="1:17">
      <c r="A123" s="1555"/>
      <c r="B123" s="1555"/>
      <c r="C123" s="1555"/>
      <c r="D123" s="1555"/>
      <c r="E123" s="1555"/>
      <c r="F123" s="1555"/>
      <c r="G123" s="1555"/>
      <c r="I123" s="552"/>
      <c r="J123" s="549"/>
      <c r="K123" s="1553"/>
      <c r="L123" s="1553"/>
      <c r="M123" s="1553"/>
      <c r="N123" s="1553"/>
      <c r="O123" s="1553"/>
      <c r="P123" s="1553"/>
      <c r="Q123" s="1553"/>
    </row>
    <row r="124" spans="1:17">
      <c r="A124" s="1555"/>
      <c r="B124" s="1555"/>
      <c r="C124" s="1555"/>
      <c r="D124" s="1555"/>
      <c r="E124" s="1555"/>
      <c r="F124" s="1555"/>
      <c r="G124" s="1555"/>
      <c r="I124" s="552"/>
      <c r="J124" s="549"/>
      <c r="K124" s="1553"/>
      <c r="L124" s="1553"/>
      <c r="M124" s="1553"/>
      <c r="N124" s="1553"/>
      <c r="O124" s="1553"/>
      <c r="P124" s="1553"/>
      <c r="Q124" s="1553"/>
    </row>
    <row r="125" spans="1:17">
      <c r="A125" s="1555"/>
      <c r="B125" s="1555"/>
      <c r="C125" s="1555"/>
      <c r="D125" s="1555"/>
      <c r="E125" s="1555"/>
      <c r="F125" s="1555"/>
      <c r="I125" s="552"/>
      <c r="J125" s="549"/>
      <c r="K125" s="1553"/>
      <c r="L125" s="1553"/>
      <c r="M125" s="1553"/>
      <c r="N125" s="1553"/>
      <c r="O125" s="1553"/>
      <c r="P125" s="1553"/>
      <c r="Q125" s="1553"/>
    </row>
    <row r="126" spans="1:17">
      <c r="A126" s="1555"/>
      <c r="I126" s="552"/>
      <c r="J126" s="549"/>
      <c r="K126" s="1553"/>
      <c r="L126" s="1553"/>
      <c r="M126" s="1553"/>
      <c r="N126" s="1553"/>
      <c r="O126" s="1553"/>
      <c r="Q126" s="1553"/>
    </row>
    <row r="127" spans="1:17">
      <c r="A127" s="1555"/>
      <c r="I127" s="552"/>
      <c r="J127" s="549"/>
      <c r="K127" s="1553"/>
      <c r="L127" s="1553"/>
      <c r="M127" s="1553"/>
      <c r="N127" s="1553"/>
      <c r="O127" s="1553"/>
      <c r="P127" s="1553"/>
      <c r="Q127" s="1553"/>
    </row>
    <row r="128" spans="1:17">
      <c r="A128" s="1555"/>
      <c r="G128" s="1555"/>
      <c r="I128" s="552"/>
      <c r="J128" s="549"/>
      <c r="K128" s="1553"/>
      <c r="L128" s="1553"/>
      <c r="M128" s="1553"/>
      <c r="N128" s="1553"/>
      <c r="O128" s="1553"/>
      <c r="P128" s="566"/>
      <c r="Q128" s="1553"/>
    </row>
    <row r="129" spans="1:17">
      <c r="B129" s="1555"/>
      <c r="C129" s="1555"/>
      <c r="D129" s="1555"/>
      <c r="E129" s="1555"/>
      <c r="F129" s="1555"/>
      <c r="G129" s="1555"/>
      <c r="I129" s="1555"/>
      <c r="J129" s="549"/>
      <c r="K129" s="1553"/>
      <c r="L129" s="1553"/>
      <c r="M129" s="1553"/>
      <c r="N129" s="1553"/>
      <c r="O129" s="1553"/>
      <c r="P129" s="1553"/>
      <c r="Q129" s="1553"/>
    </row>
    <row r="130" spans="1:17">
      <c r="B130" s="1555"/>
      <c r="C130" s="1555"/>
      <c r="D130" s="1555"/>
      <c r="E130" s="1555"/>
      <c r="F130" s="1555"/>
      <c r="G130" s="1555"/>
      <c r="I130" s="1553"/>
      <c r="J130" s="549"/>
      <c r="K130" s="1553"/>
      <c r="L130" s="1553"/>
      <c r="M130" s="1553"/>
      <c r="N130" s="1553"/>
      <c r="O130" s="1553"/>
      <c r="P130" s="573"/>
      <c r="Q130" s="1553"/>
    </row>
    <row r="131" spans="1:17">
      <c r="A131" s="1555"/>
      <c r="B131" s="1555"/>
      <c r="C131" s="1555"/>
      <c r="D131" s="1555"/>
      <c r="E131" s="1555"/>
      <c r="F131" s="1555"/>
      <c r="G131" s="1555"/>
      <c r="I131" s="549"/>
      <c r="J131" s="549"/>
      <c r="K131" s="1553"/>
      <c r="L131" s="1553"/>
      <c r="M131" s="1553"/>
      <c r="N131" s="1553"/>
      <c r="O131" s="1553"/>
      <c r="P131" s="1553"/>
      <c r="Q131" s="1553"/>
    </row>
    <row r="132" spans="1:17">
      <c r="A132" s="1555"/>
      <c r="B132" s="1555"/>
      <c r="C132" s="1555"/>
      <c r="D132" s="1555"/>
      <c r="E132" s="1555"/>
      <c r="F132" s="1555"/>
      <c r="G132" s="1555"/>
      <c r="I132" s="549"/>
      <c r="J132" s="549"/>
      <c r="K132" s="1553"/>
      <c r="L132" s="1553"/>
      <c r="M132" s="1553"/>
      <c r="N132" s="1553"/>
      <c r="O132" s="1553"/>
      <c r="P132" s="1553"/>
      <c r="Q132" s="1553"/>
    </row>
    <row r="133" spans="1:17">
      <c r="A133" s="1555"/>
      <c r="B133" s="1555"/>
      <c r="C133" s="1555"/>
      <c r="D133" s="1555"/>
      <c r="E133" s="1555"/>
      <c r="F133" s="1555"/>
      <c r="G133" s="1555"/>
      <c r="I133" s="549"/>
      <c r="J133" s="549"/>
      <c r="K133" s="1553"/>
      <c r="L133" s="1553"/>
      <c r="M133" s="1553"/>
      <c r="N133" s="1553"/>
      <c r="O133" s="1553"/>
      <c r="P133" s="1553"/>
    </row>
    <row r="134" spans="1:17">
      <c r="A134" s="1555"/>
      <c r="B134" s="1555"/>
      <c r="C134" s="1555"/>
      <c r="D134" s="1555"/>
      <c r="E134" s="1555"/>
      <c r="F134" s="1555"/>
      <c r="G134" s="1555"/>
      <c r="I134" s="549"/>
      <c r="J134" s="549"/>
      <c r="K134" s="1553"/>
      <c r="L134" s="1553"/>
      <c r="M134" s="1553"/>
      <c r="N134" s="1553"/>
      <c r="O134" s="1553"/>
      <c r="P134" s="1553"/>
      <c r="Q134" s="1553"/>
    </row>
    <row r="135" spans="1:17">
      <c r="A135" s="1555"/>
      <c r="B135" s="1555"/>
      <c r="C135" s="1555"/>
      <c r="D135" s="1555"/>
      <c r="E135" s="1555"/>
      <c r="F135" s="1555"/>
      <c r="G135" s="1555"/>
      <c r="I135" s="549"/>
      <c r="J135" s="549"/>
      <c r="K135" s="1553"/>
      <c r="L135" s="1553"/>
      <c r="M135" s="1553"/>
      <c r="N135" s="1553"/>
      <c r="P135" s="1553"/>
      <c r="Q135" s="566"/>
    </row>
    <row r="136" spans="1:17">
      <c r="A136" s="1555"/>
      <c r="B136" s="1555"/>
      <c r="C136" s="1555"/>
      <c r="D136" s="1555"/>
      <c r="E136" s="1555"/>
      <c r="F136" s="1555"/>
      <c r="G136" s="1555"/>
      <c r="I136" s="549"/>
      <c r="J136" s="549"/>
      <c r="K136" s="1553"/>
      <c r="L136" s="1553"/>
      <c r="M136" s="1553"/>
      <c r="N136" s="1553"/>
      <c r="O136" s="1553"/>
      <c r="P136" s="1553"/>
      <c r="Q136" s="1553"/>
    </row>
    <row r="137" spans="1:17">
      <c r="A137" s="1555"/>
      <c r="B137" s="1555"/>
      <c r="C137" s="1555"/>
      <c r="D137" s="1555"/>
      <c r="E137" s="1555"/>
      <c r="F137" s="1555"/>
      <c r="G137" s="1555"/>
      <c r="I137" s="549"/>
      <c r="J137" s="549"/>
      <c r="K137" s="1553"/>
      <c r="L137" s="1553"/>
      <c r="M137" s="1553"/>
      <c r="N137" s="1553"/>
      <c r="O137" s="1553"/>
      <c r="P137" s="571"/>
      <c r="Q137" s="1553"/>
    </row>
    <row r="138" spans="1:17">
      <c r="A138" s="1555"/>
      <c r="B138" s="1555"/>
      <c r="C138" s="1555"/>
      <c r="D138" s="1555"/>
      <c r="E138" s="1555"/>
      <c r="F138" s="1555"/>
      <c r="G138" s="1555"/>
      <c r="I138" s="549"/>
      <c r="J138" s="549"/>
      <c r="K138" s="1553"/>
      <c r="L138" s="574"/>
      <c r="O138" s="1553"/>
      <c r="Q138" s="1553"/>
    </row>
    <row r="139" spans="1:17">
      <c r="A139" s="1555"/>
      <c r="B139" s="1555"/>
      <c r="C139" s="1555"/>
      <c r="D139" s="1555"/>
      <c r="E139" s="1555"/>
      <c r="F139" s="1555"/>
      <c r="G139" s="1555"/>
      <c r="I139" s="549"/>
      <c r="J139" s="549"/>
      <c r="K139" s="1553"/>
      <c r="L139" s="574"/>
      <c r="M139" s="1553"/>
      <c r="N139" s="558"/>
      <c r="O139" s="1553"/>
    </row>
    <row r="140" spans="1:17">
      <c r="A140" s="1555"/>
      <c r="B140" s="1555"/>
      <c r="C140" s="1555"/>
      <c r="D140" s="1555"/>
      <c r="E140" s="1555"/>
      <c r="F140" s="1555"/>
      <c r="G140" s="1555"/>
      <c r="I140" s="1553"/>
      <c r="J140" s="1553"/>
      <c r="K140" s="574"/>
      <c r="L140" s="1555"/>
      <c r="M140" s="1555"/>
      <c r="N140" s="1555"/>
    </row>
    <row r="141" spans="1:17">
      <c r="A141" s="1555"/>
      <c r="B141" s="1555"/>
      <c r="C141" s="1555"/>
      <c r="D141" s="1555"/>
      <c r="E141" s="1555"/>
      <c r="F141" s="1555"/>
      <c r="I141" s="1553"/>
      <c r="J141" s="1553"/>
      <c r="K141" s="575"/>
      <c r="L141" s="1555"/>
      <c r="M141" s="1555"/>
      <c r="N141" s="1555"/>
    </row>
    <row r="142" spans="1:17">
      <c r="A142" s="1555"/>
      <c r="I142" s="1553"/>
      <c r="J142" s="1553"/>
      <c r="K142" s="1553"/>
      <c r="L142" s="1555"/>
      <c r="M142" s="1555"/>
      <c r="N142" s="1555"/>
    </row>
    <row r="143" spans="1:17">
      <c r="A143" s="1555"/>
      <c r="I143" s="1553"/>
      <c r="J143" s="1553"/>
      <c r="K143" s="1553"/>
      <c r="L143" s="1555"/>
      <c r="M143" s="1555"/>
      <c r="N143" s="1555"/>
    </row>
    <row r="144" spans="1:17">
      <c r="A144" s="1555"/>
      <c r="G144" s="1555"/>
      <c r="I144" s="1553"/>
      <c r="J144" s="1553"/>
      <c r="L144" s="1555"/>
      <c r="M144" s="1555"/>
      <c r="N144" s="1555"/>
    </row>
    <row r="145" spans="1:14">
      <c r="B145" s="1555"/>
      <c r="C145" s="1555"/>
      <c r="D145" s="1555"/>
      <c r="E145" s="1555"/>
      <c r="F145" s="1555"/>
      <c r="G145" s="1555"/>
    </row>
    <row r="146" spans="1:14">
      <c r="B146" s="1555"/>
      <c r="C146" s="1555"/>
      <c r="D146" s="1555"/>
      <c r="E146" s="1555"/>
      <c r="F146" s="1555"/>
      <c r="G146" s="1555"/>
    </row>
    <row r="147" spans="1:14">
      <c r="B147" s="1555"/>
      <c r="C147" s="1555"/>
      <c r="D147" s="1555"/>
      <c r="E147" s="1555"/>
      <c r="F147" s="1555"/>
      <c r="G147" s="1555"/>
    </row>
    <row r="148" spans="1:14">
      <c r="A148" s="1555"/>
      <c r="B148" s="1555"/>
      <c r="C148" s="1555"/>
      <c r="D148" s="1555"/>
      <c r="E148" s="1555"/>
      <c r="F148" s="1555"/>
      <c r="J148" s="1555"/>
      <c r="K148" s="1555"/>
      <c r="L148" s="1555"/>
      <c r="M148" s="1555"/>
      <c r="N148" s="1555"/>
    </row>
    <row r="149" spans="1:14">
      <c r="A149" s="1555"/>
      <c r="J149" s="1555"/>
      <c r="K149" s="1555"/>
      <c r="L149" s="1555"/>
      <c r="M149" s="1555"/>
      <c r="N149" s="1555"/>
    </row>
    <row r="150" spans="1:14">
      <c r="A150" s="1555"/>
      <c r="I150" s="1555"/>
      <c r="J150" s="1555"/>
      <c r="K150" s="1555"/>
      <c r="L150" s="1555"/>
      <c r="M150" s="1555"/>
      <c r="N150" s="1555"/>
    </row>
    <row r="151" spans="1:14">
      <c r="A151" s="1555"/>
      <c r="I151" s="1555"/>
      <c r="J151" s="1555"/>
      <c r="K151" s="1555"/>
      <c r="L151" s="1555"/>
      <c r="M151" s="1555"/>
      <c r="N151" s="1555"/>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59" max="15" man="1"/>
  </rowBreaks>
  <ignoredErrors>
    <ignoredError sqref="A6 A20 H3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2"/>
  <sheetViews>
    <sheetView showGridLines="0" zoomScale="90" workbookViewId="0"/>
  </sheetViews>
  <sheetFormatPr defaultColWidth="8.69140625" defaultRowHeight="15.5"/>
  <cols>
    <col min="1" max="1" width="1.69140625" style="1225" customWidth="1"/>
    <col min="2" max="2" width="48" style="1225" customWidth="1"/>
    <col min="3" max="3" width="4.53515625" style="1226" customWidth="1"/>
    <col min="4" max="4" width="20.53515625" style="1227" customWidth="1"/>
    <col min="5" max="5" width="2.07421875" style="1226" customWidth="1"/>
    <col min="6" max="6" width="20.23046875" style="1227" customWidth="1"/>
    <col min="7" max="7" width="1.69140625" style="1226" customWidth="1"/>
    <col min="8" max="8" width="20.23046875" style="1227" customWidth="1"/>
    <col min="9" max="10" width="1.69140625" style="1227" customWidth="1"/>
    <col min="11" max="11" width="19" style="1227" customWidth="1"/>
    <col min="12" max="12" width="8.69140625" style="1226"/>
    <col min="13" max="13" width="24.07421875" style="1226" customWidth="1"/>
    <col min="14" max="14" width="8.69140625" style="1226"/>
    <col min="15" max="15" width="1.69140625" style="1226" customWidth="1"/>
    <col min="16" max="16384" width="8.69140625" style="1225"/>
  </cols>
  <sheetData>
    <row r="1" spans="1:40">
      <c r="B1" s="642" t="s">
        <v>963</v>
      </c>
    </row>
    <row r="3" spans="1:40" ht="18">
      <c r="K3" s="1356" t="s">
        <v>510</v>
      </c>
    </row>
    <row r="4" spans="1:40" s="1230" customFormat="1" ht="18" customHeight="1">
      <c r="A4" s="1228"/>
      <c r="B4" s="1954" t="s">
        <v>494</v>
      </c>
      <c r="C4" s="1357"/>
      <c r="D4" s="1357"/>
      <c r="E4" s="1357"/>
      <c r="F4" s="1357"/>
      <c r="G4" s="1357"/>
      <c r="H4" s="1357"/>
      <c r="I4" s="1357"/>
      <c r="J4" s="1357"/>
      <c r="K4" s="1357"/>
      <c r="L4" s="1229"/>
      <c r="M4" s="1229"/>
      <c r="N4" s="1229"/>
      <c r="O4" s="1229"/>
    </row>
    <row r="5" spans="1:40" s="1230" customFormat="1" ht="18" customHeight="1">
      <c r="A5" s="1228"/>
      <c r="B5" s="1954" t="s">
        <v>982</v>
      </c>
      <c r="C5" s="1231"/>
      <c r="D5" s="1231"/>
      <c r="E5" s="1231"/>
      <c r="F5" s="1231"/>
      <c r="G5" s="1231"/>
      <c r="H5" s="1231"/>
      <c r="I5" s="1231"/>
      <c r="J5" s="1231"/>
      <c r="K5" s="1249"/>
      <c r="L5" s="1229"/>
      <c r="M5" s="1229"/>
      <c r="N5" s="1229"/>
      <c r="O5" s="1229"/>
    </row>
    <row r="6" spans="1:40" s="1230" customFormat="1" ht="18" customHeight="1">
      <c r="A6" s="1228"/>
      <c r="B6" s="1954" t="s">
        <v>1473</v>
      </c>
      <c r="C6" s="1955"/>
      <c r="D6" s="1955"/>
      <c r="E6" s="1955"/>
      <c r="F6" s="1955"/>
      <c r="G6" s="1955"/>
      <c r="H6" s="1955"/>
      <c r="I6" s="1955"/>
      <c r="J6" s="1955"/>
      <c r="K6" s="1357"/>
      <c r="L6" s="1229"/>
      <c r="M6" s="1229"/>
      <c r="N6" s="1229"/>
      <c r="O6" s="1229"/>
    </row>
    <row r="7" spans="1:40" s="1230" customFormat="1" ht="18" customHeight="1">
      <c r="A7" s="1228"/>
      <c r="B7" s="1956"/>
      <c r="C7" s="1957"/>
      <c r="D7" s="1957"/>
      <c r="E7" s="1957"/>
      <c r="F7" s="1957"/>
      <c r="G7" s="1957"/>
      <c r="H7" s="1957"/>
      <c r="I7" s="1957"/>
      <c r="J7" s="1957"/>
      <c r="K7" s="1358"/>
      <c r="L7" s="1232"/>
      <c r="M7" s="1229"/>
      <c r="N7" s="1229"/>
      <c r="O7" s="1229"/>
    </row>
    <row r="8" spans="1:40" s="1230" customFormat="1" ht="18" customHeight="1">
      <c r="A8" s="1228"/>
      <c r="B8" s="1956"/>
      <c r="C8" s="1233"/>
      <c r="D8" s="1233"/>
      <c r="E8" s="1233"/>
      <c r="F8" s="1233"/>
      <c r="G8" s="1233"/>
      <c r="H8" s="1233"/>
      <c r="I8" s="1233"/>
      <c r="J8" s="1233"/>
      <c r="K8" s="1233"/>
      <c r="L8" s="1232"/>
      <c r="M8" s="1229"/>
      <c r="N8" s="1229"/>
      <c r="O8" s="1229"/>
    </row>
    <row r="9" spans="1:40" s="1239" customFormat="1">
      <c r="A9" s="1234"/>
      <c r="B9" s="1234"/>
      <c r="C9" s="1235"/>
      <c r="D9" s="1634" t="s">
        <v>1507</v>
      </c>
      <c r="E9" s="1235"/>
      <c r="F9" s="1634" t="s">
        <v>1556</v>
      </c>
      <c r="G9" s="1235"/>
      <c r="H9" s="1634">
        <v>2020</v>
      </c>
      <c r="I9" s="1236"/>
      <c r="J9" s="1236"/>
      <c r="K9" s="1237"/>
      <c r="L9" s="1238"/>
      <c r="M9" s="1238"/>
      <c r="N9" s="1238"/>
      <c r="O9" s="1238"/>
    </row>
    <row r="10" spans="1:40">
      <c r="A10" s="1240"/>
      <c r="B10" s="1240"/>
      <c r="C10" s="1241"/>
      <c r="D10" s="1961" t="s">
        <v>1508</v>
      </c>
      <c r="E10" s="1241"/>
      <c r="F10" s="1961" t="s">
        <v>1557</v>
      </c>
      <c r="G10" s="1241"/>
      <c r="H10" s="1961" t="s">
        <v>144</v>
      </c>
      <c r="I10" s="1552"/>
      <c r="J10" s="1552"/>
      <c r="K10" s="1242" t="s">
        <v>1474</v>
      </c>
    </row>
    <row r="11" spans="1:40">
      <c r="A11" s="1240"/>
      <c r="B11" s="1240"/>
      <c r="C11" s="1241"/>
      <c r="D11" s="1241"/>
      <c r="E11" s="1241"/>
      <c r="F11" s="1241"/>
      <c r="G11" s="1241"/>
      <c r="H11" s="1241"/>
      <c r="I11" s="1243"/>
      <c r="J11" s="1241"/>
      <c r="K11" s="1886"/>
    </row>
    <row r="12" spans="1:40" s="1239" customFormat="1">
      <c r="A12" s="1244"/>
      <c r="B12" s="1244" t="s">
        <v>471</v>
      </c>
      <c r="C12" s="1235"/>
      <c r="D12" s="1245">
        <v>668.63</v>
      </c>
      <c r="E12" s="1235"/>
      <c r="F12" s="1245">
        <f>D49</f>
        <v>169.31</v>
      </c>
      <c r="G12" s="1235"/>
      <c r="H12" s="1245">
        <f>F49</f>
        <v>333127.45</v>
      </c>
      <c r="I12" s="1962"/>
      <c r="J12" s="1245"/>
      <c r="K12" s="1246">
        <f>D12</f>
        <v>668.63</v>
      </c>
      <c r="L12" s="1238"/>
      <c r="M12" s="1238"/>
      <c r="N12" s="1238"/>
      <c r="O12" s="1238"/>
      <c r="P12" s="1247"/>
      <c r="Q12" s="1247"/>
      <c r="R12" s="1247"/>
      <c r="S12" s="1247"/>
      <c r="T12" s="1247"/>
      <c r="U12" s="1247"/>
      <c r="V12" s="1247"/>
      <c r="W12" s="1247"/>
      <c r="X12" s="1247"/>
      <c r="Y12" s="1247"/>
      <c r="Z12" s="1247"/>
      <c r="AA12" s="1248"/>
      <c r="AB12" s="1248"/>
      <c r="AC12" s="1248"/>
      <c r="AD12" s="1248"/>
      <c r="AE12" s="1248"/>
      <c r="AF12" s="1248"/>
      <c r="AG12" s="1248"/>
      <c r="AH12" s="1248"/>
      <c r="AI12" s="1248"/>
      <c r="AJ12" s="1248"/>
      <c r="AK12" s="1248"/>
      <c r="AL12" s="1248"/>
      <c r="AM12" s="1248"/>
      <c r="AN12" s="1248"/>
    </row>
    <row r="13" spans="1:40" s="1239" customFormat="1">
      <c r="A13" s="1244"/>
      <c r="B13" s="1244"/>
      <c r="C13" s="1235"/>
      <c r="D13" s="1245"/>
      <c r="E13" s="1235"/>
      <c r="F13" s="1245"/>
      <c r="G13" s="1235"/>
      <c r="H13" s="1245"/>
      <c r="I13" s="1962"/>
      <c r="J13" s="1245"/>
      <c r="K13" s="1246"/>
      <c r="L13" s="1238"/>
      <c r="M13" s="1238"/>
      <c r="N13" s="1238"/>
      <c r="O13" s="1238"/>
      <c r="P13" s="1247"/>
      <c r="Q13" s="1247"/>
      <c r="R13" s="1247"/>
      <c r="S13" s="1247"/>
      <c r="T13" s="1247"/>
      <c r="U13" s="1247"/>
      <c r="V13" s="1247"/>
      <c r="W13" s="1247"/>
      <c r="X13" s="1247"/>
      <c r="Y13" s="1247"/>
      <c r="Z13" s="1247"/>
      <c r="AA13" s="1248"/>
      <c r="AB13" s="1248"/>
      <c r="AC13" s="1248"/>
      <c r="AD13" s="1248"/>
      <c r="AE13" s="1248"/>
      <c r="AF13" s="1248"/>
      <c r="AG13" s="1248"/>
      <c r="AH13" s="1248"/>
      <c r="AI13" s="1248"/>
      <c r="AJ13" s="1248"/>
      <c r="AK13" s="1248"/>
      <c r="AL13" s="1248"/>
      <c r="AM13" s="1248"/>
      <c r="AN13" s="1248"/>
    </row>
    <row r="14" spans="1:40">
      <c r="A14" s="1240"/>
      <c r="B14" s="1244" t="s">
        <v>14</v>
      </c>
      <c r="C14" s="1241"/>
      <c r="D14" s="1241"/>
      <c r="E14" s="1241"/>
      <c r="F14" s="1241"/>
      <c r="G14" s="1241"/>
      <c r="H14" s="1241"/>
      <c r="I14" s="1963"/>
      <c r="J14" s="1241"/>
      <c r="K14" s="1243"/>
    </row>
    <row r="15" spans="1:40">
      <c r="A15" s="1240"/>
      <c r="B15" s="1249" t="s">
        <v>516</v>
      </c>
      <c r="C15" s="1241"/>
      <c r="D15" s="1250">
        <v>422.98</v>
      </c>
      <c r="E15" s="1241"/>
      <c r="F15" s="1250">
        <v>1460.78</v>
      </c>
      <c r="G15" s="1241"/>
      <c r="H15" s="1250">
        <v>163.1</v>
      </c>
      <c r="I15" s="1964"/>
      <c r="J15" s="1250"/>
      <c r="K15" s="1251">
        <f>ROUND(SUM(D15:H15),2)</f>
        <v>2046.86</v>
      </c>
    </row>
    <row r="16" spans="1:40" s="1239" customFormat="1">
      <c r="A16" s="1244"/>
      <c r="B16" s="1244" t="s">
        <v>150</v>
      </c>
      <c r="C16" s="1235"/>
      <c r="D16" s="1887">
        <f>ROUND(SUM(D15:D15),2)</f>
        <v>422.98</v>
      </c>
      <c r="E16" s="1235"/>
      <c r="F16" s="1887">
        <f>ROUND(SUM(F15:F15),2)</f>
        <v>1460.78</v>
      </c>
      <c r="G16" s="1235"/>
      <c r="H16" s="1887">
        <f>ROUND(SUM(H15:H15),2)</f>
        <v>163.1</v>
      </c>
      <c r="I16" s="1965"/>
      <c r="J16" s="1252"/>
      <c r="K16" s="1887">
        <f>ROUND(SUM(K15:K15),2)</f>
        <v>2046.86</v>
      </c>
      <c r="L16" s="1238"/>
      <c r="M16" s="1238"/>
      <c r="N16" s="1238"/>
      <c r="O16" s="1238"/>
    </row>
    <row r="17" spans="1:20">
      <c r="A17" s="1240"/>
      <c r="B17" s="1240"/>
      <c r="C17" s="1241"/>
      <c r="D17" s="1250"/>
      <c r="E17" s="1241"/>
      <c r="F17" s="1250"/>
      <c r="G17" s="1241"/>
      <c r="H17" s="1250"/>
      <c r="I17" s="1964"/>
      <c r="J17" s="1250"/>
      <c r="K17" s="1888"/>
    </row>
    <row r="18" spans="1:20">
      <c r="A18" s="1240"/>
      <c r="B18" s="1244" t="s">
        <v>931</v>
      </c>
      <c r="C18" s="1241"/>
      <c r="D18" s="1250"/>
      <c r="E18" s="1241"/>
      <c r="F18" s="1250"/>
      <c r="G18" s="1241"/>
      <c r="H18" s="1250"/>
      <c r="I18" s="1964"/>
      <c r="J18" s="1250"/>
      <c r="K18" s="1251"/>
    </row>
    <row r="19" spans="1:20">
      <c r="A19" s="1240"/>
      <c r="B19" s="1249" t="s">
        <v>534</v>
      </c>
      <c r="C19" s="1241"/>
      <c r="D19" s="1250">
        <v>-188629665.12</v>
      </c>
      <c r="E19" s="1241"/>
      <c r="F19" s="1250">
        <v>-150799778.96000001</v>
      </c>
      <c r="G19" s="1241"/>
      <c r="H19" s="3801">
        <v>-52705108.770000003</v>
      </c>
      <c r="I19" s="1964"/>
      <c r="J19" s="1250"/>
      <c r="K19" s="1251">
        <f>ROUND(SUM(D19:H19),2)</f>
        <v>-392134552.85000002</v>
      </c>
    </row>
    <row r="20" spans="1:20">
      <c r="A20" s="1240"/>
      <c r="B20" s="1249" t="s">
        <v>535</v>
      </c>
      <c r="C20" s="1241"/>
      <c r="D20" s="1250">
        <v>0</v>
      </c>
      <c r="E20" s="1241"/>
      <c r="F20" s="1250">
        <v>0</v>
      </c>
      <c r="G20" s="1241"/>
      <c r="H20" s="3805">
        <v>0</v>
      </c>
      <c r="I20" s="1964"/>
      <c r="J20" s="1250"/>
      <c r="K20" s="1251">
        <f>ROUND(SUM(D20:H20),2)</f>
        <v>0</v>
      </c>
    </row>
    <row r="21" spans="1:20">
      <c r="A21" s="1240"/>
      <c r="B21" s="1249" t="s">
        <v>536</v>
      </c>
      <c r="C21" s="1241"/>
      <c r="D21" s="1250">
        <v>506867.55</v>
      </c>
      <c r="E21" s="1241"/>
      <c r="F21" s="1250">
        <v>-90700038.599999994</v>
      </c>
      <c r="G21" s="1241"/>
      <c r="H21" s="3801">
        <v>2479580.4</v>
      </c>
      <c r="I21" s="1964"/>
      <c r="J21" s="1250"/>
      <c r="K21" s="1251">
        <f>ROUND(SUM(D21:H21),2)</f>
        <v>-87713590.650000006</v>
      </c>
    </row>
    <row r="22" spans="1:20" s="1239" customFormat="1">
      <c r="A22" s="1244"/>
      <c r="B22" s="1253" t="s">
        <v>949</v>
      </c>
      <c r="C22" s="1235"/>
      <c r="D22" s="1889">
        <f>ROUND(SUM(D18:D21),2)</f>
        <v>-188122797.56999999</v>
      </c>
      <c r="E22" s="1235"/>
      <c r="F22" s="1889">
        <f>ROUND(SUM(F18:F21),2)</f>
        <v>-241499817.56</v>
      </c>
      <c r="G22" s="1235"/>
      <c r="H22" s="1889">
        <f>ROUND(SUM(H18:H21),2)</f>
        <v>-50225528.369999997</v>
      </c>
      <c r="I22" s="1965"/>
      <c r="J22" s="1252"/>
      <c r="K22" s="1889">
        <f>ROUND(SUM(K18:K21),2)</f>
        <v>-479848143.5</v>
      </c>
      <c r="L22" s="1238"/>
      <c r="M22" s="1238"/>
      <c r="N22" s="1238"/>
      <c r="O22" s="1238"/>
    </row>
    <row r="23" spans="1:20">
      <c r="A23" s="1240"/>
      <c r="B23" s="1254"/>
      <c r="C23" s="1241"/>
      <c r="D23" s="1888"/>
      <c r="E23" s="1241"/>
      <c r="F23" s="1888"/>
      <c r="G23" s="1241"/>
      <c r="H23" s="1888"/>
      <c r="I23" s="1964"/>
      <c r="J23" s="1251"/>
      <c r="K23" s="1888"/>
    </row>
    <row r="24" spans="1:20" s="1239" customFormat="1">
      <c r="A24" s="1244"/>
      <c r="B24" s="1244" t="s">
        <v>1203</v>
      </c>
      <c r="C24" s="1235"/>
      <c r="D24" s="1255">
        <f>ROUND(+D16+D22,2)</f>
        <v>-188122374.59</v>
      </c>
      <c r="E24" s="1235"/>
      <c r="F24" s="1255">
        <f>ROUND(+F16+F22,2)</f>
        <v>-241498356.78</v>
      </c>
      <c r="G24" s="1235"/>
      <c r="H24" s="1255">
        <f>ROUND(+H16+H22,2)</f>
        <v>-50225365.270000003</v>
      </c>
      <c r="I24" s="1967"/>
      <c r="J24" s="1255"/>
      <c r="K24" s="1255">
        <f>ROUND(+K16+K22,2)</f>
        <v>-479846096.63999999</v>
      </c>
      <c r="L24" s="1238"/>
      <c r="M24" s="1238"/>
      <c r="N24" s="1238"/>
      <c r="O24" s="1238"/>
    </row>
    <row r="25" spans="1:20">
      <c r="A25" s="1240"/>
      <c r="B25" s="1240"/>
      <c r="C25" s="1241"/>
      <c r="D25" s="1888"/>
      <c r="E25" s="1241"/>
      <c r="F25" s="1888"/>
      <c r="G25" s="1241"/>
      <c r="H25" s="1888"/>
      <c r="I25" s="1964"/>
      <c r="J25" s="1251"/>
      <c r="K25" s="1888"/>
      <c r="L25" s="1227"/>
      <c r="M25" s="1227"/>
      <c r="N25" s="1227"/>
      <c r="O25" s="1227"/>
      <c r="P25" s="1256"/>
      <c r="Q25" s="1256"/>
      <c r="R25" s="1256"/>
      <c r="S25" s="1256"/>
      <c r="T25" s="1256"/>
    </row>
    <row r="26" spans="1:20">
      <c r="A26" s="1240"/>
      <c r="B26" s="1244" t="s">
        <v>46</v>
      </c>
      <c r="C26" s="1241"/>
      <c r="D26" s="1250"/>
      <c r="E26" s="1241"/>
      <c r="F26" s="1250"/>
      <c r="G26" s="1241"/>
      <c r="H26" s="1250"/>
      <c r="I26" s="1964"/>
      <c r="J26" s="1250"/>
      <c r="K26" s="1251"/>
      <c r="L26" s="1227"/>
      <c r="M26" s="1227"/>
      <c r="N26" s="1227"/>
      <c r="O26" s="1227"/>
      <c r="P26" s="1256"/>
      <c r="Q26" s="1256"/>
      <c r="R26" s="1256"/>
      <c r="S26" s="1256"/>
      <c r="T26" s="1256"/>
    </row>
    <row r="27" spans="1:20">
      <c r="A27" s="1240"/>
      <c r="B27" s="1244" t="s">
        <v>877</v>
      </c>
      <c r="C27" s="1241"/>
      <c r="D27" s="1250"/>
      <c r="E27" s="1241"/>
      <c r="F27" s="1250"/>
      <c r="G27" s="1241"/>
      <c r="H27" s="1250"/>
      <c r="I27" s="1964"/>
      <c r="J27" s="1250"/>
      <c r="K27" s="1251"/>
      <c r="L27" s="1227"/>
      <c r="M27" s="1227"/>
      <c r="N27" s="1227"/>
      <c r="O27" s="1227"/>
      <c r="P27" s="1256"/>
      <c r="Q27" s="1256"/>
      <c r="R27" s="1256"/>
      <c r="S27" s="1256"/>
      <c r="T27" s="1256"/>
    </row>
    <row r="28" spans="1:20">
      <c r="A28" s="1240"/>
      <c r="B28" s="1249" t="s">
        <v>537</v>
      </c>
      <c r="C28" s="1241"/>
      <c r="D28" s="1250">
        <v>0</v>
      </c>
      <c r="E28" s="1241"/>
      <c r="F28" s="1250">
        <v>0</v>
      </c>
      <c r="G28" s="1241"/>
      <c r="H28" s="1250">
        <v>0</v>
      </c>
      <c r="I28" s="1964"/>
      <c r="J28" s="1250"/>
      <c r="K28" s="1251">
        <f>ROUND(SUM(D28:H28),2)</f>
        <v>0</v>
      </c>
      <c r="L28" s="1227"/>
      <c r="M28" s="1227"/>
      <c r="N28" s="1227"/>
      <c r="O28" s="1227"/>
      <c r="P28" s="1256"/>
      <c r="Q28" s="1256"/>
      <c r="R28" s="1256"/>
      <c r="S28" s="1256"/>
      <c r="T28" s="1256"/>
    </row>
    <row r="29" spans="1:20">
      <c r="A29" s="1240"/>
      <c r="B29" s="1249" t="s">
        <v>527</v>
      </c>
      <c r="C29" s="1241"/>
      <c r="D29" s="1250">
        <v>0</v>
      </c>
      <c r="E29" s="1241"/>
      <c r="F29" s="1250">
        <v>0</v>
      </c>
      <c r="G29" s="1241"/>
      <c r="H29" s="1250">
        <v>0</v>
      </c>
      <c r="I29" s="1964"/>
      <c r="J29" s="1250"/>
      <c r="K29" s="1251">
        <f>ROUND(SUM(D29:H29),2)</f>
        <v>0</v>
      </c>
      <c r="L29" s="1227"/>
      <c r="M29" s="1227"/>
      <c r="N29" s="1227"/>
      <c r="O29" s="1227"/>
      <c r="P29" s="1256"/>
      <c r="Q29" s="1256"/>
      <c r="R29" s="1256"/>
      <c r="S29" s="1256"/>
      <c r="T29" s="1256"/>
    </row>
    <row r="30" spans="1:20">
      <c r="A30" s="1240"/>
      <c r="B30" s="1244" t="s">
        <v>524</v>
      </c>
      <c r="C30" s="1241"/>
      <c r="D30" s="1250"/>
      <c r="E30" s="1241"/>
      <c r="F30" s="1250"/>
      <c r="G30" s="1241"/>
      <c r="H30" s="1250"/>
      <c r="I30" s="1964"/>
      <c r="J30" s="1250"/>
      <c r="K30" s="1251"/>
      <c r="L30" s="1227"/>
      <c r="M30" s="1227"/>
      <c r="N30" s="1227"/>
      <c r="O30" s="1227"/>
      <c r="P30" s="1256"/>
      <c r="Q30" s="1256"/>
      <c r="R30" s="1256"/>
      <c r="S30" s="1256"/>
      <c r="T30" s="1256"/>
    </row>
    <row r="31" spans="1:20">
      <c r="A31" s="1240"/>
      <c r="B31" s="1249" t="s">
        <v>538</v>
      </c>
      <c r="C31" s="1241"/>
      <c r="D31" s="1257">
        <v>94314832.560000002</v>
      </c>
      <c r="E31" s="1241"/>
      <c r="F31" s="1257">
        <v>113950116.16999999</v>
      </c>
      <c r="G31" s="1241"/>
      <c r="H31" s="3802">
        <v>23029709.379999999</v>
      </c>
      <c r="I31" s="1968"/>
      <c r="J31" s="1250"/>
      <c r="K31" s="1251">
        <f>ROUND(SUM(D31:H31),2)</f>
        <v>231294658.11000001</v>
      </c>
      <c r="L31" s="1227"/>
      <c r="M31" s="1227"/>
      <c r="N31" s="1227"/>
      <c r="O31" s="1227"/>
      <c r="P31" s="1256"/>
      <c r="Q31" s="1256"/>
      <c r="R31" s="1256"/>
      <c r="S31" s="1256"/>
      <c r="T31" s="1256"/>
    </row>
    <row r="32" spans="1:20">
      <c r="A32" s="1240"/>
      <c r="B32" s="1249" t="s">
        <v>539</v>
      </c>
      <c r="C32" s="1241"/>
      <c r="D32" s="1257">
        <v>-506129.55</v>
      </c>
      <c r="E32" s="1241"/>
      <c r="F32" s="1257">
        <v>16528236.55999998</v>
      </c>
      <c r="G32" s="1241"/>
      <c r="H32" s="3802">
        <v>-2685283.6</v>
      </c>
      <c r="I32" s="1968"/>
      <c r="J32" s="1250"/>
      <c r="K32" s="1251">
        <f>ROUND(SUM(D32:H32),2)</f>
        <v>13336823.41</v>
      </c>
      <c r="L32" s="1227"/>
      <c r="M32" s="1227"/>
      <c r="N32" s="1227"/>
      <c r="O32" s="1227"/>
      <c r="P32" s="1256"/>
      <c r="Q32" s="1256"/>
      <c r="R32" s="1256"/>
      <c r="S32" s="1256"/>
      <c r="T32" s="1256"/>
    </row>
    <row r="33" spans="1:20">
      <c r="A33" s="1240"/>
      <c r="B33" s="1249" t="s">
        <v>540</v>
      </c>
      <c r="C33" s="1241"/>
      <c r="D33" s="1257">
        <v>0</v>
      </c>
      <c r="E33" s="1241"/>
      <c r="F33" s="1257">
        <v>0</v>
      </c>
      <c r="G33" s="1241"/>
      <c r="H33" s="1257">
        <v>0</v>
      </c>
      <c r="I33" s="1968"/>
      <c r="J33" s="1250"/>
      <c r="K33" s="1251">
        <f>ROUND(SUM(D33:H33),2)</f>
        <v>0</v>
      </c>
      <c r="L33" s="1227"/>
      <c r="M33" s="1227"/>
      <c r="N33" s="1227"/>
      <c r="O33" s="1227"/>
      <c r="P33" s="1256"/>
      <c r="Q33" s="1256"/>
      <c r="R33" s="1256"/>
      <c r="S33" s="1256"/>
      <c r="T33" s="1256"/>
    </row>
    <row r="34" spans="1:20">
      <c r="A34" s="1240"/>
      <c r="B34" s="1249" t="s">
        <v>541</v>
      </c>
      <c r="C34" s="1241"/>
      <c r="D34" s="1257">
        <v>94314832.560000002</v>
      </c>
      <c r="E34" s="1241"/>
      <c r="F34" s="1257">
        <v>113950116.15000001</v>
      </c>
      <c r="G34" s="1241"/>
      <c r="H34" s="3803">
        <v>29549535.77</v>
      </c>
      <c r="I34" s="1968"/>
      <c r="J34" s="1250"/>
      <c r="K34" s="1251">
        <f>ROUND(SUM(D34:H34),2)</f>
        <v>237814484.47999999</v>
      </c>
      <c r="L34" s="1227"/>
      <c r="M34" s="1227"/>
      <c r="N34" s="1227"/>
      <c r="O34" s="1227"/>
      <c r="P34" s="1256"/>
      <c r="Q34" s="1256"/>
      <c r="R34" s="1256"/>
      <c r="S34" s="1256"/>
      <c r="T34" s="1256"/>
    </row>
    <row r="35" spans="1:20">
      <c r="A35" s="1240"/>
      <c r="B35" s="1249" t="s">
        <v>536</v>
      </c>
      <c r="C35" s="1241"/>
      <c r="D35" s="1969">
        <v>0</v>
      </c>
      <c r="E35" s="1241"/>
      <c r="F35" s="1969">
        <v>0</v>
      </c>
      <c r="G35" s="1241"/>
      <c r="H35" s="1969">
        <v>0</v>
      </c>
      <c r="I35" s="1968"/>
      <c r="J35" s="1257"/>
      <c r="K35" s="1251">
        <f>ROUND(SUM(D35:H35),2)</f>
        <v>0</v>
      </c>
      <c r="L35" s="1227"/>
      <c r="M35" s="1227"/>
      <c r="N35" s="1227"/>
      <c r="O35" s="1227"/>
      <c r="P35" s="1256"/>
      <c r="Q35" s="1256"/>
      <c r="R35" s="1256"/>
      <c r="S35" s="1256"/>
      <c r="T35" s="1256"/>
    </row>
    <row r="36" spans="1:20" s="1239" customFormat="1">
      <c r="A36" s="1244"/>
      <c r="B36" s="1244" t="s">
        <v>526</v>
      </c>
      <c r="C36" s="1235"/>
      <c r="D36" s="1890">
        <f>ROUND(SUM(D28:D35),2)</f>
        <v>188123535.56999999</v>
      </c>
      <c r="E36" s="1235"/>
      <c r="F36" s="1890">
        <f>ROUND(SUM(F28:F35),2)</f>
        <v>244428468.88</v>
      </c>
      <c r="G36" s="1235"/>
      <c r="H36" s="1890">
        <f>ROUND(SUM(H28:H35),2)</f>
        <v>49893961.549999997</v>
      </c>
      <c r="I36" s="1965"/>
      <c r="J36" s="1252"/>
      <c r="K36" s="1890">
        <f>ROUND(SUM(K28:K35),2)</f>
        <v>482445966</v>
      </c>
      <c r="L36" s="1258"/>
      <c r="M36" s="1258"/>
      <c r="N36" s="1258"/>
      <c r="O36" s="1258"/>
      <c r="P36" s="1259"/>
      <c r="Q36" s="1259"/>
      <c r="R36" s="1259"/>
      <c r="S36" s="1259"/>
      <c r="T36" s="1259"/>
    </row>
    <row r="37" spans="1:20">
      <c r="A37" s="1240"/>
      <c r="B37" s="1240"/>
      <c r="C37" s="1241"/>
      <c r="D37" s="1250"/>
      <c r="E37" s="1241"/>
      <c r="F37" s="1250"/>
      <c r="G37" s="1241"/>
      <c r="H37" s="1250"/>
      <c r="I37" s="1964"/>
      <c r="J37" s="1250"/>
      <c r="K37" s="1251"/>
      <c r="L37" s="1227"/>
      <c r="M37" s="1227"/>
      <c r="N37" s="1227"/>
      <c r="O37" s="1227"/>
      <c r="P37" s="1256"/>
      <c r="Q37" s="1256"/>
      <c r="R37" s="1256"/>
      <c r="S37" s="1256"/>
      <c r="T37" s="1256"/>
    </row>
    <row r="38" spans="1:20">
      <c r="A38" s="1240"/>
      <c r="B38" s="1244" t="s">
        <v>929</v>
      </c>
      <c r="C38" s="1241"/>
      <c r="D38" s="1250"/>
      <c r="E38" s="1241"/>
      <c r="F38" s="1250"/>
      <c r="G38" s="1241"/>
      <c r="H38" s="1250"/>
      <c r="I38" s="1964"/>
      <c r="J38" s="1250"/>
      <c r="K38" s="1251"/>
      <c r="L38" s="1227"/>
      <c r="M38" s="1227"/>
      <c r="N38" s="1227"/>
      <c r="O38" s="1227"/>
      <c r="P38" s="1256"/>
      <c r="Q38" s="1256"/>
      <c r="R38" s="1256"/>
      <c r="S38" s="1256"/>
      <c r="T38" s="1256"/>
    </row>
    <row r="39" spans="1:20">
      <c r="A39" s="1240"/>
      <c r="B39" s="1240" t="s">
        <v>537</v>
      </c>
      <c r="C39" s="1241"/>
      <c r="D39" s="1260">
        <v>0</v>
      </c>
      <c r="E39" s="1241"/>
      <c r="F39" s="1260">
        <v>0</v>
      </c>
      <c r="G39" s="1241"/>
      <c r="H39" s="1260">
        <v>0</v>
      </c>
      <c r="I39" s="1970"/>
      <c r="J39" s="1260"/>
      <c r="K39" s="1251">
        <f>ROUND(SUM(D39:H39),2)</f>
        <v>0</v>
      </c>
      <c r="L39" s="1227"/>
      <c r="M39" s="1227"/>
      <c r="N39" s="1227"/>
      <c r="O39" s="1227"/>
      <c r="P39" s="1256"/>
      <c r="Q39" s="1256"/>
      <c r="R39" s="1256"/>
      <c r="S39" s="1256"/>
      <c r="T39" s="1256"/>
    </row>
    <row r="40" spans="1:20">
      <c r="A40" s="1240"/>
      <c r="B40" s="1240" t="s">
        <v>527</v>
      </c>
      <c r="C40" s="1241"/>
      <c r="D40" s="1251">
        <v>0</v>
      </c>
      <c r="E40" s="1241"/>
      <c r="F40" s="1251">
        <v>0</v>
      </c>
      <c r="G40" s="1241"/>
      <c r="H40" s="1251">
        <v>0</v>
      </c>
      <c r="I40" s="1964"/>
      <c r="J40" s="1251"/>
      <c r="K40" s="1251">
        <f>ROUND(SUM(D40:H40),2)</f>
        <v>0</v>
      </c>
      <c r="L40" s="1227"/>
      <c r="M40" s="1227"/>
      <c r="N40" s="1227"/>
      <c r="O40" s="1227"/>
      <c r="P40" s="1256"/>
      <c r="Q40" s="1256"/>
      <c r="R40" s="1256"/>
      <c r="S40" s="1256"/>
      <c r="T40" s="1256"/>
    </row>
    <row r="41" spans="1:20">
      <c r="A41" s="1240"/>
      <c r="B41" s="1244" t="s">
        <v>930</v>
      </c>
      <c r="C41" s="1241"/>
      <c r="D41" s="1250"/>
      <c r="E41" s="1241"/>
      <c r="F41" s="1250"/>
      <c r="G41" s="1241"/>
      <c r="H41" s="1250"/>
      <c r="I41" s="1964"/>
      <c r="J41" s="1250"/>
      <c r="K41" s="1251"/>
      <c r="L41" s="1227"/>
      <c r="M41" s="1227"/>
      <c r="N41" s="1227"/>
      <c r="O41" s="1227"/>
      <c r="P41" s="1256"/>
      <c r="Q41" s="1256"/>
      <c r="R41" s="1256"/>
      <c r="S41" s="1256"/>
      <c r="T41" s="1256"/>
    </row>
    <row r="42" spans="1:20">
      <c r="A42" s="1240"/>
      <c r="B42" s="1249" t="s">
        <v>542</v>
      </c>
      <c r="C42" s="1241"/>
      <c r="D42" s="1251">
        <v>-1660.3</v>
      </c>
      <c r="E42" s="1243"/>
      <c r="F42" s="1251">
        <f>-262.24-169.31</f>
        <v>-431.55</v>
      </c>
      <c r="G42" s="1243"/>
      <c r="H42" s="1251">
        <v>-1198.54</v>
      </c>
      <c r="I42" s="1964"/>
      <c r="J42" s="1250"/>
      <c r="K42" s="1251">
        <f>ROUND(SUM(D42:H42),2)</f>
        <v>-3290.39</v>
      </c>
      <c r="L42" s="1227"/>
      <c r="M42" s="1227"/>
      <c r="N42" s="1227"/>
      <c r="O42" s="1227"/>
      <c r="P42" s="1256"/>
      <c r="Q42" s="1256"/>
      <c r="R42" s="1256"/>
      <c r="S42" s="1256"/>
      <c r="T42" s="1256"/>
    </row>
    <row r="43" spans="1:20">
      <c r="A43" s="1240"/>
      <c r="B43" s="3894" t="s">
        <v>1562</v>
      </c>
      <c r="C43" s="1241"/>
      <c r="D43" s="1971">
        <v>0</v>
      </c>
      <c r="E43" s="1241"/>
      <c r="F43" s="1971">
        <v>-2596722.41</v>
      </c>
      <c r="G43" s="1241"/>
      <c r="H43" s="1971">
        <v>-362.09</v>
      </c>
      <c r="I43" s="1964"/>
      <c r="J43" s="1250"/>
      <c r="K43" s="1251">
        <f>ROUND(SUM(D43:H43),2)</f>
        <v>-2597084.5</v>
      </c>
      <c r="L43" s="1227"/>
      <c r="M43" s="1227"/>
      <c r="N43" s="1227"/>
      <c r="O43" s="1227"/>
      <c r="P43" s="1256"/>
      <c r="Q43" s="1256"/>
      <c r="R43" s="1256"/>
      <c r="S43" s="1256"/>
      <c r="T43" s="1256"/>
    </row>
    <row r="44" spans="1:20" s="1239" customFormat="1">
      <c r="A44" s="1244"/>
      <c r="B44" s="1244" t="s">
        <v>528</v>
      </c>
      <c r="C44" s="1235"/>
      <c r="D44" s="1890">
        <f>ROUND(SUM(D39:D43),2)</f>
        <v>-1660.3</v>
      </c>
      <c r="E44" s="1235"/>
      <c r="F44" s="1890">
        <f>SUM(F39:F43)</f>
        <v>-2597153.96</v>
      </c>
      <c r="G44" s="1235"/>
      <c r="H44" s="1890">
        <f>ROUND(SUM(H39:H43),2)</f>
        <v>-1560.63</v>
      </c>
      <c r="I44" s="1965"/>
      <c r="J44" s="1252"/>
      <c r="K44" s="1890">
        <f>SUM(K39:K43)</f>
        <v>-2600374.89</v>
      </c>
      <c r="L44" s="1258"/>
      <c r="M44" s="1258"/>
      <c r="N44" s="1258"/>
      <c r="O44" s="1258"/>
      <c r="P44" s="1259"/>
      <c r="Q44" s="1259"/>
      <c r="R44" s="1259"/>
      <c r="S44" s="1259"/>
      <c r="T44" s="1259"/>
    </row>
    <row r="45" spans="1:20">
      <c r="A45" s="1240"/>
      <c r="B45" s="1240"/>
      <c r="C45" s="1241"/>
      <c r="D45" s="1250"/>
      <c r="E45" s="1241"/>
      <c r="F45" s="1250"/>
      <c r="G45" s="1241"/>
      <c r="H45" s="1250"/>
      <c r="I45" s="1964"/>
      <c r="J45" s="1250"/>
      <c r="K45" s="1251"/>
      <c r="L45" s="1227"/>
      <c r="M45" s="1227"/>
      <c r="N45" s="1227"/>
      <c r="O45" s="1227"/>
      <c r="P45" s="1256"/>
      <c r="Q45" s="1256"/>
      <c r="R45" s="1256"/>
      <c r="S45" s="1256"/>
      <c r="T45" s="1256"/>
    </row>
    <row r="46" spans="1:20">
      <c r="A46" s="1240"/>
      <c r="B46" s="1244" t="s">
        <v>543</v>
      </c>
      <c r="C46" s="1241"/>
      <c r="D46" s="1250"/>
      <c r="E46" s="1241"/>
      <c r="F46" s="1250"/>
      <c r="G46" s="1241"/>
      <c r="H46" s="1250"/>
      <c r="I46" s="1964"/>
      <c r="J46" s="1250"/>
      <c r="K46" s="1251"/>
      <c r="L46" s="1227"/>
      <c r="M46" s="1227"/>
      <c r="N46" s="1227"/>
      <c r="O46" s="1227"/>
      <c r="P46" s="1256"/>
      <c r="Q46" s="1256"/>
      <c r="R46" s="1256"/>
      <c r="S46" s="1256"/>
      <c r="T46" s="1256"/>
    </row>
    <row r="47" spans="1:20">
      <c r="A47" s="1240"/>
      <c r="B47" s="1244" t="s">
        <v>544</v>
      </c>
      <c r="C47" s="1241"/>
      <c r="D47" s="1966">
        <f>ROUND(+D24+D36+D44,2)</f>
        <v>-499.32</v>
      </c>
      <c r="E47" s="1241"/>
      <c r="F47" s="1966">
        <f>ROUND(+F24+F36+F44,2)</f>
        <v>332958.14</v>
      </c>
      <c r="G47" s="1241"/>
      <c r="H47" s="1966">
        <f>ROUND(+H24+H36+H44,2)</f>
        <v>-332964.34999999998</v>
      </c>
      <c r="I47" s="1967"/>
      <c r="J47" s="1255"/>
      <c r="K47" s="1966">
        <f>ROUND(+K24+K36+K44,2)</f>
        <v>-505.53</v>
      </c>
      <c r="L47" s="1227"/>
      <c r="M47" s="1227"/>
      <c r="N47" s="1227"/>
      <c r="O47" s="1227"/>
      <c r="P47" s="1256"/>
      <c r="Q47" s="1256"/>
      <c r="R47" s="1256"/>
      <c r="S47" s="1256"/>
      <c r="T47" s="1256"/>
    </row>
    <row r="48" spans="1:20">
      <c r="A48" s="1240"/>
      <c r="B48" s="1240"/>
      <c r="C48" s="1241"/>
      <c r="D48" s="1241"/>
      <c r="E48" s="1241"/>
      <c r="F48" s="1241"/>
      <c r="G48" s="1241"/>
      <c r="H48" s="1241"/>
      <c r="I48" s="1963"/>
      <c r="J48" s="1241"/>
      <c r="K48" s="1261"/>
      <c r="L48" s="1227"/>
      <c r="M48" s="1227"/>
      <c r="N48" s="1227"/>
      <c r="O48" s="1227"/>
      <c r="P48" s="1256"/>
      <c r="Q48" s="1256"/>
      <c r="R48" s="1256"/>
      <c r="S48" s="1256"/>
      <c r="T48" s="1256"/>
    </row>
    <row r="49" spans="1:45" s="1239" customFormat="1" ht="16" thickBot="1">
      <c r="A49" s="1244"/>
      <c r="B49" s="1244" t="s">
        <v>531</v>
      </c>
      <c r="C49" s="1262"/>
      <c r="D49" s="1891">
        <f>ROUND(D12+D47,2)</f>
        <v>169.31</v>
      </c>
      <c r="E49" s="1262"/>
      <c r="F49" s="1891">
        <f>ROUND(F12+F47,2)</f>
        <v>333127.45</v>
      </c>
      <c r="G49" s="1262"/>
      <c r="H49" s="1891">
        <f>ROUND(H12+H47,2)</f>
        <v>163.1</v>
      </c>
      <c r="I49" s="1972"/>
      <c r="J49" s="1263"/>
      <c r="K49" s="1891">
        <f>ROUND(K12+K47,2)</f>
        <v>163.1</v>
      </c>
      <c r="L49" s="1238"/>
      <c r="M49" s="1238"/>
      <c r="N49" s="1238"/>
      <c r="O49" s="1238"/>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row>
    <row r="50" spans="1:45" ht="16" thickTop="1">
      <c r="A50" s="1240"/>
      <c r="B50" s="1240" t="s">
        <v>15</v>
      </c>
      <c r="C50" s="1241"/>
      <c r="D50" s="1241"/>
      <c r="E50" s="1241"/>
      <c r="F50" s="1241"/>
      <c r="G50" s="1241"/>
      <c r="H50" s="1241"/>
      <c r="I50" s="1241"/>
      <c r="J50" s="1241"/>
      <c r="K50" s="1241"/>
    </row>
    <row r="51" spans="1:45">
      <c r="B51" s="1265" t="s">
        <v>532</v>
      </c>
    </row>
    <row r="52" spans="1:45">
      <c r="B52" s="1266"/>
    </row>
    <row r="60" spans="1:45">
      <c r="B60" s="1267"/>
      <c r="C60" s="1268"/>
      <c r="D60" s="1268"/>
      <c r="E60" s="1268"/>
      <c r="F60" s="1268"/>
      <c r="G60" s="1268"/>
      <c r="H60" s="1268"/>
      <c r="I60" s="1268"/>
      <c r="J60" s="1268"/>
    </row>
    <row r="62" spans="1:45">
      <c r="B62" s="1269"/>
      <c r="C62" s="1238"/>
      <c r="E62" s="1238"/>
      <c r="G62" s="1238"/>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69140625" defaultRowHeight="12.5"/>
  <cols>
    <col min="1" max="1" width="54.69140625" style="410" customWidth="1"/>
    <col min="2" max="2" width="1.69140625" style="410" customWidth="1"/>
    <col min="3" max="3" width="10.69140625" style="410" customWidth="1"/>
    <col min="4" max="4" width="1.69140625" style="410" customWidth="1"/>
    <col min="5" max="5" width="10.69140625" style="410" customWidth="1"/>
    <col min="6" max="6" width="1.69140625" style="410" customWidth="1"/>
    <col min="7" max="7" width="10.69140625" style="410" customWidth="1"/>
    <col min="8" max="8" width="1.69140625" style="410" customWidth="1"/>
    <col min="9" max="9" width="10.69140625" style="410" customWidth="1"/>
    <col min="10" max="10" width="1.69140625" style="410" customWidth="1"/>
    <col min="11" max="11" width="10.69140625" style="410" customWidth="1"/>
    <col min="12" max="12" width="1.69140625" style="410" customWidth="1"/>
    <col min="13" max="13" width="14.69140625" style="410" bestFit="1" customWidth="1"/>
    <col min="14" max="14" width="1.69140625" style="410" customWidth="1"/>
    <col min="15" max="15" width="10.69140625" style="410" customWidth="1"/>
    <col min="16" max="16" width="1.69140625" style="410" customWidth="1"/>
    <col min="17" max="17" width="13.53515625" style="410" bestFit="1" customWidth="1"/>
    <col min="18" max="18" width="1.69140625" style="410" customWidth="1"/>
    <col min="19" max="19" width="13.53515625" style="410" bestFit="1" customWidth="1"/>
    <col min="20" max="20" width="1.69140625" style="410" customWidth="1"/>
    <col min="21" max="21" width="11" style="410" customWidth="1"/>
    <col min="22" max="22" width="1.69140625" style="410" customWidth="1"/>
    <col min="23" max="23" width="10.69140625" style="410" customWidth="1"/>
    <col min="24" max="24" width="1.69140625" style="410" customWidth="1"/>
    <col min="25" max="25" width="10.69140625" style="410" customWidth="1"/>
    <col min="26" max="26" width="1.69140625" style="410" customWidth="1"/>
    <col min="27" max="27" width="14.07421875" style="414" customWidth="1"/>
    <col min="28" max="28" width="3.69140625" style="410" customWidth="1"/>
    <col min="29" max="29" width="5.69140625" style="410" customWidth="1"/>
    <col min="30" max="30" width="10.07421875" style="410" customWidth="1"/>
    <col min="31" max="31" width="2.69140625" style="410" customWidth="1"/>
    <col min="32" max="16384" width="8.69140625" style="410"/>
  </cols>
  <sheetData>
    <row r="1" spans="1:29" ht="15.5">
      <c r="A1" s="642" t="s">
        <v>963</v>
      </c>
    </row>
    <row r="2" spans="1:29" ht="20">
      <c r="A2" s="407"/>
      <c r="B2" s="1218"/>
      <c r="C2" s="1218"/>
      <c r="D2" s="1218"/>
      <c r="E2" s="1218"/>
      <c r="F2" s="1218"/>
      <c r="G2" s="1218"/>
      <c r="H2" s="1218"/>
      <c r="I2" s="1218"/>
      <c r="J2" s="1218"/>
      <c r="K2" s="1218"/>
      <c r="L2" s="408"/>
      <c r="M2" s="408"/>
      <c r="N2" s="1218"/>
      <c r="O2" s="1218"/>
      <c r="P2" s="1218"/>
      <c r="Q2" s="1218"/>
      <c r="R2" s="1218"/>
      <c r="S2" s="1218"/>
      <c r="T2" s="1218"/>
      <c r="U2" s="1218"/>
      <c r="V2" s="1218"/>
      <c r="W2" s="1218"/>
      <c r="X2" s="1218"/>
      <c r="Y2" s="1218"/>
      <c r="Z2" s="1218"/>
      <c r="AA2" s="1219"/>
      <c r="AB2" s="1218"/>
      <c r="AC2" s="409"/>
    </row>
    <row r="3" spans="1:29" ht="15.5">
      <c r="A3"/>
      <c r="B3" s="643"/>
      <c r="C3" s="643"/>
      <c r="D3" s="643"/>
      <c r="E3" s="643"/>
      <c r="F3" s="643"/>
      <c r="G3" s="643"/>
      <c r="H3" s="643"/>
      <c r="I3" s="643"/>
      <c r="J3" s="643"/>
      <c r="K3" s="643"/>
      <c r="L3"/>
      <c r="M3" s="643"/>
      <c r="N3" s="643"/>
      <c r="O3" s="643"/>
      <c r="P3" s="643"/>
      <c r="Q3" s="643"/>
      <c r="R3" s="643"/>
      <c r="S3" s="643"/>
      <c r="T3" s="643"/>
      <c r="U3" s="643"/>
      <c r="V3" s="643"/>
      <c r="W3" s="643"/>
      <c r="X3" s="643"/>
      <c r="Y3" s="643"/>
      <c r="Z3" s="643"/>
      <c r="AA3" s="410"/>
      <c r="AB3" s="1218"/>
      <c r="AC3" s="409"/>
    </row>
    <row r="4" spans="1:29" ht="20">
      <c r="A4" s="649" t="s">
        <v>0</v>
      </c>
      <c r="B4" s="643"/>
      <c r="C4" s="643"/>
      <c r="D4" s="643"/>
      <c r="E4" s="643"/>
      <c r="F4" s="643"/>
      <c r="G4" s="643"/>
      <c r="H4" s="643"/>
      <c r="I4" s="643"/>
      <c r="J4" s="643"/>
      <c r="K4" s="643"/>
      <c r="L4"/>
      <c r="M4" s="643"/>
      <c r="N4" s="643"/>
      <c r="O4" s="643"/>
      <c r="P4" s="643"/>
      <c r="Q4" s="643"/>
      <c r="R4" s="643"/>
      <c r="S4" s="643"/>
      <c r="T4" s="643"/>
      <c r="U4" s="643"/>
      <c r="V4" s="643"/>
      <c r="W4" s="643"/>
      <c r="X4" s="643"/>
      <c r="Y4" s="643"/>
      <c r="Z4" s="643"/>
      <c r="AA4" s="1220" t="s">
        <v>533</v>
      </c>
      <c r="AB4" s="1218"/>
      <c r="AC4" s="409"/>
    </row>
    <row r="5" spans="1:29" s="409" customFormat="1" ht="18">
      <c r="A5" s="649" t="s">
        <v>546</v>
      </c>
      <c r="B5" s="644"/>
      <c r="C5" s="644"/>
      <c r="D5" s="644"/>
      <c r="E5" s="644"/>
      <c r="F5" s="644"/>
      <c r="G5" s="644"/>
      <c r="H5" s="644"/>
      <c r="I5" s="644"/>
      <c r="J5" s="643"/>
      <c r="K5" s="643"/>
      <c r="L5" s="643"/>
      <c r="M5" s="643"/>
      <c r="N5" s="643"/>
      <c r="O5" s="643"/>
      <c r="P5" s="643"/>
      <c r="Q5" s="643"/>
      <c r="R5" s="643"/>
      <c r="S5" s="643"/>
      <c r="T5" s="643"/>
      <c r="U5" s="643"/>
      <c r="V5" s="643"/>
      <c r="W5" s="643"/>
      <c r="X5" s="643"/>
      <c r="Y5" s="643"/>
      <c r="Z5" s="643"/>
      <c r="AA5" s="643"/>
      <c r="AB5" s="1218"/>
    </row>
    <row r="6" spans="1:29" s="409" customFormat="1" ht="18">
      <c r="A6" s="224" t="s">
        <v>1468</v>
      </c>
      <c r="B6" s="644"/>
      <c r="C6" s="644"/>
      <c r="D6" s="644"/>
      <c r="E6" s="644"/>
      <c r="F6" s="644"/>
      <c r="G6" s="644"/>
      <c r="H6" s="644"/>
      <c r="I6" s="644"/>
      <c r="J6" s="643"/>
      <c r="K6" s="643"/>
      <c r="L6" s="643"/>
      <c r="M6" s="643"/>
      <c r="N6" s="643"/>
      <c r="O6" s="643"/>
      <c r="P6" s="643"/>
      <c r="Q6" s="643"/>
      <c r="R6" s="643"/>
      <c r="S6" s="643"/>
      <c r="T6" s="643"/>
      <c r="U6" s="643"/>
      <c r="V6" s="643"/>
      <c r="W6" s="643"/>
      <c r="X6" s="643"/>
      <c r="Y6" s="643"/>
      <c r="Z6" s="643"/>
      <c r="AA6" s="643"/>
      <c r="AB6" s="1218"/>
    </row>
    <row r="7" spans="1:29" s="409" customFormat="1" ht="18">
      <c r="A7" s="649" t="s">
        <v>1370</v>
      </c>
      <c r="B7" s="645"/>
      <c r="C7" s="645"/>
      <c r="D7" s="645"/>
      <c r="E7" s="645"/>
      <c r="F7" s="645"/>
      <c r="G7" s="645"/>
      <c r="H7" s="645"/>
      <c r="I7" s="645"/>
      <c r="J7"/>
      <c r="K7"/>
      <c r="L7"/>
      <c r="M7"/>
      <c r="N7"/>
      <c r="O7"/>
      <c r="P7"/>
      <c r="Q7"/>
      <c r="R7" s="643"/>
      <c r="S7" s="643"/>
      <c r="T7" s="643"/>
      <c r="U7" s="643"/>
      <c r="V7" s="643"/>
      <c r="W7" s="643"/>
      <c r="X7" s="643"/>
      <c r="Y7" s="643"/>
      <c r="Z7" s="643"/>
      <c r="AA7"/>
      <c r="AB7" s="1218"/>
    </row>
    <row r="8" spans="1:29" s="409" customFormat="1" ht="15.5">
      <c r="A8" s="646"/>
      <c r="B8" s="645"/>
      <c r="C8" s="764"/>
      <c r="D8" s="764"/>
      <c r="E8" s="764"/>
      <c r="F8" s="764"/>
      <c r="G8" s="764"/>
      <c r="H8" s="764"/>
      <c r="I8" s="764"/>
      <c r="J8" s="664"/>
      <c r="K8" s="664"/>
      <c r="L8" s="664"/>
      <c r="M8" s="664"/>
      <c r="N8" s="664"/>
      <c r="O8" s="664"/>
      <c r="P8" s="664"/>
      <c r="Q8" s="664"/>
      <c r="R8" s="664"/>
      <c r="S8" s="664"/>
      <c r="T8" s="664"/>
      <c r="U8" s="664"/>
      <c r="V8" s="664"/>
      <c r="W8" s="664"/>
      <c r="X8" s="664"/>
      <c r="Y8" s="664"/>
      <c r="Z8" s="664"/>
      <c r="AA8" s="664"/>
      <c r="AB8" s="1218"/>
    </row>
    <row r="9" spans="1:29" s="409" customFormat="1" ht="15.5">
      <c r="A9" s="643"/>
      <c r="B9" s="643"/>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1218"/>
    </row>
    <row r="10" spans="1:29" s="409" customFormat="1" ht="18">
      <c r="A10" s="643"/>
      <c r="B10" s="663"/>
      <c r="C10" s="765">
        <v>2020</v>
      </c>
      <c r="D10" s="765" t="s">
        <v>15</v>
      </c>
      <c r="E10" s="765">
        <v>2020</v>
      </c>
      <c r="F10" s="765" t="s">
        <v>15</v>
      </c>
      <c r="G10" s="765">
        <v>2020</v>
      </c>
      <c r="H10" s="765" t="s">
        <v>15</v>
      </c>
      <c r="I10" s="765">
        <v>2020</v>
      </c>
      <c r="J10" s="765" t="s">
        <v>15</v>
      </c>
      <c r="K10" s="765">
        <v>2020</v>
      </c>
      <c r="L10" s="765" t="s">
        <v>15</v>
      </c>
      <c r="M10" s="765">
        <v>2020</v>
      </c>
      <c r="N10" s="765" t="s">
        <v>15</v>
      </c>
      <c r="O10" s="765">
        <v>2020</v>
      </c>
      <c r="P10" s="765" t="s">
        <v>15</v>
      </c>
      <c r="Q10" s="765">
        <v>2020</v>
      </c>
      <c r="R10" s="765" t="s">
        <v>15</v>
      </c>
      <c r="S10" s="765">
        <v>2020</v>
      </c>
      <c r="T10" s="765"/>
      <c r="U10" s="765">
        <v>2021</v>
      </c>
      <c r="V10" s="765"/>
      <c r="W10" s="765">
        <v>2021</v>
      </c>
      <c r="X10" s="765"/>
      <c r="Y10" s="765">
        <v>2021</v>
      </c>
      <c r="Z10" s="649"/>
      <c r="AA10" s="766" t="s">
        <v>1469</v>
      </c>
      <c r="AB10" s="1221"/>
    </row>
    <row r="11" spans="1:29" s="409" customFormat="1" ht="18">
      <c r="A11" s="643"/>
      <c r="B11" s="663"/>
      <c r="C11" s="2152" t="s">
        <v>124</v>
      </c>
      <c r="D11" s="766"/>
      <c r="E11" s="2152" t="s">
        <v>125</v>
      </c>
      <c r="F11" s="766"/>
      <c r="G11" s="2152" t="s">
        <v>126</v>
      </c>
      <c r="H11" s="766"/>
      <c r="I11" s="2152" t="s">
        <v>127</v>
      </c>
      <c r="J11" s="766"/>
      <c r="K11" s="2152" t="s">
        <v>128</v>
      </c>
      <c r="L11" s="766"/>
      <c r="M11" s="2152" t="s">
        <v>143</v>
      </c>
      <c r="N11" s="766"/>
      <c r="O11" s="2152" t="s">
        <v>144</v>
      </c>
      <c r="P11" s="766"/>
      <c r="Q11" s="2152" t="s">
        <v>131</v>
      </c>
      <c r="R11" s="766"/>
      <c r="S11" s="2152" t="s">
        <v>132</v>
      </c>
      <c r="T11" s="766"/>
      <c r="U11" s="2152" t="s">
        <v>133</v>
      </c>
      <c r="V11" s="766"/>
      <c r="W11" s="2152" t="s">
        <v>134</v>
      </c>
      <c r="X11" s="766"/>
      <c r="Y11" s="2152" t="s">
        <v>185</v>
      </c>
      <c r="Z11" s="649"/>
      <c r="AA11" s="2152" t="s">
        <v>547</v>
      </c>
      <c r="AB11" s="1218"/>
    </row>
    <row r="12" spans="1:29" s="409" customFormat="1" ht="17.5">
      <c r="A12"/>
      <c r="B12" s="663"/>
      <c r="C12" s="663"/>
      <c r="D12" s="663"/>
      <c r="E12" s="663"/>
      <c r="F12" s="663"/>
      <c r="G12" s="663"/>
      <c r="H12" s="663"/>
      <c r="I12" s="663"/>
      <c r="J12" s="663"/>
      <c r="K12" s="663"/>
      <c r="L12" s="663"/>
      <c r="M12" s="663"/>
      <c r="N12" s="663"/>
      <c r="O12" s="663"/>
      <c r="P12" s="663"/>
      <c r="Q12" s="663"/>
      <c r="R12" s="663"/>
      <c r="S12" s="663"/>
      <c r="T12" s="663"/>
      <c r="U12" s="663"/>
      <c r="V12" s="663"/>
      <c r="W12" s="663"/>
      <c r="X12" s="663"/>
      <c r="Y12" s="663"/>
      <c r="Z12" s="663"/>
      <c r="AA12" s="663"/>
      <c r="AB12" s="1880"/>
      <c r="AC12" s="1881"/>
    </row>
    <row r="13" spans="1:29" s="411" customFormat="1" ht="17.5">
      <c r="A13" s="664" t="s">
        <v>548</v>
      </c>
      <c r="B13" s="663"/>
      <c r="C13" s="663"/>
      <c r="D13" s="663"/>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1880"/>
      <c r="AC13" s="1882"/>
    </row>
    <row r="14" spans="1:29" s="411" customFormat="1" ht="17.5">
      <c r="A14" s="643" t="s">
        <v>549</v>
      </c>
      <c r="B14" s="663"/>
      <c r="C14" s="789">
        <v>0</v>
      </c>
      <c r="D14" s="789"/>
      <c r="E14" s="789">
        <v>0</v>
      </c>
      <c r="F14" s="789"/>
      <c r="G14" s="2164">
        <v>0</v>
      </c>
      <c r="H14" s="789"/>
      <c r="I14" s="3791">
        <v>0</v>
      </c>
      <c r="J14" s="790"/>
      <c r="K14" s="2164">
        <v>15</v>
      </c>
      <c r="L14" s="789"/>
      <c r="M14" s="2164">
        <v>0</v>
      </c>
      <c r="N14" s="790"/>
      <c r="O14" s="2164">
        <v>0</v>
      </c>
      <c r="P14" s="790"/>
      <c r="Q14" s="2164"/>
      <c r="R14" s="790"/>
      <c r="S14" s="2164"/>
      <c r="T14" s="790"/>
      <c r="U14" s="2164"/>
      <c r="V14" s="790"/>
      <c r="W14" s="2164"/>
      <c r="X14" s="790"/>
      <c r="Y14" s="2164"/>
      <c r="Z14" s="663"/>
      <c r="AA14" s="3007">
        <f>ROUND(SUM(C14:Z14),0)</f>
        <v>15</v>
      </c>
      <c r="AB14" s="1880"/>
      <c r="AC14" s="1882"/>
    </row>
    <row r="15" spans="1:29" s="411" customFormat="1" ht="17.5">
      <c r="A15" s="643" t="s">
        <v>550</v>
      </c>
      <c r="B15" s="663"/>
      <c r="C15" s="791">
        <v>427</v>
      </c>
      <c r="D15" s="792"/>
      <c r="E15" s="792">
        <v>2157</v>
      </c>
      <c r="F15" s="792"/>
      <c r="G15" s="795">
        <v>1567</v>
      </c>
      <c r="H15" s="792"/>
      <c r="I15" s="3792">
        <v>17</v>
      </c>
      <c r="J15" s="793"/>
      <c r="K15" s="795">
        <v>0</v>
      </c>
      <c r="L15" s="792"/>
      <c r="M15" s="795">
        <v>649</v>
      </c>
      <c r="N15" s="793"/>
      <c r="O15" s="795">
        <v>0</v>
      </c>
      <c r="P15" s="793"/>
      <c r="Q15" s="795"/>
      <c r="R15" s="793"/>
      <c r="S15" s="795"/>
      <c r="T15" s="793"/>
      <c r="U15" s="795"/>
      <c r="V15" s="793"/>
      <c r="W15" s="795"/>
      <c r="X15" s="793"/>
      <c r="Y15" s="795"/>
      <c r="Z15" s="663"/>
      <c r="AA15" s="1473">
        <f t="shared" ref="AA15:AA24" si="0">ROUND(SUM(C15:Z15),0)</f>
        <v>4817</v>
      </c>
      <c r="AB15" s="1880"/>
      <c r="AC15" s="1882"/>
    </row>
    <row r="16" spans="1:29" s="411" customFormat="1" ht="17.5">
      <c r="A16" s="643" t="s">
        <v>551</v>
      </c>
      <c r="B16" s="663"/>
      <c r="C16" s="791">
        <v>-1</v>
      </c>
      <c r="D16" s="792"/>
      <c r="E16" s="792">
        <v>0</v>
      </c>
      <c r="F16" s="792"/>
      <c r="G16" s="795">
        <v>59</v>
      </c>
      <c r="H16" s="792"/>
      <c r="I16" s="3792">
        <v>0</v>
      </c>
      <c r="J16" s="793"/>
      <c r="K16" s="795">
        <v>0</v>
      </c>
      <c r="L16" s="792"/>
      <c r="M16" s="795">
        <v>0</v>
      </c>
      <c r="N16" s="793"/>
      <c r="O16" s="795">
        <v>0</v>
      </c>
      <c r="P16" s="793"/>
      <c r="Q16" s="795"/>
      <c r="R16" s="793"/>
      <c r="S16" s="795"/>
      <c r="T16" s="793"/>
      <c r="U16" s="795"/>
      <c r="V16" s="793"/>
      <c r="W16" s="795"/>
      <c r="X16" s="793"/>
      <c r="Y16" s="795"/>
      <c r="Z16" s="663"/>
      <c r="AA16" s="1473">
        <f t="shared" si="0"/>
        <v>58</v>
      </c>
      <c r="AB16" s="1222"/>
      <c r="AC16" s="1882"/>
    </row>
    <row r="17" spans="1:29" s="411" customFormat="1" ht="17.5">
      <c r="A17" s="643" t="s">
        <v>987</v>
      </c>
      <c r="B17" s="663"/>
      <c r="C17" s="795">
        <v>0</v>
      </c>
      <c r="D17" s="792"/>
      <c r="E17" s="794">
        <v>0</v>
      </c>
      <c r="F17" s="792"/>
      <c r="G17" s="794">
        <v>0</v>
      </c>
      <c r="H17" s="792"/>
      <c r="I17" s="3793">
        <v>0</v>
      </c>
      <c r="J17" s="793"/>
      <c r="K17" s="794">
        <v>0</v>
      </c>
      <c r="L17" s="792"/>
      <c r="M17" s="794">
        <v>0</v>
      </c>
      <c r="N17" s="793"/>
      <c r="O17" s="794">
        <v>0</v>
      </c>
      <c r="P17" s="793"/>
      <c r="Q17" s="794"/>
      <c r="R17" s="793"/>
      <c r="S17" s="794"/>
      <c r="T17" s="793"/>
      <c r="U17" s="794"/>
      <c r="V17" s="793"/>
      <c r="W17" s="794"/>
      <c r="X17" s="793"/>
      <c r="Y17" s="794"/>
      <c r="Z17" s="663"/>
      <c r="AA17" s="1473">
        <f t="shared" si="0"/>
        <v>0</v>
      </c>
      <c r="AB17" s="1222"/>
      <c r="AC17" s="1882"/>
    </row>
    <row r="18" spans="1:29" s="411" customFormat="1" ht="17.5">
      <c r="A18" s="643" t="s">
        <v>552</v>
      </c>
      <c r="B18" s="663"/>
      <c r="C18" s="792"/>
      <c r="D18" s="792"/>
      <c r="E18" s="796"/>
      <c r="F18" s="792"/>
      <c r="G18" s="796"/>
      <c r="H18" s="792"/>
      <c r="I18" s="3794"/>
      <c r="J18" s="793"/>
      <c r="K18" s="796"/>
      <c r="L18" s="792"/>
      <c r="M18" s="796"/>
      <c r="N18" s="793"/>
      <c r="O18" s="796"/>
      <c r="P18" s="793"/>
      <c r="Q18" s="796"/>
      <c r="R18" s="793"/>
      <c r="S18" s="796"/>
      <c r="T18" s="793"/>
      <c r="U18" s="796"/>
      <c r="V18" s="793"/>
      <c r="W18" s="796"/>
      <c r="X18" s="793"/>
      <c r="Y18" s="796"/>
      <c r="Z18" s="663"/>
      <c r="AA18" s="1473"/>
      <c r="AB18" s="1222"/>
      <c r="AC18" s="1882"/>
    </row>
    <row r="19" spans="1:29" s="411" customFormat="1" ht="17.5">
      <c r="A19" s="643" t="s">
        <v>993</v>
      </c>
      <c r="B19" s="663"/>
      <c r="C19" s="791">
        <v>525</v>
      </c>
      <c r="D19" s="792"/>
      <c r="E19" s="792">
        <v>0</v>
      </c>
      <c r="F19" s="792"/>
      <c r="G19" s="795">
        <v>454</v>
      </c>
      <c r="H19" s="792"/>
      <c r="I19" s="3792">
        <v>444</v>
      </c>
      <c r="J19" s="793"/>
      <c r="K19" s="795">
        <v>323</v>
      </c>
      <c r="L19" s="792"/>
      <c r="M19" s="795">
        <v>148</v>
      </c>
      <c r="N19" s="793"/>
      <c r="O19" s="795">
        <v>14</v>
      </c>
      <c r="P19" s="793"/>
      <c r="Q19" s="795"/>
      <c r="R19" s="793"/>
      <c r="S19" s="795"/>
      <c r="T19" s="793"/>
      <c r="U19" s="795"/>
      <c r="V19" s="793"/>
      <c r="W19" s="795"/>
      <c r="X19" s="793"/>
      <c r="Y19" s="795"/>
      <c r="Z19" s="663"/>
      <c r="AA19" s="1473">
        <f t="shared" si="0"/>
        <v>1908</v>
      </c>
      <c r="AB19" s="1222"/>
      <c r="AC19" s="1882"/>
    </row>
    <row r="20" spans="1:29" s="411" customFormat="1" ht="17.5">
      <c r="A20" s="643" t="s">
        <v>553</v>
      </c>
      <c r="B20" s="663"/>
      <c r="C20" s="791">
        <v>0</v>
      </c>
      <c r="D20" s="792"/>
      <c r="E20" s="792">
        <v>0</v>
      </c>
      <c r="F20" s="792"/>
      <c r="G20" s="795">
        <v>24</v>
      </c>
      <c r="H20" s="792"/>
      <c r="I20" s="3792">
        <v>0</v>
      </c>
      <c r="J20" s="793"/>
      <c r="K20" s="795">
        <v>0</v>
      </c>
      <c r="L20" s="792"/>
      <c r="M20" s="795">
        <v>20</v>
      </c>
      <c r="N20" s="793"/>
      <c r="O20" s="795">
        <v>0</v>
      </c>
      <c r="P20" s="793"/>
      <c r="Q20" s="795"/>
      <c r="R20" s="793"/>
      <c r="S20" s="795"/>
      <c r="T20" s="793"/>
      <c r="U20" s="795"/>
      <c r="V20" s="793"/>
      <c r="W20" s="795"/>
      <c r="X20" s="793"/>
      <c r="Y20" s="795"/>
      <c r="Z20" s="663"/>
      <c r="AA20" s="1473">
        <f t="shared" si="0"/>
        <v>44</v>
      </c>
      <c r="AB20" s="1222"/>
      <c r="AC20" s="1882"/>
    </row>
    <row r="21" spans="1:29" s="411" customFormat="1" ht="17.5">
      <c r="A21" s="643" t="s">
        <v>554</v>
      </c>
      <c r="B21" s="663"/>
      <c r="C21" s="791">
        <v>0</v>
      </c>
      <c r="D21" s="792"/>
      <c r="E21" s="792">
        <v>0</v>
      </c>
      <c r="F21" s="792"/>
      <c r="G21" s="795">
        <v>0</v>
      </c>
      <c r="H21" s="792"/>
      <c r="I21" s="3792">
        <v>0</v>
      </c>
      <c r="J21" s="793"/>
      <c r="K21" s="795">
        <v>0</v>
      </c>
      <c r="L21" s="792"/>
      <c r="M21" s="795">
        <v>0</v>
      </c>
      <c r="N21" s="793"/>
      <c r="O21" s="795">
        <v>0</v>
      </c>
      <c r="P21" s="793"/>
      <c r="Q21" s="795"/>
      <c r="R21" s="793"/>
      <c r="S21" s="795"/>
      <c r="T21" s="793"/>
      <c r="U21" s="795"/>
      <c r="V21" s="793"/>
      <c r="W21" s="795"/>
      <c r="X21" s="793"/>
      <c r="Y21" s="795"/>
      <c r="Z21" s="663"/>
      <c r="AA21" s="1473">
        <f t="shared" si="0"/>
        <v>0</v>
      </c>
      <c r="AB21" s="1222"/>
      <c r="AC21" s="1882"/>
    </row>
    <row r="22" spans="1:29" s="411" customFormat="1" ht="17.5">
      <c r="A22" s="643" t="s">
        <v>555</v>
      </c>
      <c r="B22" s="663"/>
      <c r="C22" s="791">
        <v>24128</v>
      </c>
      <c r="D22" s="792"/>
      <c r="E22" s="792">
        <v>11443</v>
      </c>
      <c r="F22" s="792"/>
      <c r="G22" s="795">
        <v>24631</v>
      </c>
      <c r="H22" s="792"/>
      <c r="I22" s="3792">
        <v>18581</v>
      </c>
      <c r="J22" s="793"/>
      <c r="K22" s="795">
        <v>19061</v>
      </c>
      <c r="L22" s="792"/>
      <c r="M22" s="795">
        <v>18031</v>
      </c>
      <c r="N22" s="793"/>
      <c r="O22" s="795">
        <v>10339</v>
      </c>
      <c r="P22" s="793"/>
      <c r="Q22" s="795"/>
      <c r="R22" s="793"/>
      <c r="S22" s="795"/>
      <c r="T22" s="793"/>
      <c r="U22" s="795"/>
      <c r="V22" s="793"/>
      <c r="W22" s="795"/>
      <c r="X22" s="793"/>
      <c r="Y22" s="795"/>
      <c r="Z22" s="663"/>
      <c r="AA22" s="1473">
        <f t="shared" si="0"/>
        <v>126214</v>
      </c>
      <c r="AB22" s="1222"/>
      <c r="AC22" s="1882"/>
    </row>
    <row r="23" spans="1:29" s="411" customFormat="1" ht="17.5">
      <c r="A23" s="643" t="s">
        <v>556</v>
      </c>
      <c r="B23" s="663"/>
      <c r="C23" s="791">
        <v>4766</v>
      </c>
      <c r="D23" s="792"/>
      <c r="E23" s="792">
        <v>1358</v>
      </c>
      <c r="F23" s="792"/>
      <c r="G23" s="795">
        <v>5403</v>
      </c>
      <c r="H23" s="792"/>
      <c r="I23" s="3792">
        <v>2217</v>
      </c>
      <c r="J23" s="793"/>
      <c r="K23" s="795">
        <v>1052</v>
      </c>
      <c r="L23" s="792"/>
      <c r="M23" s="795">
        <v>2094</v>
      </c>
      <c r="N23" s="793"/>
      <c r="O23" s="795">
        <v>83</v>
      </c>
      <c r="P23" s="793"/>
      <c r="Q23" s="795"/>
      <c r="R23" s="793"/>
      <c r="S23" s="795"/>
      <c r="T23" s="793"/>
      <c r="U23" s="795"/>
      <c r="V23" s="793"/>
      <c r="W23" s="795"/>
      <c r="X23" s="793"/>
      <c r="Y23" s="795"/>
      <c r="Z23" s="663"/>
      <c r="AA23" s="1473">
        <f>ROUND(SUM(C23:Z23),0)</f>
        <v>16973</v>
      </c>
      <c r="AB23" s="1222"/>
      <c r="AC23" s="1882"/>
    </row>
    <row r="24" spans="1:29" s="411" customFormat="1" ht="17.5">
      <c r="A24" s="643" t="s">
        <v>557</v>
      </c>
      <c r="B24" s="663"/>
      <c r="C24" s="792">
        <v>26</v>
      </c>
      <c r="D24" s="792"/>
      <c r="E24" s="792">
        <v>0</v>
      </c>
      <c r="F24" s="792"/>
      <c r="G24" s="791" t="s">
        <v>1492</v>
      </c>
      <c r="H24" s="792"/>
      <c r="I24" s="3792">
        <v>1153</v>
      </c>
      <c r="J24" s="793"/>
      <c r="K24" s="795">
        <v>0</v>
      </c>
      <c r="L24" s="792"/>
      <c r="M24" s="795">
        <v>0</v>
      </c>
      <c r="N24" s="793"/>
      <c r="O24" s="795">
        <v>0</v>
      </c>
      <c r="P24" s="793"/>
      <c r="Q24" s="795"/>
      <c r="R24" s="793"/>
      <c r="S24" s="795"/>
      <c r="T24" s="793"/>
      <c r="U24" s="795"/>
      <c r="V24" s="793"/>
      <c r="W24" s="795"/>
      <c r="X24" s="793"/>
      <c r="Y24" s="795"/>
      <c r="Z24" s="663"/>
      <c r="AA24" s="1473">
        <f t="shared" si="0"/>
        <v>1179</v>
      </c>
      <c r="AB24" s="1222"/>
      <c r="AC24" s="1882"/>
    </row>
    <row r="25" spans="1:29" s="411" customFormat="1" ht="17.5">
      <c r="A25" s="664" t="s">
        <v>880</v>
      </c>
      <c r="B25" s="663"/>
      <c r="C25" s="2154">
        <f>ROUND(SUM(C14:C24),0)</f>
        <v>29871</v>
      </c>
      <c r="D25" s="643"/>
      <c r="E25" s="2154">
        <f>ROUND(SUM(E14:E24),0)</f>
        <v>14958</v>
      </c>
      <c r="F25" s="643"/>
      <c r="G25" s="2154">
        <f>ROUND(SUM(G14:G24),0)</f>
        <v>32138</v>
      </c>
      <c r="H25" s="643"/>
      <c r="I25" s="3795">
        <f>ROUND(SUM(I14:I24),0)</f>
        <v>22412</v>
      </c>
      <c r="J25" s="643"/>
      <c r="K25" s="2154">
        <f>ROUND(SUM(K14:K24),0)</f>
        <v>20451</v>
      </c>
      <c r="L25" s="643"/>
      <c r="M25" s="2154">
        <f>ROUND(SUM(M14:M24),0)</f>
        <v>20942</v>
      </c>
      <c r="N25" s="643"/>
      <c r="O25" s="2154">
        <f>ROUND(SUM(O14:O24),0)</f>
        <v>10436</v>
      </c>
      <c r="P25" s="643"/>
      <c r="Q25" s="2154">
        <f>ROUND(SUM(Q14:Q24),0)</f>
        <v>0</v>
      </c>
      <c r="R25" s="643"/>
      <c r="S25" s="2154">
        <f>ROUND(SUM(S14:S24),0)</f>
        <v>0</v>
      </c>
      <c r="T25" s="643"/>
      <c r="U25" s="2154">
        <f>ROUND(SUM(U14:U24),0)</f>
        <v>0</v>
      </c>
      <c r="V25" s="643"/>
      <c r="W25" s="2154">
        <f>ROUND(SUM(W14:W24),0)</f>
        <v>0</v>
      </c>
      <c r="X25" s="643"/>
      <c r="Y25" s="2154">
        <f>ROUND(SUM(Y14:Y24),0)</f>
        <v>0</v>
      </c>
      <c r="Z25" s="643"/>
      <c r="AA25" s="3008">
        <f>ROUND(SUM(AA14:AA24),0)</f>
        <v>151208</v>
      </c>
      <c r="AB25" s="1222"/>
      <c r="AC25" s="1882"/>
    </row>
    <row r="26" spans="1:29" s="411" customFormat="1" ht="17.5">
      <c r="A26"/>
      <c r="B26" s="663"/>
      <c r="C26" s="663"/>
      <c r="D26" s="663"/>
      <c r="E26" s="663"/>
      <c r="F26" s="663"/>
      <c r="G26" s="663"/>
      <c r="H26" s="663"/>
      <c r="I26" s="3796"/>
      <c r="J26" s="663"/>
      <c r="K26" s="663"/>
      <c r="L26" s="663"/>
      <c r="M26" s="663"/>
      <c r="N26" s="663"/>
      <c r="O26" s="663"/>
      <c r="P26" s="663"/>
      <c r="Q26" s="663"/>
      <c r="R26" s="663"/>
      <c r="S26" s="663"/>
      <c r="T26" s="663"/>
      <c r="U26" s="663"/>
      <c r="V26" s="663"/>
      <c r="W26" s="663"/>
      <c r="X26" s="663"/>
      <c r="Y26" s="663"/>
      <c r="Z26" s="663"/>
      <c r="AA26" s="807"/>
      <c r="AB26" s="1222"/>
      <c r="AC26" s="1882"/>
    </row>
    <row r="27" spans="1:29" s="411" customFormat="1" ht="17.5">
      <c r="A27" s="643"/>
      <c r="B27" s="663"/>
      <c r="C27" s="663"/>
      <c r="D27" s="663"/>
      <c r="E27" s="663"/>
      <c r="F27" s="663"/>
      <c r="G27" s="663"/>
      <c r="H27" s="663"/>
      <c r="I27" s="3796"/>
      <c r="J27" s="663"/>
      <c r="K27" s="663"/>
      <c r="L27" s="663"/>
      <c r="M27" s="663"/>
      <c r="N27" s="663"/>
      <c r="O27" s="663"/>
      <c r="P27" s="663"/>
      <c r="Q27" s="663"/>
      <c r="R27" s="663"/>
      <c r="S27" s="663"/>
      <c r="T27" s="663"/>
      <c r="U27" s="663"/>
      <c r="V27" s="663"/>
      <c r="W27" s="663"/>
      <c r="X27" s="663"/>
      <c r="Y27" s="663"/>
      <c r="Z27" s="663"/>
      <c r="AA27" s="807"/>
      <c r="AB27" s="1222"/>
      <c r="AC27" s="1882"/>
    </row>
    <row r="28" spans="1:29" s="411" customFormat="1" ht="17.5">
      <c r="A28" s="664" t="s">
        <v>558</v>
      </c>
      <c r="B28" s="663"/>
      <c r="C28" s="663"/>
      <c r="D28" s="663"/>
      <c r="E28" s="663"/>
      <c r="F28" s="663"/>
      <c r="G28" s="663"/>
      <c r="H28" s="663"/>
      <c r="I28" s="3796"/>
      <c r="J28" s="663"/>
      <c r="K28" s="663"/>
      <c r="L28" s="663"/>
      <c r="M28" s="663"/>
      <c r="N28" s="663"/>
      <c r="O28" s="663"/>
      <c r="P28" s="663"/>
      <c r="Q28" s="663"/>
      <c r="R28" s="663"/>
      <c r="S28" s="663"/>
      <c r="T28" s="663"/>
      <c r="U28" s="663"/>
      <c r="V28" s="663"/>
      <c r="W28" s="663"/>
      <c r="X28" s="663"/>
      <c r="Y28" s="663"/>
      <c r="Z28" s="663"/>
      <c r="AA28" s="807"/>
      <c r="AB28" s="1222"/>
      <c r="AC28" s="1882"/>
    </row>
    <row r="29" spans="1:29" s="411" customFormat="1" ht="17.5">
      <c r="A29" s="643" t="s">
        <v>552</v>
      </c>
      <c r="B29" s="663"/>
      <c r="C29" s="663"/>
      <c r="D29" s="663"/>
      <c r="E29" s="663"/>
      <c r="F29" s="663"/>
      <c r="G29" s="663"/>
      <c r="H29" s="663"/>
      <c r="I29" s="3796"/>
      <c r="J29" s="663"/>
      <c r="K29" s="663"/>
      <c r="L29" s="663"/>
      <c r="M29" s="663"/>
      <c r="N29" s="663"/>
      <c r="O29" s="663"/>
      <c r="P29" s="663"/>
      <c r="Q29" s="663"/>
      <c r="R29" s="663"/>
      <c r="S29" s="663"/>
      <c r="T29" s="663"/>
      <c r="U29" s="663"/>
      <c r="V29" s="663"/>
      <c r="W29" s="663"/>
      <c r="X29" s="663"/>
      <c r="Y29" s="663"/>
      <c r="Z29" s="663"/>
      <c r="AA29" s="807"/>
      <c r="AB29" s="1222"/>
      <c r="AC29" s="1882"/>
    </row>
    <row r="30" spans="1:29" s="411" customFormat="1" ht="17.5">
      <c r="A30" s="643" t="s">
        <v>559</v>
      </c>
      <c r="B30" s="663"/>
      <c r="C30" s="794">
        <v>0</v>
      </c>
      <c r="D30" s="792"/>
      <c r="E30" s="794">
        <v>0</v>
      </c>
      <c r="F30" s="792"/>
      <c r="G30" s="794">
        <v>0</v>
      </c>
      <c r="H30" s="792"/>
      <c r="I30" s="3793">
        <v>0</v>
      </c>
      <c r="J30" s="793"/>
      <c r="K30" s="794">
        <v>0</v>
      </c>
      <c r="L30" s="792"/>
      <c r="M30" s="794">
        <v>0</v>
      </c>
      <c r="N30" s="793"/>
      <c r="O30" s="794">
        <v>0</v>
      </c>
      <c r="P30" s="793"/>
      <c r="Q30" s="794"/>
      <c r="R30" s="793"/>
      <c r="S30" s="794"/>
      <c r="T30" s="793"/>
      <c r="U30" s="794"/>
      <c r="V30" s="793"/>
      <c r="W30" s="794"/>
      <c r="X30" s="793"/>
      <c r="Y30" s="794"/>
      <c r="Z30" s="663"/>
      <c r="AA30" s="1473">
        <f>ROUND(SUM(C30:Z30),0)</f>
        <v>0</v>
      </c>
      <c r="AB30" s="1222"/>
      <c r="AC30" s="1882"/>
    </row>
    <row r="31" spans="1:29" s="411" customFormat="1" ht="17.5">
      <c r="A31" s="643" t="s">
        <v>1193</v>
      </c>
      <c r="B31" s="663"/>
      <c r="C31" s="792">
        <v>0</v>
      </c>
      <c r="D31" s="792"/>
      <c r="E31" s="794">
        <v>0</v>
      </c>
      <c r="F31" s="792"/>
      <c r="G31" s="794">
        <v>0</v>
      </c>
      <c r="H31" s="792"/>
      <c r="I31" s="3793">
        <v>0</v>
      </c>
      <c r="J31" s="793"/>
      <c r="K31" s="794">
        <v>0</v>
      </c>
      <c r="L31" s="792"/>
      <c r="M31" s="794">
        <v>0</v>
      </c>
      <c r="N31" s="793"/>
      <c r="O31" s="794">
        <v>0</v>
      </c>
      <c r="P31" s="793"/>
      <c r="Q31" s="794"/>
      <c r="R31" s="793"/>
      <c r="S31" s="794"/>
      <c r="T31" s="793"/>
      <c r="U31" s="794"/>
      <c r="V31" s="793"/>
      <c r="W31" s="794"/>
      <c r="X31" s="793"/>
      <c r="Y31" s="794"/>
      <c r="Z31" s="663"/>
      <c r="AA31" s="1473">
        <f>ROUND(SUM(C31:Z31),0)</f>
        <v>0</v>
      </c>
      <c r="AB31" s="1222"/>
      <c r="AC31" s="1882"/>
    </row>
    <row r="32" spans="1:29" s="411" customFormat="1" ht="17.5">
      <c r="A32" s="643" t="s">
        <v>560</v>
      </c>
      <c r="B32" s="663"/>
      <c r="C32" s="794">
        <v>0</v>
      </c>
      <c r="D32" s="792"/>
      <c r="E32" s="794">
        <v>0</v>
      </c>
      <c r="F32" s="792"/>
      <c r="G32" s="794">
        <v>0</v>
      </c>
      <c r="H32" s="792"/>
      <c r="I32" s="3793">
        <v>0</v>
      </c>
      <c r="J32" s="793"/>
      <c r="K32" s="794">
        <v>0</v>
      </c>
      <c r="L32" s="792"/>
      <c r="M32" s="794">
        <v>0</v>
      </c>
      <c r="N32" s="793"/>
      <c r="O32" s="794">
        <v>0</v>
      </c>
      <c r="P32" s="793"/>
      <c r="Q32" s="794"/>
      <c r="R32" s="793"/>
      <c r="S32" s="794"/>
      <c r="T32" s="793"/>
      <c r="U32" s="794"/>
      <c r="V32" s="793"/>
      <c r="W32" s="794"/>
      <c r="X32" s="793"/>
      <c r="Y32" s="794"/>
      <c r="Z32" s="663"/>
      <c r="AA32" s="1473">
        <f>ROUND(SUM(C32:Z32),0)</f>
        <v>0</v>
      </c>
      <c r="AB32" s="1222"/>
      <c r="AC32" s="1882"/>
    </row>
    <row r="33" spans="1:29" s="411" customFormat="1" ht="17.5">
      <c r="A33" s="643" t="s">
        <v>987</v>
      </c>
      <c r="B33" s="663"/>
      <c r="C33" s="794">
        <v>0</v>
      </c>
      <c r="D33" s="792"/>
      <c r="E33" s="794">
        <v>0</v>
      </c>
      <c r="F33" s="797"/>
      <c r="G33" s="794">
        <v>0</v>
      </c>
      <c r="H33" s="797"/>
      <c r="I33" s="3793">
        <v>0</v>
      </c>
      <c r="J33" s="798"/>
      <c r="K33" s="794">
        <v>0</v>
      </c>
      <c r="L33" s="797"/>
      <c r="M33" s="794">
        <v>0</v>
      </c>
      <c r="N33" s="798"/>
      <c r="O33" s="794">
        <v>0</v>
      </c>
      <c r="P33" s="798"/>
      <c r="Q33" s="794"/>
      <c r="R33" s="798"/>
      <c r="S33" s="794"/>
      <c r="T33" s="798"/>
      <c r="U33" s="794"/>
      <c r="V33" s="798"/>
      <c r="W33" s="794"/>
      <c r="X33" s="798"/>
      <c r="Y33" s="794"/>
      <c r="Z33" s="663"/>
      <c r="AA33" s="1473">
        <f>ROUND(SUM(C33:Z33),0)</f>
        <v>0</v>
      </c>
      <c r="AB33" s="1222"/>
      <c r="AC33" s="1882"/>
    </row>
    <row r="34" spans="1:29" s="409" customFormat="1" ht="17.5">
      <c r="A34" s="643" t="s">
        <v>561</v>
      </c>
      <c r="B34" s="663"/>
      <c r="C34" s="2153">
        <v>0</v>
      </c>
      <c r="D34" s="792"/>
      <c r="E34" s="2153">
        <v>0</v>
      </c>
      <c r="F34" s="792"/>
      <c r="G34" s="2153">
        <v>0</v>
      </c>
      <c r="H34" s="792"/>
      <c r="I34" s="3797">
        <v>0</v>
      </c>
      <c r="J34" s="793"/>
      <c r="K34" s="2153">
        <v>0</v>
      </c>
      <c r="L34" s="792"/>
      <c r="M34" s="2153">
        <v>0</v>
      </c>
      <c r="N34" s="793"/>
      <c r="O34" s="2153">
        <v>0</v>
      </c>
      <c r="P34" s="793"/>
      <c r="Q34" s="2153"/>
      <c r="R34" s="793"/>
      <c r="S34" s="2153"/>
      <c r="T34" s="793"/>
      <c r="U34" s="2153"/>
      <c r="V34" s="793"/>
      <c r="W34" s="2153"/>
      <c r="X34" s="793"/>
      <c r="Y34" s="2153"/>
      <c r="Z34" s="663"/>
      <c r="AA34" s="1473">
        <f>ROUND(SUM(C34:Z34),0)</f>
        <v>0</v>
      </c>
      <c r="AB34" s="1223"/>
      <c r="AC34" s="1883"/>
    </row>
    <row r="35" spans="1:29" s="409" customFormat="1" ht="17.5">
      <c r="A35" s="664" t="s">
        <v>879</v>
      </c>
      <c r="B35" s="663"/>
      <c r="C35" s="2154">
        <f>ROUND(SUM(C30:C34),0)</f>
        <v>0</v>
      </c>
      <c r="D35" s="643"/>
      <c r="E35" s="2154">
        <f>ROUND(SUM(E30:E34),0)</f>
        <v>0</v>
      </c>
      <c r="F35" s="643"/>
      <c r="G35" s="2154">
        <f>ROUND(SUM(G30:G34),0)</f>
        <v>0</v>
      </c>
      <c r="H35" s="643"/>
      <c r="I35" s="2154">
        <f>ROUND(SUM(I30:I34),0)</f>
        <v>0</v>
      </c>
      <c r="J35" s="643"/>
      <c r="K35" s="2154">
        <f>ROUND(SUM(K30:K34),0)</f>
        <v>0</v>
      </c>
      <c r="L35" s="643"/>
      <c r="M35" s="2154">
        <f>ROUND(SUM(M30:M34),0)</f>
        <v>0</v>
      </c>
      <c r="N35" s="643"/>
      <c r="O35" s="2154">
        <f>ROUND(SUM(O30:O34),0)</f>
        <v>0</v>
      </c>
      <c r="P35" s="643"/>
      <c r="Q35" s="2154">
        <f>ROUND(SUM(Q30:Q34),0)</f>
        <v>0</v>
      </c>
      <c r="R35" s="643"/>
      <c r="S35" s="2154">
        <f>ROUND(SUM(S30:S34),0)</f>
        <v>0</v>
      </c>
      <c r="T35" s="643"/>
      <c r="U35" s="2154">
        <f>ROUND(SUM(U30:U34),0)</f>
        <v>0</v>
      </c>
      <c r="V35" s="643"/>
      <c r="W35" s="2154">
        <f>ROUND(SUM(W30:W34),0)</f>
        <v>0</v>
      </c>
      <c r="X35" s="643"/>
      <c r="Y35" s="2154">
        <f>ROUND(SUM(Y30:Y34),0)</f>
        <v>0</v>
      </c>
      <c r="Z35" s="643"/>
      <c r="AA35" s="2154">
        <f>ROUND(SUM(AA30:AA34),0)</f>
        <v>0</v>
      </c>
      <c r="AB35" s="1223"/>
      <c r="AC35" s="1883"/>
    </row>
    <row r="36" spans="1:29" ht="17.5">
      <c r="A36" s="643"/>
      <c r="B36" s="663"/>
      <c r="C36" s="663"/>
      <c r="D36" s="663"/>
      <c r="E36" s="663"/>
      <c r="F36" s="663"/>
      <c r="G36" s="663"/>
      <c r="H36" s="663"/>
      <c r="I36" s="663"/>
      <c r="J36" s="663"/>
      <c r="K36" s="663"/>
      <c r="L36" s="663"/>
      <c r="M36" s="663"/>
      <c r="N36" s="663"/>
      <c r="O36" s="663"/>
      <c r="P36" s="663"/>
      <c r="Q36" s="663"/>
      <c r="R36" s="663"/>
      <c r="S36" s="663"/>
      <c r="T36" s="663"/>
      <c r="U36" s="663"/>
      <c r="V36" s="663"/>
      <c r="W36" s="663"/>
      <c r="X36" s="663"/>
      <c r="Y36" s="663"/>
      <c r="Z36" s="663"/>
      <c r="AA36" s="643"/>
      <c r="AB36" s="1223"/>
      <c r="AC36" s="1884"/>
    </row>
    <row r="37" spans="1:29" ht="17.5">
      <c r="A37" s="643"/>
      <c r="B37" s="663"/>
      <c r="C37" s="663"/>
      <c r="D37" s="663"/>
      <c r="E37" s="663"/>
      <c r="F37" s="663"/>
      <c r="G37" s="663"/>
      <c r="H37" s="663"/>
      <c r="I37" s="663"/>
      <c r="J37" s="663"/>
      <c r="K37" s="663"/>
      <c r="L37" s="663"/>
      <c r="M37" s="663"/>
      <c r="N37" s="663"/>
      <c r="O37" s="663"/>
      <c r="P37" s="663"/>
      <c r="Q37" s="663"/>
      <c r="R37" s="663"/>
      <c r="S37" s="2165"/>
      <c r="T37" s="663"/>
      <c r="U37" s="663"/>
      <c r="V37" s="663"/>
      <c r="W37" s="663"/>
      <c r="X37" s="663"/>
      <c r="Y37" s="663"/>
      <c r="Z37" s="663"/>
      <c r="AA37" s="643"/>
    </row>
    <row r="38" spans="1:29" s="413" customFormat="1" ht="18" thickBot="1">
      <c r="A38" s="664" t="s">
        <v>878</v>
      </c>
      <c r="B38" s="663"/>
      <c r="C38" s="1885">
        <f>ROUND(C25+C35,0)</f>
        <v>29871</v>
      </c>
      <c r="D38" s="643"/>
      <c r="E38" s="1885">
        <f>ROUND(E25+E35,0)</f>
        <v>14958</v>
      </c>
      <c r="F38" s="643"/>
      <c r="G38" s="1885">
        <f>ROUND(G25+G35,0)</f>
        <v>32138</v>
      </c>
      <c r="H38" s="643"/>
      <c r="I38" s="1885">
        <f>ROUND(I25+I35,0)</f>
        <v>22412</v>
      </c>
      <c r="J38" s="643"/>
      <c r="K38" s="1885">
        <f>ROUND(K25+K35,0)</f>
        <v>20451</v>
      </c>
      <c r="L38" s="643"/>
      <c r="M38" s="1885">
        <f>ROUND(M25+M35,0)</f>
        <v>20942</v>
      </c>
      <c r="N38" s="643"/>
      <c r="O38" s="1885">
        <f>ROUND(O25+O35,0)</f>
        <v>10436</v>
      </c>
      <c r="P38" s="643"/>
      <c r="Q38" s="1885">
        <f>ROUND(Q25+Q35,0)</f>
        <v>0</v>
      </c>
      <c r="R38" s="643"/>
      <c r="S38" s="1885">
        <f>ROUND(S25+S35,0)</f>
        <v>0</v>
      </c>
      <c r="T38" s="643"/>
      <c r="U38" s="1885">
        <f>ROUND(U25+U35,0)</f>
        <v>0</v>
      </c>
      <c r="V38" s="643"/>
      <c r="W38" s="1885">
        <f>ROUND(W25+W35,0)</f>
        <v>0</v>
      </c>
      <c r="X38" s="643"/>
      <c r="Y38" s="1885">
        <f>ROUND(Y25+Y35,0)</f>
        <v>0</v>
      </c>
      <c r="Z38" s="643"/>
      <c r="AA38" s="1885">
        <f>ROUND(AA25+AA35,0)</f>
        <v>151208</v>
      </c>
    </row>
    <row r="39" spans="1:29" ht="16" thickTop="1">
      <c r="A39" s="1224"/>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 thickBot="1"/>
    <row r="41" spans="1:29" ht="20.149999999999999" customHeight="1">
      <c r="A41" s="3958" t="s">
        <v>562</v>
      </c>
      <c r="B41" s="3959"/>
      <c r="C41" s="3959"/>
      <c r="D41" s="3959"/>
      <c r="E41" s="3959"/>
      <c r="F41" s="3959"/>
      <c r="G41" s="3959"/>
      <c r="H41" s="3959"/>
      <c r="I41" s="3959"/>
      <c r="J41" s="3959"/>
      <c r="K41" s="3959"/>
      <c r="L41" s="3959"/>
      <c r="M41" s="3959"/>
      <c r="N41" s="3959"/>
      <c r="O41" s="3959"/>
      <c r="P41" s="3959"/>
      <c r="Q41" s="3959"/>
      <c r="R41" s="3959"/>
      <c r="S41" s="3959"/>
      <c r="T41" s="3959"/>
      <c r="U41" s="3959"/>
      <c r="V41" s="3959"/>
      <c r="W41" s="3959"/>
      <c r="X41" s="3959"/>
      <c r="Y41" s="3959"/>
      <c r="Z41" s="3959"/>
      <c r="AA41" s="3960"/>
    </row>
    <row r="42" spans="1:29" ht="20.149999999999999" customHeight="1">
      <c r="A42" s="3961"/>
      <c r="B42" s="3962"/>
      <c r="C42" s="3962"/>
      <c r="D42" s="3962"/>
      <c r="E42" s="3962"/>
      <c r="F42" s="3962"/>
      <c r="G42" s="3962"/>
      <c r="H42" s="3962"/>
      <c r="I42" s="3962"/>
      <c r="J42" s="3962"/>
      <c r="K42" s="3962"/>
      <c r="L42" s="3962"/>
      <c r="M42" s="3962"/>
      <c r="N42" s="3962"/>
      <c r="O42" s="3962"/>
      <c r="P42" s="3962"/>
      <c r="Q42" s="3962"/>
      <c r="R42" s="3962"/>
      <c r="S42" s="3962"/>
      <c r="T42" s="3962"/>
      <c r="U42" s="3962"/>
      <c r="V42" s="3962"/>
      <c r="W42" s="3962"/>
      <c r="X42" s="3962"/>
      <c r="Y42" s="3962"/>
      <c r="Z42" s="3962"/>
      <c r="AA42" s="3963"/>
    </row>
    <row r="43" spans="1:29" ht="20.149999999999999" customHeight="1">
      <c r="A43" s="3961"/>
      <c r="B43" s="3962"/>
      <c r="C43" s="3962"/>
      <c r="D43" s="3962"/>
      <c r="E43" s="3962"/>
      <c r="F43" s="3962"/>
      <c r="G43" s="3962"/>
      <c r="H43" s="3962"/>
      <c r="I43" s="3962"/>
      <c r="J43" s="3962"/>
      <c r="K43" s="3962"/>
      <c r="L43" s="3962"/>
      <c r="M43" s="3962"/>
      <c r="N43" s="3962"/>
      <c r="O43" s="3962"/>
      <c r="P43" s="3962"/>
      <c r="Q43" s="3962"/>
      <c r="R43" s="3962"/>
      <c r="S43" s="3962"/>
      <c r="T43" s="3962"/>
      <c r="U43" s="3962"/>
      <c r="V43" s="3962"/>
      <c r="W43" s="3962"/>
      <c r="X43" s="3962"/>
      <c r="Y43" s="3962"/>
      <c r="Z43" s="3962"/>
      <c r="AA43" s="3963"/>
    </row>
    <row r="44" spans="1:29" ht="22.5" customHeight="1" thickBot="1">
      <c r="A44" s="3964"/>
      <c r="B44" s="3965"/>
      <c r="C44" s="3965"/>
      <c r="D44" s="3965"/>
      <c r="E44" s="3965"/>
      <c r="F44" s="3965"/>
      <c r="G44" s="3965"/>
      <c r="H44" s="3965"/>
      <c r="I44" s="3965"/>
      <c r="J44" s="3965"/>
      <c r="K44" s="3965"/>
      <c r="L44" s="3965"/>
      <c r="M44" s="3965"/>
      <c r="N44" s="3965"/>
      <c r="O44" s="3965"/>
      <c r="P44" s="3965"/>
      <c r="Q44" s="3965"/>
      <c r="R44" s="3965"/>
      <c r="S44" s="3965"/>
      <c r="T44" s="3965"/>
      <c r="U44" s="3965"/>
      <c r="V44" s="3965"/>
      <c r="W44" s="3965"/>
      <c r="X44" s="3965"/>
      <c r="Y44" s="3965"/>
      <c r="Z44" s="3965"/>
      <c r="AA44" s="3966"/>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68" customWidth="1"/>
    <col min="2" max="2" width="10.07421875" style="2868" customWidth="1"/>
    <col min="3" max="3" width="2.07421875" style="3002" customWidth="1"/>
    <col min="4" max="4" width="50.4609375" style="2868" customWidth="1"/>
    <col min="5" max="5" width="8.69140625" style="3002" customWidth="1"/>
    <col min="6" max="6" width="2.07421875" style="3003" customWidth="1"/>
    <col min="7" max="7" width="20.69140625" style="3004" customWidth="1"/>
    <col min="8" max="8" width="2.07421875" style="3002" customWidth="1"/>
    <col min="9" max="9" width="20.69140625" style="2868" customWidth="1"/>
    <col min="10" max="10" width="2.07421875" style="3002" customWidth="1"/>
    <col min="11" max="11" width="20.69140625" style="2868" customWidth="1"/>
    <col min="12" max="12" width="2.07421875" style="3002" customWidth="1"/>
    <col min="13" max="13" width="20.69140625" style="2868" customWidth="1"/>
    <col min="14" max="14" width="2.07421875" style="3002" customWidth="1"/>
    <col min="15" max="15" width="20.69140625" style="3625" customWidth="1"/>
    <col min="16" max="16" width="6.07421875" style="2868" bestFit="1" customWidth="1"/>
    <col min="17" max="17" width="13.07421875" style="2868" bestFit="1" customWidth="1"/>
    <col min="18" max="255" width="8.69140625" style="2868"/>
    <col min="256" max="257" width="8.69140625" style="2868" customWidth="1"/>
    <col min="258" max="258" width="10.07421875" style="2868" customWidth="1"/>
    <col min="259" max="259" width="2.07421875" style="2868" customWidth="1"/>
    <col min="260" max="260" width="50.4609375" style="2868" customWidth="1"/>
    <col min="261" max="261" width="8.69140625" style="2868"/>
    <col min="262" max="262" width="2.07421875" style="2868" customWidth="1"/>
    <col min="263" max="263" width="23.69140625" style="2868" customWidth="1"/>
    <col min="264" max="264" width="2.07421875" style="2868" customWidth="1"/>
    <col min="265" max="265" width="23.69140625" style="2868" customWidth="1"/>
    <col min="266" max="266" width="2.07421875" style="2868" customWidth="1"/>
    <col min="267" max="267" width="23.69140625" style="2868" customWidth="1"/>
    <col min="268" max="268" width="2.07421875" style="2868" customWidth="1"/>
    <col min="269" max="269" width="23.69140625" style="2868" customWidth="1"/>
    <col min="270" max="270" width="2.07421875" style="2868" customWidth="1"/>
    <col min="271" max="271" width="23.69140625" style="2868" customWidth="1"/>
    <col min="272" max="272" width="2.69140625" style="2868" bestFit="1" customWidth="1"/>
    <col min="273" max="511" width="8.69140625" style="2868"/>
    <col min="512" max="513" width="8.69140625" style="2868" customWidth="1"/>
    <col min="514" max="514" width="10.07421875" style="2868" customWidth="1"/>
    <col min="515" max="515" width="2.07421875" style="2868" customWidth="1"/>
    <col min="516" max="516" width="50.4609375" style="2868" customWidth="1"/>
    <col min="517" max="517" width="8.69140625" style="2868"/>
    <col min="518" max="518" width="2.07421875" style="2868" customWidth="1"/>
    <col min="519" max="519" width="23.69140625" style="2868" customWidth="1"/>
    <col min="520" max="520" width="2.07421875" style="2868" customWidth="1"/>
    <col min="521" max="521" width="23.69140625" style="2868" customWidth="1"/>
    <col min="522" max="522" width="2.07421875" style="2868" customWidth="1"/>
    <col min="523" max="523" width="23.69140625" style="2868" customWidth="1"/>
    <col min="524" max="524" width="2.07421875" style="2868" customWidth="1"/>
    <col min="525" max="525" width="23.69140625" style="2868" customWidth="1"/>
    <col min="526" max="526" width="2.07421875" style="2868" customWidth="1"/>
    <col min="527" max="527" width="23.69140625" style="2868" customWidth="1"/>
    <col min="528" max="528" width="2.69140625" style="2868" bestFit="1" customWidth="1"/>
    <col min="529" max="767" width="8.69140625" style="2868"/>
    <col min="768" max="769" width="8.69140625" style="2868" customWidth="1"/>
    <col min="770" max="770" width="10.07421875" style="2868" customWidth="1"/>
    <col min="771" max="771" width="2.07421875" style="2868" customWidth="1"/>
    <col min="772" max="772" width="50.4609375" style="2868" customWidth="1"/>
    <col min="773" max="773" width="8.69140625" style="2868"/>
    <col min="774" max="774" width="2.07421875" style="2868" customWidth="1"/>
    <col min="775" max="775" width="23.69140625" style="2868" customWidth="1"/>
    <col min="776" max="776" width="2.07421875" style="2868" customWidth="1"/>
    <col min="777" max="777" width="23.69140625" style="2868" customWidth="1"/>
    <col min="778" max="778" width="2.07421875" style="2868" customWidth="1"/>
    <col min="779" max="779" width="23.69140625" style="2868" customWidth="1"/>
    <col min="780" max="780" width="2.07421875" style="2868" customWidth="1"/>
    <col min="781" max="781" width="23.69140625" style="2868" customWidth="1"/>
    <col min="782" max="782" width="2.07421875" style="2868" customWidth="1"/>
    <col min="783" max="783" width="23.69140625" style="2868" customWidth="1"/>
    <col min="784" max="784" width="2.69140625" style="2868" bestFit="1" customWidth="1"/>
    <col min="785" max="1023" width="8.69140625" style="2868"/>
    <col min="1024" max="1025" width="8.69140625" style="2868" customWidth="1"/>
    <col min="1026" max="1026" width="10.07421875" style="2868" customWidth="1"/>
    <col min="1027" max="1027" width="2.07421875" style="2868" customWidth="1"/>
    <col min="1028" max="1028" width="50.4609375" style="2868" customWidth="1"/>
    <col min="1029" max="1029" width="8.69140625" style="2868"/>
    <col min="1030" max="1030" width="2.07421875" style="2868" customWidth="1"/>
    <col min="1031" max="1031" width="23.69140625" style="2868" customWidth="1"/>
    <col min="1032" max="1032" width="2.07421875" style="2868" customWidth="1"/>
    <col min="1033" max="1033" width="23.69140625" style="2868" customWidth="1"/>
    <col min="1034" max="1034" width="2.07421875" style="2868" customWidth="1"/>
    <col min="1035" max="1035" width="23.69140625" style="2868" customWidth="1"/>
    <col min="1036" max="1036" width="2.07421875" style="2868" customWidth="1"/>
    <col min="1037" max="1037" width="23.69140625" style="2868" customWidth="1"/>
    <col min="1038" max="1038" width="2.07421875" style="2868" customWidth="1"/>
    <col min="1039" max="1039" width="23.69140625" style="2868" customWidth="1"/>
    <col min="1040" max="1040" width="2.69140625" style="2868" bestFit="1" customWidth="1"/>
    <col min="1041" max="1279" width="8.69140625" style="2868"/>
    <col min="1280" max="1281" width="8.69140625" style="2868" customWidth="1"/>
    <col min="1282" max="1282" width="10.07421875" style="2868" customWidth="1"/>
    <col min="1283" max="1283" width="2.07421875" style="2868" customWidth="1"/>
    <col min="1284" max="1284" width="50.4609375" style="2868" customWidth="1"/>
    <col min="1285" max="1285" width="8.69140625" style="2868"/>
    <col min="1286" max="1286" width="2.07421875" style="2868" customWidth="1"/>
    <col min="1287" max="1287" width="23.69140625" style="2868" customWidth="1"/>
    <col min="1288" max="1288" width="2.07421875" style="2868" customWidth="1"/>
    <col min="1289" max="1289" width="23.69140625" style="2868" customWidth="1"/>
    <col min="1290" max="1290" width="2.07421875" style="2868" customWidth="1"/>
    <col min="1291" max="1291" width="23.69140625" style="2868" customWidth="1"/>
    <col min="1292" max="1292" width="2.07421875" style="2868" customWidth="1"/>
    <col min="1293" max="1293" width="23.69140625" style="2868" customWidth="1"/>
    <col min="1294" max="1294" width="2.07421875" style="2868" customWidth="1"/>
    <col min="1295" max="1295" width="23.69140625" style="2868" customWidth="1"/>
    <col min="1296" max="1296" width="2.69140625" style="2868" bestFit="1" customWidth="1"/>
    <col min="1297" max="1535" width="8.69140625" style="2868"/>
    <col min="1536" max="1537" width="8.69140625" style="2868" customWidth="1"/>
    <col min="1538" max="1538" width="10.07421875" style="2868" customWidth="1"/>
    <col min="1539" max="1539" width="2.07421875" style="2868" customWidth="1"/>
    <col min="1540" max="1540" width="50.4609375" style="2868" customWidth="1"/>
    <col min="1541" max="1541" width="8.69140625" style="2868"/>
    <col min="1542" max="1542" width="2.07421875" style="2868" customWidth="1"/>
    <col min="1543" max="1543" width="23.69140625" style="2868" customWidth="1"/>
    <col min="1544" max="1544" width="2.07421875" style="2868" customWidth="1"/>
    <col min="1545" max="1545" width="23.69140625" style="2868" customWidth="1"/>
    <col min="1546" max="1546" width="2.07421875" style="2868" customWidth="1"/>
    <col min="1547" max="1547" width="23.69140625" style="2868" customWidth="1"/>
    <col min="1548" max="1548" width="2.07421875" style="2868" customWidth="1"/>
    <col min="1549" max="1549" width="23.69140625" style="2868" customWidth="1"/>
    <col min="1550" max="1550" width="2.07421875" style="2868" customWidth="1"/>
    <col min="1551" max="1551" width="23.69140625" style="2868" customWidth="1"/>
    <col min="1552" max="1552" width="2.69140625" style="2868" bestFit="1" customWidth="1"/>
    <col min="1553" max="1791" width="8.69140625" style="2868"/>
    <col min="1792" max="1793" width="8.69140625" style="2868" customWidth="1"/>
    <col min="1794" max="1794" width="10.07421875" style="2868" customWidth="1"/>
    <col min="1795" max="1795" width="2.07421875" style="2868" customWidth="1"/>
    <col min="1796" max="1796" width="50.4609375" style="2868" customWidth="1"/>
    <col min="1797" max="1797" width="8.69140625" style="2868"/>
    <col min="1798" max="1798" width="2.07421875" style="2868" customWidth="1"/>
    <col min="1799" max="1799" width="23.69140625" style="2868" customWidth="1"/>
    <col min="1800" max="1800" width="2.07421875" style="2868" customWidth="1"/>
    <col min="1801" max="1801" width="23.69140625" style="2868" customWidth="1"/>
    <col min="1802" max="1802" width="2.07421875" style="2868" customWidth="1"/>
    <col min="1803" max="1803" width="23.69140625" style="2868" customWidth="1"/>
    <col min="1804" max="1804" width="2.07421875" style="2868" customWidth="1"/>
    <col min="1805" max="1805" width="23.69140625" style="2868" customWidth="1"/>
    <col min="1806" max="1806" width="2.07421875" style="2868" customWidth="1"/>
    <col min="1807" max="1807" width="23.69140625" style="2868" customWidth="1"/>
    <col min="1808" max="1808" width="2.69140625" style="2868" bestFit="1" customWidth="1"/>
    <col min="1809" max="2047" width="8.69140625" style="2868"/>
    <col min="2048" max="2049" width="8.69140625" style="2868" customWidth="1"/>
    <col min="2050" max="2050" width="10.07421875" style="2868" customWidth="1"/>
    <col min="2051" max="2051" width="2.07421875" style="2868" customWidth="1"/>
    <col min="2052" max="2052" width="50.4609375" style="2868" customWidth="1"/>
    <col min="2053" max="2053" width="8.69140625" style="2868"/>
    <col min="2054" max="2054" width="2.07421875" style="2868" customWidth="1"/>
    <col min="2055" max="2055" width="23.69140625" style="2868" customWidth="1"/>
    <col min="2056" max="2056" width="2.07421875" style="2868" customWidth="1"/>
    <col min="2057" max="2057" width="23.69140625" style="2868" customWidth="1"/>
    <col min="2058" max="2058" width="2.07421875" style="2868" customWidth="1"/>
    <col min="2059" max="2059" width="23.69140625" style="2868" customWidth="1"/>
    <col min="2060" max="2060" width="2.07421875" style="2868" customWidth="1"/>
    <col min="2061" max="2061" width="23.69140625" style="2868" customWidth="1"/>
    <col min="2062" max="2062" width="2.07421875" style="2868" customWidth="1"/>
    <col min="2063" max="2063" width="23.69140625" style="2868" customWidth="1"/>
    <col min="2064" max="2064" width="2.69140625" style="2868" bestFit="1" customWidth="1"/>
    <col min="2065" max="2303" width="8.69140625" style="2868"/>
    <col min="2304" max="2305" width="8.69140625" style="2868" customWidth="1"/>
    <col min="2306" max="2306" width="10.07421875" style="2868" customWidth="1"/>
    <col min="2307" max="2307" width="2.07421875" style="2868" customWidth="1"/>
    <col min="2308" max="2308" width="50.4609375" style="2868" customWidth="1"/>
    <col min="2309" max="2309" width="8.69140625" style="2868"/>
    <col min="2310" max="2310" width="2.07421875" style="2868" customWidth="1"/>
    <col min="2311" max="2311" width="23.69140625" style="2868" customWidth="1"/>
    <col min="2312" max="2312" width="2.07421875" style="2868" customWidth="1"/>
    <col min="2313" max="2313" width="23.69140625" style="2868" customWidth="1"/>
    <col min="2314" max="2314" width="2.07421875" style="2868" customWidth="1"/>
    <col min="2315" max="2315" width="23.69140625" style="2868" customWidth="1"/>
    <col min="2316" max="2316" width="2.07421875" style="2868" customWidth="1"/>
    <col min="2317" max="2317" width="23.69140625" style="2868" customWidth="1"/>
    <col min="2318" max="2318" width="2.07421875" style="2868" customWidth="1"/>
    <col min="2319" max="2319" width="23.69140625" style="2868" customWidth="1"/>
    <col min="2320" max="2320" width="2.69140625" style="2868" bestFit="1" customWidth="1"/>
    <col min="2321" max="2559" width="8.69140625" style="2868"/>
    <col min="2560" max="2561" width="8.69140625" style="2868" customWidth="1"/>
    <col min="2562" max="2562" width="10.07421875" style="2868" customWidth="1"/>
    <col min="2563" max="2563" width="2.07421875" style="2868" customWidth="1"/>
    <col min="2564" max="2564" width="50.4609375" style="2868" customWidth="1"/>
    <col min="2565" max="2565" width="8.69140625" style="2868"/>
    <col min="2566" max="2566" width="2.07421875" style="2868" customWidth="1"/>
    <col min="2567" max="2567" width="23.69140625" style="2868" customWidth="1"/>
    <col min="2568" max="2568" width="2.07421875" style="2868" customWidth="1"/>
    <col min="2569" max="2569" width="23.69140625" style="2868" customWidth="1"/>
    <col min="2570" max="2570" width="2.07421875" style="2868" customWidth="1"/>
    <col min="2571" max="2571" width="23.69140625" style="2868" customWidth="1"/>
    <col min="2572" max="2572" width="2.07421875" style="2868" customWidth="1"/>
    <col min="2573" max="2573" width="23.69140625" style="2868" customWidth="1"/>
    <col min="2574" max="2574" width="2.07421875" style="2868" customWidth="1"/>
    <col min="2575" max="2575" width="23.69140625" style="2868" customWidth="1"/>
    <col min="2576" max="2576" width="2.69140625" style="2868" bestFit="1" customWidth="1"/>
    <col min="2577" max="2815" width="8.69140625" style="2868"/>
    <col min="2816" max="2817" width="8.69140625" style="2868" customWidth="1"/>
    <col min="2818" max="2818" width="10.07421875" style="2868" customWidth="1"/>
    <col min="2819" max="2819" width="2.07421875" style="2868" customWidth="1"/>
    <col min="2820" max="2820" width="50.4609375" style="2868" customWidth="1"/>
    <col min="2821" max="2821" width="8.69140625" style="2868"/>
    <col min="2822" max="2822" width="2.07421875" style="2868" customWidth="1"/>
    <col min="2823" max="2823" width="23.69140625" style="2868" customWidth="1"/>
    <col min="2824" max="2824" width="2.07421875" style="2868" customWidth="1"/>
    <col min="2825" max="2825" width="23.69140625" style="2868" customWidth="1"/>
    <col min="2826" max="2826" width="2.07421875" style="2868" customWidth="1"/>
    <col min="2827" max="2827" width="23.69140625" style="2868" customWidth="1"/>
    <col min="2828" max="2828" width="2.07421875" style="2868" customWidth="1"/>
    <col min="2829" max="2829" width="23.69140625" style="2868" customWidth="1"/>
    <col min="2830" max="2830" width="2.07421875" style="2868" customWidth="1"/>
    <col min="2831" max="2831" width="23.69140625" style="2868" customWidth="1"/>
    <col min="2832" max="2832" width="2.69140625" style="2868" bestFit="1" customWidth="1"/>
    <col min="2833" max="3071" width="8.69140625" style="2868"/>
    <col min="3072" max="3073" width="8.69140625" style="2868" customWidth="1"/>
    <col min="3074" max="3074" width="10.07421875" style="2868" customWidth="1"/>
    <col min="3075" max="3075" width="2.07421875" style="2868" customWidth="1"/>
    <col min="3076" max="3076" width="50.4609375" style="2868" customWidth="1"/>
    <col min="3077" max="3077" width="8.69140625" style="2868"/>
    <col min="3078" max="3078" width="2.07421875" style="2868" customWidth="1"/>
    <col min="3079" max="3079" width="23.69140625" style="2868" customWidth="1"/>
    <col min="3080" max="3080" width="2.07421875" style="2868" customWidth="1"/>
    <col min="3081" max="3081" width="23.69140625" style="2868" customWidth="1"/>
    <col min="3082" max="3082" width="2.07421875" style="2868" customWidth="1"/>
    <col min="3083" max="3083" width="23.69140625" style="2868" customWidth="1"/>
    <col min="3084" max="3084" width="2.07421875" style="2868" customWidth="1"/>
    <col min="3085" max="3085" width="23.69140625" style="2868" customWidth="1"/>
    <col min="3086" max="3086" width="2.07421875" style="2868" customWidth="1"/>
    <col min="3087" max="3087" width="23.69140625" style="2868" customWidth="1"/>
    <col min="3088" max="3088" width="2.69140625" style="2868" bestFit="1" customWidth="1"/>
    <col min="3089" max="3327" width="8.69140625" style="2868"/>
    <col min="3328" max="3329" width="8.69140625" style="2868" customWidth="1"/>
    <col min="3330" max="3330" width="10.07421875" style="2868" customWidth="1"/>
    <col min="3331" max="3331" width="2.07421875" style="2868" customWidth="1"/>
    <col min="3332" max="3332" width="50.4609375" style="2868" customWidth="1"/>
    <col min="3333" max="3333" width="8.69140625" style="2868"/>
    <col min="3334" max="3334" width="2.07421875" style="2868" customWidth="1"/>
    <col min="3335" max="3335" width="23.69140625" style="2868" customWidth="1"/>
    <col min="3336" max="3336" width="2.07421875" style="2868" customWidth="1"/>
    <col min="3337" max="3337" width="23.69140625" style="2868" customWidth="1"/>
    <col min="3338" max="3338" width="2.07421875" style="2868" customWidth="1"/>
    <col min="3339" max="3339" width="23.69140625" style="2868" customWidth="1"/>
    <col min="3340" max="3340" width="2.07421875" style="2868" customWidth="1"/>
    <col min="3341" max="3341" width="23.69140625" style="2868" customWidth="1"/>
    <col min="3342" max="3342" width="2.07421875" style="2868" customWidth="1"/>
    <col min="3343" max="3343" width="23.69140625" style="2868" customWidth="1"/>
    <col min="3344" max="3344" width="2.69140625" style="2868" bestFit="1" customWidth="1"/>
    <col min="3345" max="3583" width="8.69140625" style="2868"/>
    <col min="3584" max="3585" width="8.69140625" style="2868" customWidth="1"/>
    <col min="3586" max="3586" width="10.07421875" style="2868" customWidth="1"/>
    <col min="3587" max="3587" width="2.07421875" style="2868" customWidth="1"/>
    <col min="3588" max="3588" width="50.4609375" style="2868" customWidth="1"/>
    <col min="3589" max="3589" width="8.69140625" style="2868"/>
    <col min="3590" max="3590" width="2.07421875" style="2868" customWidth="1"/>
    <col min="3591" max="3591" width="23.69140625" style="2868" customWidth="1"/>
    <col min="3592" max="3592" width="2.07421875" style="2868" customWidth="1"/>
    <col min="3593" max="3593" width="23.69140625" style="2868" customWidth="1"/>
    <col min="3594" max="3594" width="2.07421875" style="2868" customWidth="1"/>
    <col min="3595" max="3595" width="23.69140625" style="2868" customWidth="1"/>
    <col min="3596" max="3596" width="2.07421875" style="2868" customWidth="1"/>
    <col min="3597" max="3597" width="23.69140625" style="2868" customWidth="1"/>
    <col min="3598" max="3598" width="2.07421875" style="2868" customWidth="1"/>
    <col min="3599" max="3599" width="23.69140625" style="2868" customWidth="1"/>
    <col min="3600" max="3600" width="2.69140625" style="2868" bestFit="1" customWidth="1"/>
    <col min="3601" max="3839" width="8.69140625" style="2868"/>
    <col min="3840" max="3841" width="8.69140625" style="2868" customWidth="1"/>
    <col min="3842" max="3842" width="10.07421875" style="2868" customWidth="1"/>
    <col min="3843" max="3843" width="2.07421875" style="2868" customWidth="1"/>
    <col min="3844" max="3844" width="50.4609375" style="2868" customWidth="1"/>
    <col min="3845" max="3845" width="8.69140625" style="2868"/>
    <col min="3846" max="3846" width="2.07421875" style="2868" customWidth="1"/>
    <col min="3847" max="3847" width="23.69140625" style="2868" customWidth="1"/>
    <col min="3848" max="3848" width="2.07421875" style="2868" customWidth="1"/>
    <col min="3849" max="3849" width="23.69140625" style="2868" customWidth="1"/>
    <col min="3850" max="3850" width="2.07421875" style="2868" customWidth="1"/>
    <col min="3851" max="3851" width="23.69140625" style="2868" customWidth="1"/>
    <col min="3852" max="3852" width="2.07421875" style="2868" customWidth="1"/>
    <col min="3853" max="3853" width="23.69140625" style="2868" customWidth="1"/>
    <col min="3854" max="3854" width="2.07421875" style="2868" customWidth="1"/>
    <col min="3855" max="3855" width="23.69140625" style="2868" customWidth="1"/>
    <col min="3856" max="3856" width="2.69140625" style="2868" bestFit="1" customWidth="1"/>
    <col min="3857" max="4095" width="8.69140625" style="2868"/>
    <col min="4096" max="4097" width="8.69140625" style="2868" customWidth="1"/>
    <col min="4098" max="4098" width="10.07421875" style="2868" customWidth="1"/>
    <col min="4099" max="4099" width="2.07421875" style="2868" customWidth="1"/>
    <col min="4100" max="4100" width="50.4609375" style="2868" customWidth="1"/>
    <col min="4101" max="4101" width="8.69140625" style="2868"/>
    <col min="4102" max="4102" width="2.07421875" style="2868" customWidth="1"/>
    <col min="4103" max="4103" width="23.69140625" style="2868" customWidth="1"/>
    <col min="4104" max="4104" width="2.07421875" style="2868" customWidth="1"/>
    <col min="4105" max="4105" width="23.69140625" style="2868" customWidth="1"/>
    <col min="4106" max="4106" width="2.07421875" style="2868" customWidth="1"/>
    <col min="4107" max="4107" width="23.69140625" style="2868" customWidth="1"/>
    <col min="4108" max="4108" width="2.07421875" style="2868" customWidth="1"/>
    <col min="4109" max="4109" width="23.69140625" style="2868" customWidth="1"/>
    <col min="4110" max="4110" width="2.07421875" style="2868" customWidth="1"/>
    <col min="4111" max="4111" width="23.69140625" style="2868" customWidth="1"/>
    <col min="4112" max="4112" width="2.69140625" style="2868" bestFit="1" customWidth="1"/>
    <col min="4113" max="4351" width="8.69140625" style="2868"/>
    <col min="4352" max="4353" width="8.69140625" style="2868" customWidth="1"/>
    <col min="4354" max="4354" width="10.07421875" style="2868" customWidth="1"/>
    <col min="4355" max="4355" width="2.07421875" style="2868" customWidth="1"/>
    <col min="4356" max="4356" width="50.4609375" style="2868" customWidth="1"/>
    <col min="4357" max="4357" width="8.69140625" style="2868"/>
    <col min="4358" max="4358" width="2.07421875" style="2868" customWidth="1"/>
    <col min="4359" max="4359" width="23.69140625" style="2868" customWidth="1"/>
    <col min="4360" max="4360" width="2.07421875" style="2868" customWidth="1"/>
    <col min="4361" max="4361" width="23.69140625" style="2868" customWidth="1"/>
    <col min="4362" max="4362" width="2.07421875" style="2868" customWidth="1"/>
    <col min="4363" max="4363" width="23.69140625" style="2868" customWidth="1"/>
    <col min="4364" max="4364" width="2.07421875" style="2868" customWidth="1"/>
    <col min="4365" max="4365" width="23.69140625" style="2868" customWidth="1"/>
    <col min="4366" max="4366" width="2.07421875" style="2868" customWidth="1"/>
    <col min="4367" max="4367" width="23.69140625" style="2868" customWidth="1"/>
    <col min="4368" max="4368" width="2.69140625" style="2868" bestFit="1" customWidth="1"/>
    <col min="4369" max="4607" width="8.69140625" style="2868"/>
    <col min="4608" max="4609" width="8.69140625" style="2868" customWidth="1"/>
    <col min="4610" max="4610" width="10.07421875" style="2868" customWidth="1"/>
    <col min="4611" max="4611" width="2.07421875" style="2868" customWidth="1"/>
    <col min="4612" max="4612" width="50.4609375" style="2868" customWidth="1"/>
    <col min="4613" max="4613" width="8.69140625" style="2868"/>
    <col min="4614" max="4614" width="2.07421875" style="2868" customWidth="1"/>
    <col min="4615" max="4615" width="23.69140625" style="2868" customWidth="1"/>
    <col min="4616" max="4616" width="2.07421875" style="2868" customWidth="1"/>
    <col min="4617" max="4617" width="23.69140625" style="2868" customWidth="1"/>
    <col min="4618" max="4618" width="2.07421875" style="2868" customWidth="1"/>
    <col min="4619" max="4619" width="23.69140625" style="2868" customWidth="1"/>
    <col min="4620" max="4620" width="2.07421875" style="2868" customWidth="1"/>
    <col min="4621" max="4621" width="23.69140625" style="2868" customWidth="1"/>
    <col min="4622" max="4622" width="2.07421875" style="2868" customWidth="1"/>
    <col min="4623" max="4623" width="23.69140625" style="2868" customWidth="1"/>
    <col min="4624" max="4624" width="2.69140625" style="2868" bestFit="1" customWidth="1"/>
    <col min="4625" max="4863" width="8.69140625" style="2868"/>
    <col min="4864" max="4865" width="8.69140625" style="2868" customWidth="1"/>
    <col min="4866" max="4866" width="10.07421875" style="2868" customWidth="1"/>
    <col min="4867" max="4867" width="2.07421875" style="2868" customWidth="1"/>
    <col min="4868" max="4868" width="50.4609375" style="2868" customWidth="1"/>
    <col min="4869" max="4869" width="8.69140625" style="2868"/>
    <col min="4870" max="4870" width="2.07421875" style="2868" customWidth="1"/>
    <col min="4871" max="4871" width="23.69140625" style="2868" customWidth="1"/>
    <col min="4872" max="4872" width="2.07421875" style="2868" customWidth="1"/>
    <col min="4873" max="4873" width="23.69140625" style="2868" customWidth="1"/>
    <col min="4874" max="4874" width="2.07421875" style="2868" customWidth="1"/>
    <col min="4875" max="4875" width="23.69140625" style="2868" customWidth="1"/>
    <col min="4876" max="4876" width="2.07421875" style="2868" customWidth="1"/>
    <col min="4877" max="4877" width="23.69140625" style="2868" customWidth="1"/>
    <col min="4878" max="4878" width="2.07421875" style="2868" customWidth="1"/>
    <col min="4879" max="4879" width="23.69140625" style="2868" customWidth="1"/>
    <col min="4880" max="4880" width="2.69140625" style="2868" bestFit="1" customWidth="1"/>
    <col min="4881" max="5119" width="8.69140625" style="2868"/>
    <col min="5120" max="5121" width="8.69140625" style="2868" customWidth="1"/>
    <col min="5122" max="5122" width="10.07421875" style="2868" customWidth="1"/>
    <col min="5123" max="5123" width="2.07421875" style="2868" customWidth="1"/>
    <col min="5124" max="5124" width="50.4609375" style="2868" customWidth="1"/>
    <col min="5125" max="5125" width="8.69140625" style="2868"/>
    <col min="5126" max="5126" width="2.07421875" style="2868" customWidth="1"/>
    <col min="5127" max="5127" width="23.69140625" style="2868" customWidth="1"/>
    <col min="5128" max="5128" width="2.07421875" style="2868" customWidth="1"/>
    <col min="5129" max="5129" width="23.69140625" style="2868" customWidth="1"/>
    <col min="5130" max="5130" width="2.07421875" style="2868" customWidth="1"/>
    <col min="5131" max="5131" width="23.69140625" style="2868" customWidth="1"/>
    <col min="5132" max="5132" width="2.07421875" style="2868" customWidth="1"/>
    <col min="5133" max="5133" width="23.69140625" style="2868" customWidth="1"/>
    <col min="5134" max="5134" width="2.07421875" style="2868" customWidth="1"/>
    <col min="5135" max="5135" width="23.69140625" style="2868" customWidth="1"/>
    <col min="5136" max="5136" width="2.69140625" style="2868" bestFit="1" customWidth="1"/>
    <col min="5137" max="5375" width="8.69140625" style="2868"/>
    <col min="5376" max="5377" width="8.69140625" style="2868" customWidth="1"/>
    <col min="5378" max="5378" width="10.07421875" style="2868" customWidth="1"/>
    <col min="5379" max="5379" width="2.07421875" style="2868" customWidth="1"/>
    <col min="5380" max="5380" width="50.4609375" style="2868" customWidth="1"/>
    <col min="5381" max="5381" width="8.69140625" style="2868"/>
    <col min="5382" max="5382" width="2.07421875" style="2868" customWidth="1"/>
    <col min="5383" max="5383" width="23.69140625" style="2868" customWidth="1"/>
    <col min="5384" max="5384" width="2.07421875" style="2868" customWidth="1"/>
    <col min="5385" max="5385" width="23.69140625" style="2868" customWidth="1"/>
    <col min="5386" max="5386" width="2.07421875" style="2868" customWidth="1"/>
    <col min="5387" max="5387" width="23.69140625" style="2868" customWidth="1"/>
    <col min="5388" max="5388" width="2.07421875" style="2868" customWidth="1"/>
    <col min="5389" max="5389" width="23.69140625" style="2868" customWidth="1"/>
    <col min="5390" max="5390" width="2.07421875" style="2868" customWidth="1"/>
    <col min="5391" max="5391" width="23.69140625" style="2868" customWidth="1"/>
    <col min="5392" max="5392" width="2.69140625" style="2868" bestFit="1" customWidth="1"/>
    <col min="5393" max="5631" width="8.69140625" style="2868"/>
    <col min="5632" max="5633" width="8.69140625" style="2868" customWidth="1"/>
    <col min="5634" max="5634" width="10.07421875" style="2868" customWidth="1"/>
    <col min="5635" max="5635" width="2.07421875" style="2868" customWidth="1"/>
    <col min="5636" max="5636" width="50.4609375" style="2868" customWidth="1"/>
    <col min="5637" max="5637" width="8.69140625" style="2868"/>
    <col min="5638" max="5638" width="2.07421875" style="2868" customWidth="1"/>
    <col min="5639" max="5639" width="23.69140625" style="2868" customWidth="1"/>
    <col min="5640" max="5640" width="2.07421875" style="2868" customWidth="1"/>
    <col min="5641" max="5641" width="23.69140625" style="2868" customWidth="1"/>
    <col min="5642" max="5642" width="2.07421875" style="2868" customWidth="1"/>
    <col min="5643" max="5643" width="23.69140625" style="2868" customWidth="1"/>
    <col min="5644" max="5644" width="2.07421875" style="2868" customWidth="1"/>
    <col min="5645" max="5645" width="23.69140625" style="2868" customWidth="1"/>
    <col min="5646" max="5646" width="2.07421875" style="2868" customWidth="1"/>
    <col min="5647" max="5647" width="23.69140625" style="2868" customWidth="1"/>
    <col min="5648" max="5648" width="2.69140625" style="2868" bestFit="1" customWidth="1"/>
    <col min="5649" max="5887" width="8.69140625" style="2868"/>
    <col min="5888" max="5889" width="8.69140625" style="2868" customWidth="1"/>
    <col min="5890" max="5890" width="10.07421875" style="2868" customWidth="1"/>
    <col min="5891" max="5891" width="2.07421875" style="2868" customWidth="1"/>
    <col min="5892" max="5892" width="50.4609375" style="2868" customWidth="1"/>
    <col min="5893" max="5893" width="8.69140625" style="2868"/>
    <col min="5894" max="5894" width="2.07421875" style="2868" customWidth="1"/>
    <col min="5895" max="5895" width="23.69140625" style="2868" customWidth="1"/>
    <col min="5896" max="5896" width="2.07421875" style="2868" customWidth="1"/>
    <col min="5897" max="5897" width="23.69140625" style="2868" customWidth="1"/>
    <col min="5898" max="5898" width="2.07421875" style="2868" customWidth="1"/>
    <col min="5899" max="5899" width="23.69140625" style="2868" customWidth="1"/>
    <col min="5900" max="5900" width="2.07421875" style="2868" customWidth="1"/>
    <col min="5901" max="5901" width="23.69140625" style="2868" customWidth="1"/>
    <col min="5902" max="5902" width="2.07421875" style="2868" customWidth="1"/>
    <col min="5903" max="5903" width="23.69140625" style="2868" customWidth="1"/>
    <col min="5904" max="5904" width="2.69140625" style="2868" bestFit="1" customWidth="1"/>
    <col min="5905" max="6143" width="8.69140625" style="2868"/>
    <col min="6144" max="6145" width="8.69140625" style="2868" customWidth="1"/>
    <col min="6146" max="6146" width="10.07421875" style="2868" customWidth="1"/>
    <col min="6147" max="6147" width="2.07421875" style="2868" customWidth="1"/>
    <col min="6148" max="6148" width="50.4609375" style="2868" customWidth="1"/>
    <col min="6149" max="6149" width="8.69140625" style="2868"/>
    <col min="6150" max="6150" width="2.07421875" style="2868" customWidth="1"/>
    <col min="6151" max="6151" width="23.69140625" style="2868" customWidth="1"/>
    <col min="6152" max="6152" width="2.07421875" style="2868" customWidth="1"/>
    <col min="6153" max="6153" width="23.69140625" style="2868" customWidth="1"/>
    <col min="6154" max="6154" width="2.07421875" style="2868" customWidth="1"/>
    <col min="6155" max="6155" width="23.69140625" style="2868" customWidth="1"/>
    <col min="6156" max="6156" width="2.07421875" style="2868" customWidth="1"/>
    <col min="6157" max="6157" width="23.69140625" style="2868" customWidth="1"/>
    <col min="6158" max="6158" width="2.07421875" style="2868" customWidth="1"/>
    <col min="6159" max="6159" width="23.69140625" style="2868" customWidth="1"/>
    <col min="6160" max="6160" width="2.69140625" style="2868" bestFit="1" customWidth="1"/>
    <col min="6161" max="6399" width="8.69140625" style="2868"/>
    <col min="6400" max="6401" width="8.69140625" style="2868" customWidth="1"/>
    <col min="6402" max="6402" width="10.07421875" style="2868" customWidth="1"/>
    <col min="6403" max="6403" width="2.07421875" style="2868" customWidth="1"/>
    <col min="6404" max="6404" width="50.4609375" style="2868" customWidth="1"/>
    <col min="6405" max="6405" width="8.69140625" style="2868"/>
    <col min="6406" max="6406" width="2.07421875" style="2868" customWidth="1"/>
    <col min="6407" max="6407" width="23.69140625" style="2868" customWidth="1"/>
    <col min="6408" max="6408" width="2.07421875" style="2868" customWidth="1"/>
    <col min="6409" max="6409" width="23.69140625" style="2868" customWidth="1"/>
    <col min="6410" max="6410" width="2.07421875" style="2868" customWidth="1"/>
    <col min="6411" max="6411" width="23.69140625" style="2868" customWidth="1"/>
    <col min="6412" max="6412" width="2.07421875" style="2868" customWidth="1"/>
    <col min="6413" max="6413" width="23.69140625" style="2868" customWidth="1"/>
    <col min="6414" max="6414" width="2.07421875" style="2868" customWidth="1"/>
    <col min="6415" max="6415" width="23.69140625" style="2868" customWidth="1"/>
    <col min="6416" max="6416" width="2.69140625" style="2868" bestFit="1" customWidth="1"/>
    <col min="6417" max="6655" width="8.69140625" style="2868"/>
    <col min="6656" max="6657" width="8.69140625" style="2868" customWidth="1"/>
    <col min="6658" max="6658" width="10.07421875" style="2868" customWidth="1"/>
    <col min="6659" max="6659" width="2.07421875" style="2868" customWidth="1"/>
    <col min="6660" max="6660" width="50.4609375" style="2868" customWidth="1"/>
    <col min="6661" max="6661" width="8.69140625" style="2868"/>
    <col min="6662" max="6662" width="2.07421875" style="2868" customWidth="1"/>
    <col min="6663" max="6663" width="23.69140625" style="2868" customWidth="1"/>
    <col min="6664" max="6664" width="2.07421875" style="2868" customWidth="1"/>
    <col min="6665" max="6665" width="23.69140625" style="2868" customWidth="1"/>
    <col min="6666" max="6666" width="2.07421875" style="2868" customWidth="1"/>
    <col min="6667" max="6667" width="23.69140625" style="2868" customWidth="1"/>
    <col min="6668" max="6668" width="2.07421875" style="2868" customWidth="1"/>
    <col min="6669" max="6669" width="23.69140625" style="2868" customWidth="1"/>
    <col min="6670" max="6670" width="2.07421875" style="2868" customWidth="1"/>
    <col min="6671" max="6671" width="23.69140625" style="2868" customWidth="1"/>
    <col min="6672" max="6672" width="2.69140625" style="2868" bestFit="1" customWidth="1"/>
    <col min="6673" max="6911" width="8.69140625" style="2868"/>
    <col min="6912" max="6913" width="8.69140625" style="2868" customWidth="1"/>
    <col min="6914" max="6914" width="10.07421875" style="2868" customWidth="1"/>
    <col min="6915" max="6915" width="2.07421875" style="2868" customWidth="1"/>
    <col min="6916" max="6916" width="50.4609375" style="2868" customWidth="1"/>
    <col min="6917" max="6917" width="8.69140625" style="2868"/>
    <col min="6918" max="6918" width="2.07421875" style="2868" customWidth="1"/>
    <col min="6919" max="6919" width="23.69140625" style="2868" customWidth="1"/>
    <col min="6920" max="6920" width="2.07421875" style="2868" customWidth="1"/>
    <col min="6921" max="6921" width="23.69140625" style="2868" customWidth="1"/>
    <col min="6922" max="6922" width="2.07421875" style="2868" customWidth="1"/>
    <col min="6923" max="6923" width="23.69140625" style="2868" customWidth="1"/>
    <col min="6924" max="6924" width="2.07421875" style="2868" customWidth="1"/>
    <col min="6925" max="6925" width="23.69140625" style="2868" customWidth="1"/>
    <col min="6926" max="6926" width="2.07421875" style="2868" customWidth="1"/>
    <col min="6927" max="6927" width="23.69140625" style="2868" customWidth="1"/>
    <col min="6928" max="6928" width="2.69140625" style="2868" bestFit="1" customWidth="1"/>
    <col min="6929" max="7167" width="8.69140625" style="2868"/>
    <col min="7168" max="7169" width="8.69140625" style="2868" customWidth="1"/>
    <col min="7170" max="7170" width="10.07421875" style="2868" customWidth="1"/>
    <col min="7171" max="7171" width="2.07421875" style="2868" customWidth="1"/>
    <col min="7172" max="7172" width="50.4609375" style="2868" customWidth="1"/>
    <col min="7173" max="7173" width="8.69140625" style="2868"/>
    <col min="7174" max="7174" width="2.07421875" style="2868" customWidth="1"/>
    <col min="7175" max="7175" width="23.69140625" style="2868" customWidth="1"/>
    <col min="7176" max="7176" width="2.07421875" style="2868" customWidth="1"/>
    <col min="7177" max="7177" width="23.69140625" style="2868" customWidth="1"/>
    <col min="7178" max="7178" width="2.07421875" style="2868" customWidth="1"/>
    <col min="7179" max="7179" width="23.69140625" style="2868" customWidth="1"/>
    <col min="7180" max="7180" width="2.07421875" style="2868" customWidth="1"/>
    <col min="7181" max="7181" width="23.69140625" style="2868" customWidth="1"/>
    <col min="7182" max="7182" width="2.07421875" style="2868" customWidth="1"/>
    <col min="7183" max="7183" width="23.69140625" style="2868" customWidth="1"/>
    <col min="7184" max="7184" width="2.69140625" style="2868" bestFit="1" customWidth="1"/>
    <col min="7185" max="7423" width="8.69140625" style="2868"/>
    <col min="7424" max="7425" width="8.69140625" style="2868" customWidth="1"/>
    <col min="7426" max="7426" width="10.07421875" style="2868" customWidth="1"/>
    <col min="7427" max="7427" width="2.07421875" style="2868" customWidth="1"/>
    <col min="7428" max="7428" width="50.4609375" style="2868" customWidth="1"/>
    <col min="7429" max="7429" width="8.69140625" style="2868"/>
    <col min="7430" max="7430" width="2.07421875" style="2868" customWidth="1"/>
    <col min="7431" max="7431" width="23.69140625" style="2868" customWidth="1"/>
    <col min="7432" max="7432" width="2.07421875" style="2868" customWidth="1"/>
    <col min="7433" max="7433" width="23.69140625" style="2868" customWidth="1"/>
    <col min="7434" max="7434" width="2.07421875" style="2868" customWidth="1"/>
    <col min="7435" max="7435" width="23.69140625" style="2868" customWidth="1"/>
    <col min="7436" max="7436" width="2.07421875" style="2868" customWidth="1"/>
    <col min="7437" max="7437" width="23.69140625" style="2868" customWidth="1"/>
    <col min="7438" max="7438" width="2.07421875" style="2868" customWidth="1"/>
    <col min="7439" max="7439" width="23.69140625" style="2868" customWidth="1"/>
    <col min="7440" max="7440" width="2.69140625" style="2868" bestFit="1" customWidth="1"/>
    <col min="7441" max="7679" width="8.69140625" style="2868"/>
    <col min="7680" max="7681" width="8.69140625" style="2868" customWidth="1"/>
    <col min="7682" max="7682" width="10.07421875" style="2868" customWidth="1"/>
    <col min="7683" max="7683" width="2.07421875" style="2868" customWidth="1"/>
    <col min="7684" max="7684" width="50.4609375" style="2868" customWidth="1"/>
    <col min="7685" max="7685" width="8.69140625" style="2868"/>
    <col min="7686" max="7686" width="2.07421875" style="2868" customWidth="1"/>
    <col min="7687" max="7687" width="23.69140625" style="2868" customWidth="1"/>
    <col min="7688" max="7688" width="2.07421875" style="2868" customWidth="1"/>
    <col min="7689" max="7689" width="23.69140625" style="2868" customWidth="1"/>
    <col min="7690" max="7690" width="2.07421875" style="2868" customWidth="1"/>
    <col min="7691" max="7691" width="23.69140625" style="2868" customWidth="1"/>
    <col min="7692" max="7692" width="2.07421875" style="2868" customWidth="1"/>
    <col min="7693" max="7693" width="23.69140625" style="2868" customWidth="1"/>
    <col min="7694" max="7694" width="2.07421875" style="2868" customWidth="1"/>
    <col min="7695" max="7695" width="23.69140625" style="2868" customWidth="1"/>
    <col min="7696" max="7696" width="2.69140625" style="2868" bestFit="1" customWidth="1"/>
    <col min="7697" max="7935" width="8.69140625" style="2868"/>
    <col min="7936" max="7937" width="8.69140625" style="2868" customWidth="1"/>
    <col min="7938" max="7938" width="10.07421875" style="2868" customWidth="1"/>
    <col min="7939" max="7939" width="2.07421875" style="2868" customWidth="1"/>
    <col min="7940" max="7940" width="50.4609375" style="2868" customWidth="1"/>
    <col min="7941" max="7941" width="8.69140625" style="2868"/>
    <col min="7942" max="7942" width="2.07421875" style="2868" customWidth="1"/>
    <col min="7943" max="7943" width="23.69140625" style="2868" customWidth="1"/>
    <col min="7944" max="7944" width="2.07421875" style="2868" customWidth="1"/>
    <col min="7945" max="7945" width="23.69140625" style="2868" customWidth="1"/>
    <col min="7946" max="7946" width="2.07421875" style="2868" customWidth="1"/>
    <col min="7947" max="7947" width="23.69140625" style="2868" customWidth="1"/>
    <col min="7948" max="7948" width="2.07421875" style="2868" customWidth="1"/>
    <col min="7949" max="7949" width="23.69140625" style="2868" customWidth="1"/>
    <col min="7950" max="7950" width="2.07421875" style="2868" customWidth="1"/>
    <col min="7951" max="7951" width="23.69140625" style="2868" customWidth="1"/>
    <col min="7952" max="7952" width="2.69140625" style="2868" bestFit="1" customWidth="1"/>
    <col min="7953" max="8191" width="8.69140625" style="2868"/>
    <col min="8192" max="8193" width="8.69140625" style="2868" customWidth="1"/>
    <col min="8194" max="8194" width="10.07421875" style="2868" customWidth="1"/>
    <col min="8195" max="8195" width="2.07421875" style="2868" customWidth="1"/>
    <col min="8196" max="8196" width="50.4609375" style="2868" customWidth="1"/>
    <col min="8197" max="8197" width="8.69140625" style="2868"/>
    <col min="8198" max="8198" width="2.07421875" style="2868" customWidth="1"/>
    <col min="8199" max="8199" width="23.69140625" style="2868" customWidth="1"/>
    <col min="8200" max="8200" width="2.07421875" style="2868" customWidth="1"/>
    <col min="8201" max="8201" width="23.69140625" style="2868" customWidth="1"/>
    <col min="8202" max="8202" width="2.07421875" style="2868" customWidth="1"/>
    <col min="8203" max="8203" width="23.69140625" style="2868" customWidth="1"/>
    <col min="8204" max="8204" width="2.07421875" style="2868" customWidth="1"/>
    <col min="8205" max="8205" width="23.69140625" style="2868" customWidth="1"/>
    <col min="8206" max="8206" width="2.07421875" style="2868" customWidth="1"/>
    <col min="8207" max="8207" width="23.69140625" style="2868" customWidth="1"/>
    <col min="8208" max="8208" width="2.69140625" style="2868" bestFit="1" customWidth="1"/>
    <col min="8209" max="8447" width="8.69140625" style="2868"/>
    <col min="8448" max="8449" width="8.69140625" style="2868" customWidth="1"/>
    <col min="8450" max="8450" width="10.07421875" style="2868" customWidth="1"/>
    <col min="8451" max="8451" width="2.07421875" style="2868" customWidth="1"/>
    <col min="8452" max="8452" width="50.4609375" style="2868" customWidth="1"/>
    <col min="8453" max="8453" width="8.69140625" style="2868"/>
    <col min="8454" max="8454" width="2.07421875" style="2868" customWidth="1"/>
    <col min="8455" max="8455" width="23.69140625" style="2868" customWidth="1"/>
    <col min="8456" max="8456" width="2.07421875" style="2868" customWidth="1"/>
    <col min="8457" max="8457" width="23.69140625" style="2868" customWidth="1"/>
    <col min="8458" max="8458" width="2.07421875" style="2868" customWidth="1"/>
    <col min="8459" max="8459" width="23.69140625" style="2868" customWidth="1"/>
    <col min="8460" max="8460" width="2.07421875" style="2868" customWidth="1"/>
    <col min="8461" max="8461" width="23.69140625" style="2868" customWidth="1"/>
    <col min="8462" max="8462" width="2.07421875" style="2868" customWidth="1"/>
    <col min="8463" max="8463" width="23.69140625" style="2868" customWidth="1"/>
    <col min="8464" max="8464" width="2.69140625" style="2868" bestFit="1" customWidth="1"/>
    <col min="8465" max="8703" width="8.69140625" style="2868"/>
    <col min="8704" max="8705" width="8.69140625" style="2868" customWidth="1"/>
    <col min="8706" max="8706" width="10.07421875" style="2868" customWidth="1"/>
    <col min="8707" max="8707" width="2.07421875" style="2868" customWidth="1"/>
    <col min="8708" max="8708" width="50.4609375" style="2868" customWidth="1"/>
    <col min="8709" max="8709" width="8.69140625" style="2868"/>
    <col min="8710" max="8710" width="2.07421875" style="2868" customWidth="1"/>
    <col min="8711" max="8711" width="23.69140625" style="2868" customWidth="1"/>
    <col min="8712" max="8712" width="2.07421875" style="2868" customWidth="1"/>
    <col min="8713" max="8713" width="23.69140625" style="2868" customWidth="1"/>
    <col min="8714" max="8714" width="2.07421875" style="2868" customWidth="1"/>
    <col min="8715" max="8715" width="23.69140625" style="2868" customWidth="1"/>
    <col min="8716" max="8716" width="2.07421875" style="2868" customWidth="1"/>
    <col min="8717" max="8717" width="23.69140625" style="2868" customWidth="1"/>
    <col min="8718" max="8718" width="2.07421875" style="2868" customWidth="1"/>
    <col min="8719" max="8719" width="23.69140625" style="2868" customWidth="1"/>
    <col min="8720" max="8720" width="2.69140625" style="2868" bestFit="1" customWidth="1"/>
    <col min="8721" max="8959" width="8.69140625" style="2868"/>
    <col min="8960" max="8961" width="8.69140625" style="2868" customWidth="1"/>
    <col min="8962" max="8962" width="10.07421875" style="2868" customWidth="1"/>
    <col min="8963" max="8963" width="2.07421875" style="2868" customWidth="1"/>
    <col min="8964" max="8964" width="50.4609375" style="2868" customWidth="1"/>
    <col min="8965" max="8965" width="8.69140625" style="2868"/>
    <col min="8966" max="8966" width="2.07421875" style="2868" customWidth="1"/>
    <col min="8967" max="8967" width="23.69140625" style="2868" customWidth="1"/>
    <col min="8968" max="8968" width="2.07421875" style="2868" customWidth="1"/>
    <col min="8969" max="8969" width="23.69140625" style="2868" customWidth="1"/>
    <col min="8970" max="8970" width="2.07421875" style="2868" customWidth="1"/>
    <col min="8971" max="8971" width="23.69140625" style="2868" customWidth="1"/>
    <col min="8972" max="8972" width="2.07421875" style="2868" customWidth="1"/>
    <col min="8973" max="8973" width="23.69140625" style="2868" customWidth="1"/>
    <col min="8974" max="8974" width="2.07421875" style="2868" customWidth="1"/>
    <col min="8975" max="8975" width="23.69140625" style="2868" customWidth="1"/>
    <col min="8976" max="8976" width="2.69140625" style="2868" bestFit="1" customWidth="1"/>
    <col min="8977" max="9215" width="8.69140625" style="2868"/>
    <col min="9216" max="9217" width="8.69140625" style="2868" customWidth="1"/>
    <col min="9218" max="9218" width="10.07421875" style="2868" customWidth="1"/>
    <col min="9219" max="9219" width="2.07421875" style="2868" customWidth="1"/>
    <col min="9220" max="9220" width="50.4609375" style="2868" customWidth="1"/>
    <col min="9221" max="9221" width="8.69140625" style="2868"/>
    <col min="9222" max="9222" width="2.07421875" style="2868" customWidth="1"/>
    <col min="9223" max="9223" width="23.69140625" style="2868" customWidth="1"/>
    <col min="9224" max="9224" width="2.07421875" style="2868" customWidth="1"/>
    <col min="9225" max="9225" width="23.69140625" style="2868" customWidth="1"/>
    <col min="9226" max="9226" width="2.07421875" style="2868" customWidth="1"/>
    <col min="9227" max="9227" width="23.69140625" style="2868" customWidth="1"/>
    <col min="9228" max="9228" width="2.07421875" style="2868" customWidth="1"/>
    <col min="9229" max="9229" width="23.69140625" style="2868" customWidth="1"/>
    <col min="9230" max="9230" width="2.07421875" style="2868" customWidth="1"/>
    <col min="9231" max="9231" width="23.69140625" style="2868" customWidth="1"/>
    <col min="9232" max="9232" width="2.69140625" style="2868" bestFit="1" customWidth="1"/>
    <col min="9233" max="9471" width="8.69140625" style="2868"/>
    <col min="9472" max="9473" width="8.69140625" style="2868" customWidth="1"/>
    <col min="9474" max="9474" width="10.07421875" style="2868" customWidth="1"/>
    <col min="9475" max="9475" width="2.07421875" style="2868" customWidth="1"/>
    <col min="9476" max="9476" width="50.4609375" style="2868" customWidth="1"/>
    <col min="9477" max="9477" width="8.69140625" style="2868"/>
    <col min="9478" max="9478" width="2.07421875" style="2868" customWidth="1"/>
    <col min="9479" max="9479" width="23.69140625" style="2868" customWidth="1"/>
    <col min="9480" max="9480" width="2.07421875" style="2868" customWidth="1"/>
    <col min="9481" max="9481" width="23.69140625" style="2868" customWidth="1"/>
    <col min="9482" max="9482" width="2.07421875" style="2868" customWidth="1"/>
    <col min="9483" max="9483" width="23.69140625" style="2868" customWidth="1"/>
    <col min="9484" max="9484" width="2.07421875" style="2868" customWidth="1"/>
    <col min="9485" max="9485" width="23.69140625" style="2868" customWidth="1"/>
    <col min="9486" max="9486" width="2.07421875" style="2868" customWidth="1"/>
    <col min="9487" max="9487" width="23.69140625" style="2868" customWidth="1"/>
    <col min="9488" max="9488" width="2.69140625" style="2868" bestFit="1" customWidth="1"/>
    <col min="9489" max="9727" width="8.69140625" style="2868"/>
    <col min="9728" max="9729" width="8.69140625" style="2868" customWidth="1"/>
    <col min="9730" max="9730" width="10.07421875" style="2868" customWidth="1"/>
    <col min="9731" max="9731" width="2.07421875" style="2868" customWidth="1"/>
    <col min="9732" max="9732" width="50.4609375" style="2868" customWidth="1"/>
    <col min="9733" max="9733" width="8.69140625" style="2868"/>
    <col min="9734" max="9734" width="2.07421875" style="2868" customWidth="1"/>
    <col min="9735" max="9735" width="23.69140625" style="2868" customWidth="1"/>
    <col min="9736" max="9736" width="2.07421875" style="2868" customWidth="1"/>
    <col min="9737" max="9737" width="23.69140625" style="2868" customWidth="1"/>
    <col min="9738" max="9738" width="2.07421875" style="2868" customWidth="1"/>
    <col min="9739" max="9739" width="23.69140625" style="2868" customWidth="1"/>
    <col min="9740" max="9740" width="2.07421875" style="2868" customWidth="1"/>
    <col min="9741" max="9741" width="23.69140625" style="2868" customWidth="1"/>
    <col min="9742" max="9742" width="2.07421875" style="2868" customWidth="1"/>
    <col min="9743" max="9743" width="23.69140625" style="2868" customWidth="1"/>
    <col min="9744" max="9744" width="2.69140625" style="2868" bestFit="1" customWidth="1"/>
    <col min="9745" max="9983" width="8.69140625" style="2868"/>
    <col min="9984" max="9985" width="8.69140625" style="2868" customWidth="1"/>
    <col min="9986" max="9986" width="10.07421875" style="2868" customWidth="1"/>
    <col min="9987" max="9987" width="2.07421875" style="2868" customWidth="1"/>
    <col min="9988" max="9988" width="50.4609375" style="2868" customWidth="1"/>
    <col min="9989" max="9989" width="8.69140625" style="2868"/>
    <col min="9990" max="9990" width="2.07421875" style="2868" customWidth="1"/>
    <col min="9991" max="9991" width="23.69140625" style="2868" customWidth="1"/>
    <col min="9992" max="9992" width="2.07421875" style="2868" customWidth="1"/>
    <col min="9993" max="9993" width="23.69140625" style="2868" customWidth="1"/>
    <col min="9994" max="9994" width="2.07421875" style="2868" customWidth="1"/>
    <col min="9995" max="9995" width="23.69140625" style="2868" customWidth="1"/>
    <col min="9996" max="9996" width="2.07421875" style="2868" customWidth="1"/>
    <col min="9997" max="9997" width="23.69140625" style="2868" customWidth="1"/>
    <col min="9998" max="9998" width="2.07421875" style="2868" customWidth="1"/>
    <col min="9999" max="9999" width="23.69140625" style="2868" customWidth="1"/>
    <col min="10000" max="10000" width="2.69140625" style="2868" bestFit="1" customWidth="1"/>
    <col min="10001" max="10239" width="8.69140625" style="2868"/>
    <col min="10240" max="10241" width="8.69140625" style="2868" customWidth="1"/>
    <col min="10242" max="10242" width="10.07421875" style="2868" customWidth="1"/>
    <col min="10243" max="10243" width="2.07421875" style="2868" customWidth="1"/>
    <col min="10244" max="10244" width="50.4609375" style="2868" customWidth="1"/>
    <col min="10245" max="10245" width="8.69140625" style="2868"/>
    <col min="10246" max="10246" width="2.07421875" style="2868" customWidth="1"/>
    <col min="10247" max="10247" width="23.69140625" style="2868" customWidth="1"/>
    <col min="10248" max="10248" width="2.07421875" style="2868" customWidth="1"/>
    <col min="10249" max="10249" width="23.69140625" style="2868" customWidth="1"/>
    <col min="10250" max="10250" width="2.07421875" style="2868" customWidth="1"/>
    <col min="10251" max="10251" width="23.69140625" style="2868" customWidth="1"/>
    <col min="10252" max="10252" width="2.07421875" style="2868" customWidth="1"/>
    <col min="10253" max="10253" width="23.69140625" style="2868" customWidth="1"/>
    <col min="10254" max="10254" width="2.07421875" style="2868" customWidth="1"/>
    <col min="10255" max="10255" width="23.69140625" style="2868" customWidth="1"/>
    <col min="10256" max="10256" width="2.69140625" style="2868" bestFit="1" customWidth="1"/>
    <col min="10257" max="10495" width="8.69140625" style="2868"/>
    <col min="10496" max="10497" width="8.69140625" style="2868" customWidth="1"/>
    <col min="10498" max="10498" width="10.07421875" style="2868" customWidth="1"/>
    <col min="10499" max="10499" width="2.07421875" style="2868" customWidth="1"/>
    <col min="10500" max="10500" width="50.4609375" style="2868" customWidth="1"/>
    <col min="10501" max="10501" width="8.69140625" style="2868"/>
    <col min="10502" max="10502" width="2.07421875" style="2868" customWidth="1"/>
    <col min="10503" max="10503" width="23.69140625" style="2868" customWidth="1"/>
    <col min="10504" max="10504" width="2.07421875" style="2868" customWidth="1"/>
    <col min="10505" max="10505" width="23.69140625" style="2868" customWidth="1"/>
    <col min="10506" max="10506" width="2.07421875" style="2868" customWidth="1"/>
    <col min="10507" max="10507" width="23.69140625" style="2868" customWidth="1"/>
    <col min="10508" max="10508" width="2.07421875" style="2868" customWidth="1"/>
    <col min="10509" max="10509" width="23.69140625" style="2868" customWidth="1"/>
    <col min="10510" max="10510" width="2.07421875" style="2868" customWidth="1"/>
    <col min="10511" max="10511" width="23.69140625" style="2868" customWidth="1"/>
    <col min="10512" max="10512" width="2.69140625" style="2868" bestFit="1" customWidth="1"/>
    <col min="10513" max="10751" width="8.69140625" style="2868"/>
    <col min="10752" max="10753" width="8.69140625" style="2868" customWidth="1"/>
    <col min="10754" max="10754" width="10.07421875" style="2868" customWidth="1"/>
    <col min="10755" max="10755" width="2.07421875" style="2868" customWidth="1"/>
    <col min="10756" max="10756" width="50.4609375" style="2868" customWidth="1"/>
    <col min="10757" max="10757" width="8.69140625" style="2868"/>
    <col min="10758" max="10758" width="2.07421875" style="2868" customWidth="1"/>
    <col min="10759" max="10759" width="23.69140625" style="2868" customWidth="1"/>
    <col min="10760" max="10760" width="2.07421875" style="2868" customWidth="1"/>
    <col min="10761" max="10761" width="23.69140625" style="2868" customWidth="1"/>
    <col min="10762" max="10762" width="2.07421875" style="2868" customWidth="1"/>
    <col min="10763" max="10763" width="23.69140625" style="2868" customWidth="1"/>
    <col min="10764" max="10764" width="2.07421875" style="2868" customWidth="1"/>
    <col min="10765" max="10765" width="23.69140625" style="2868" customWidth="1"/>
    <col min="10766" max="10766" width="2.07421875" style="2868" customWidth="1"/>
    <col min="10767" max="10767" width="23.69140625" style="2868" customWidth="1"/>
    <col min="10768" max="10768" width="2.69140625" style="2868" bestFit="1" customWidth="1"/>
    <col min="10769" max="11007" width="8.69140625" style="2868"/>
    <col min="11008" max="11009" width="8.69140625" style="2868" customWidth="1"/>
    <col min="11010" max="11010" width="10.07421875" style="2868" customWidth="1"/>
    <col min="11011" max="11011" width="2.07421875" style="2868" customWidth="1"/>
    <col min="11012" max="11012" width="50.4609375" style="2868" customWidth="1"/>
    <col min="11013" max="11013" width="8.69140625" style="2868"/>
    <col min="11014" max="11014" width="2.07421875" style="2868" customWidth="1"/>
    <col min="11015" max="11015" width="23.69140625" style="2868" customWidth="1"/>
    <col min="11016" max="11016" width="2.07421875" style="2868" customWidth="1"/>
    <col min="11017" max="11017" width="23.69140625" style="2868" customWidth="1"/>
    <col min="11018" max="11018" width="2.07421875" style="2868" customWidth="1"/>
    <col min="11019" max="11019" width="23.69140625" style="2868" customWidth="1"/>
    <col min="11020" max="11020" width="2.07421875" style="2868" customWidth="1"/>
    <col min="11021" max="11021" width="23.69140625" style="2868" customWidth="1"/>
    <col min="11022" max="11022" width="2.07421875" style="2868" customWidth="1"/>
    <col min="11023" max="11023" width="23.69140625" style="2868" customWidth="1"/>
    <col min="11024" max="11024" width="2.69140625" style="2868" bestFit="1" customWidth="1"/>
    <col min="11025" max="11263" width="8.69140625" style="2868"/>
    <col min="11264" max="11265" width="8.69140625" style="2868" customWidth="1"/>
    <col min="11266" max="11266" width="10.07421875" style="2868" customWidth="1"/>
    <col min="11267" max="11267" width="2.07421875" style="2868" customWidth="1"/>
    <col min="11268" max="11268" width="50.4609375" style="2868" customWidth="1"/>
    <col min="11269" max="11269" width="8.69140625" style="2868"/>
    <col min="11270" max="11270" width="2.07421875" style="2868" customWidth="1"/>
    <col min="11271" max="11271" width="23.69140625" style="2868" customWidth="1"/>
    <col min="11272" max="11272" width="2.07421875" style="2868" customWidth="1"/>
    <col min="11273" max="11273" width="23.69140625" style="2868" customWidth="1"/>
    <col min="11274" max="11274" width="2.07421875" style="2868" customWidth="1"/>
    <col min="11275" max="11275" width="23.69140625" style="2868" customWidth="1"/>
    <col min="11276" max="11276" width="2.07421875" style="2868" customWidth="1"/>
    <col min="11277" max="11277" width="23.69140625" style="2868" customWidth="1"/>
    <col min="11278" max="11278" width="2.07421875" style="2868" customWidth="1"/>
    <col min="11279" max="11279" width="23.69140625" style="2868" customWidth="1"/>
    <col min="11280" max="11280" width="2.69140625" style="2868" bestFit="1" customWidth="1"/>
    <col min="11281" max="11519" width="8.69140625" style="2868"/>
    <col min="11520" max="11521" width="8.69140625" style="2868" customWidth="1"/>
    <col min="11522" max="11522" width="10.07421875" style="2868" customWidth="1"/>
    <col min="11523" max="11523" width="2.07421875" style="2868" customWidth="1"/>
    <col min="11524" max="11524" width="50.4609375" style="2868" customWidth="1"/>
    <col min="11525" max="11525" width="8.69140625" style="2868"/>
    <col min="11526" max="11526" width="2.07421875" style="2868" customWidth="1"/>
    <col min="11527" max="11527" width="23.69140625" style="2868" customWidth="1"/>
    <col min="11528" max="11528" width="2.07421875" style="2868" customWidth="1"/>
    <col min="11529" max="11529" width="23.69140625" style="2868" customWidth="1"/>
    <col min="11530" max="11530" width="2.07421875" style="2868" customWidth="1"/>
    <col min="11531" max="11531" width="23.69140625" style="2868" customWidth="1"/>
    <col min="11532" max="11532" width="2.07421875" style="2868" customWidth="1"/>
    <col min="11533" max="11533" width="23.69140625" style="2868" customWidth="1"/>
    <col min="11534" max="11534" width="2.07421875" style="2868" customWidth="1"/>
    <col min="11535" max="11535" width="23.69140625" style="2868" customWidth="1"/>
    <col min="11536" max="11536" width="2.69140625" style="2868" bestFit="1" customWidth="1"/>
    <col min="11537" max="11775" width="8.69140625" style="2868"/>
    <col min="11776" max="11777" width="8.69140625" style="2868" customWidth="1"/>
    <col min="11778" max="11778" width="10.07421875" style="2868" customWidth="1"/>
    <col min="11779" max="11779" width="2.07421875" style="2868" customWidth="1"/>
    <col min="11780" max="11780" width="50.4609375" style="2868" customWidth="1"/>
    <col min="11781" max="11781" width="8.69140625" style="2868"/>
    <col min="11782" max="11782" width="2.07421875" style="2868" customWidth="1"/>
    <col min="11783" max="11783" width="23.69140625" style="2868" customWidth="1"/>
    <col min="11784" max="11784" width="2.07421875" style="2868" customWidth="1"/>
    <col min="11785" max="11785" width="23.69140625" style="2868" customWidth="1"/>
    <col min="11786" max="11786" width="2.07421875" style="2868" customWidth="1"/>
    <col min="11787" max="11787" width="23.69140625" style="2868" customWidth="1"/>
    <col min="11788" max="11788" width="2.07421875" style="2868" customWidth="1"/>
    <col min="11789" max="11789" width="23.69140625" style="2868" customWidth="1"/>
    <col min="11790" max="11790" width="2.07421875" style="2868" customWidth="1"/>
    <col min="11791" max="11791" width="23.69140625" style="2868" customWidth="1"/>
    <col min="11792" max="11792" width="2.69140625" style="2868" bestFit="1" customWidth="1"/>
    <col min="11793" max="12031" width="8.69140625" style="2868"/>
    <col min="12032" max="12033" width="8.69140625" style="2868" customWidth="1"/>
    <col min="12034" max="12034" width="10.07421875" style="2868" customWidth="1"/>
    <col min="12035" max="12035" width="2.07421875" style="2868" customWidth="1"/>
    <col min="12036" max="12036" width="50.4609375" style="2868" customWidth="1"/>
    <col min="12037" max="12037" width="8.69140625" style="2868"/>
    <col min="12038" max="12038" width="2.07421875" style="2868" customWidth="1"/>
    <col min="12039" max="12039" width="23.69140625" style="2868" customWidth="1"/>
    <col min="12040" max="12040" width="2.07421875" style="2868" customWidth="1"/>
    <col min="12041" max="12041" width="23.69140625" style="2868" customWidth="1"/>
    <col min="12042" max="12042" width="2.07421875" style="2868" customWidth="1"/>
    <col min="12043" max="12043" width="23.69140625" style="2868" customWidth="1"/>
    <col min="12044" max="12044" width="2.07421875" style="2868" customWidth="1"/>
    <col min="12045" max="12045" width="23.69140625" style="2868" customWidth="1"/>
    <col min="12046" max="12046" width="2.07421875" style="2868" customWidth="1"/>
    <col min="12047" max="12047" width="23.69140625" style="2868" customWidth="1"/>
    <col min="12048" max="12048" width="2.69140625" style="2868" bestFit="1" customWidth="1"/>
    <col min="12049" max="12287" width="8.69140625" style="2868"/>
    <col min="12288" max="12289" width="8.69140625" style="2868" customWidth="1"/>
    <col min="12290" max="12290" width="10.07421875" style="2868" customWidth="1"/>
    <col min="12291" max="12291" width="2.07421875" style="2868" customWidth="1"/>
    <col min="12292" max="12292" width="50.4609375" style="2868" customWidth="1"/>
    <col min="12293" max="12293" width="8.69140625" style="2868"/>
    <col min="12294" max="12294" width="2.07421875" style="2868" customWidth="1"/>
    <col min="12295" max="12295" width="23.69140625" style="2868" customWidth="1"/>
    <col min="12296" max="12296" width="2.07421875" style="2868" customWidth="1"/>
    <col min="12297" max="12297" width="23.69140625" style="2868" customWidth="1"/>
    <col min="12298" max="12298" width="2.07421875" style="2868" customWidth="1"/>
    <col min="12299" max="12299" width="23.69140625" style="2868" customWidth="1"/>
    <col min="12300" max="12300" width="2.07421875" style="2868" customWidth="1"/>
    <col min="12301" max="12301" width="23.69140625" style="2868" customWidth="1"/>
    <col min="12302" max="12302" width="2.07421875" style="2868" customWidth="1"/>
    <col min="12303" max="12303" width="23.69140625" style="2868" customWidth="1"/>
    <col min="12304" max="12304" width="2.69140625" style="2868" bestFit="1" customWidth="1"/>
    <col min="12305" max="12543" width="8.69140625" style="2868"/>
    <col min="12544" max="12545" width="8.69140625" style="2868" customWidth="1"/>
    <col min="12546" max="12546" width="10.07421875" style="2868" customWidth="1"/>
    <col min="12547" max="12547" width="2.07421875" style="2868" customWidth="1"/>
    <col min="12548" max="12548" width="50.4609375" style="2868" customWidth="1"/>
    <col min="12549" max="12549" width="8.69140625" style="2868"/>
    <col min="12550" max="12550" width="2.07421875" style="2868" customWidth="1"/>
    <col min="12551" max="12551" width="23.69140625" style="2868" customWidth="1"/>
    <col min="12552" max="12552" width="2.07421875" style="2868" customWidth="1"/>
    <col min="12553" max="12553" width="23.69140625" style="2868" customWidth="1"/>
    <col min="12554" max="12554" width="2.07421875" style="2868" customWidth="1"/>
    <col min="12555" max="12555" width="23.69140625" style="2868" customWidth="1"/>
    <col min="12556" max="12556" width="2.07421875" style="2868" customWidth="1"/>
    <col min="12557" max="12557" width="23.69140625" style="2868" customWidth="1"/>
    <col min="12558" max="12558" width="2.07421875" style="2868" customWidth="1"/>
    <col min="12559" max="12559" width="23.69140625" style="2868" customWidth="1"/>
    <col min="12560" max="12560" width="2.69140625" style="2868" bestFit="1" customWidth="1"/>
    <col min="12561" max="12799" width="8.69140625" style="2868"/>
    <col min="12800" max="12801" width="8.69140625" style="2868" customWidth="1"/>
    <col min="12802" max="12802" width="10.07421875" style="2868" customWidth="1"/>
    <col min="12803" max="12803" width="2.07421875" style="2868" customWidth="1"/>
    <col min="12804" max="12804" width="50.4609375" style="2868" customWidth="1"/>
    <col min="12805" max="12805" width="8.69140625" style="2868"/>
    <col min="12806" max="12806" width="2.07421875" style="2868" customWidth="1"/>
    <col min="12807" max="12807" width="23.69140625" style="2868" customWidth="1"/>
    <col min="12808" max="12808" width="2.07421875" style="2868" customWidth="1"/>
    <col min="12809" max="12809" width="23.69140625" style="2868" customWidth="1"/>
    <col min="12810" max="12810" width="2.07421875" style="2868" customWidth="1"/>
    <col min="12811" max="12811" width="23.69140625" style="2868" customWidth="1"/>
    <col min="12812" max="12812" width="2.07421875" style="2868" customWidth="1"/>
    <col min="12813" max="12813" width="23.69140625" style="2868" customWidth="1"/>
    <col min="12814" max="12814" width="2.07421875" style="2868" customWidth="1"/>
    <col min="12815" max="12815" width="23.69140625" style="2868" customWidth="1"/>
    <col min="12816" max="12816" width="2.69140625" style="2868" bestFit="1" customWidth="1"/>
    <col min="12817" max="13055" width="8.69140625" style="2868"/>
    <col min="13056" max="13057" width="8.69140625" style="2868" customWidth="1"/>
    <col min="13058" max="13058" width="10.07421875" style="2868" customWidth="1"/>
    <col min="13059" max="13059" width="2.07421875" style="2868" customWidth="1"/>
    <col min="13060" max="13060" width="50.4609375" style="2868" customWidth="1"/>
    <col min="13061" max="13061" width="8.69140625" style="2868"/>
    <col min="13062" max="13062" width="2.07421875" style="2868" customWidth="1"/>
    <col min="13063" max="13063" width="23.69140625" style="2868" customWidth="1"/>
    <col min="13064" max="13064" width="2.07421875" style="2868" customWidth="1"/>
    <col min="13065" max="13065" width="23.69140625" style="2868" customWidth="1"/>
    <col min="13066" max="13066" width="2.07421875" style="2868" customWidth="1"/>
    <col min="13067" max="13067" width="23.69140625" style="2868" customWidth="1"/>
    <col min="13068" max="13068" width="2.07421875" style="2868" customWidth="1"/>
    <col min="13069" max="13069" width="23.69140625" style="2868" customWidth="1"/>
    <col min="13070" max="13070" width="2.07421875" style="2868" customWidth="1"/>
    <col min="13071" max="13071" width="23.69140625" style="2868" customWidth="1"/>
    <col min="13072" max="13072" width="2.69140625" style="2868" bestFit="1" customWidth="1"/>
    <col min="13073" max="13311" width="8.69140625" style="2868"/>
    <col min="13312" max="13313" width="8.69140625" style="2868" customWidth="1"/>
    <col min="13314" max="13314" width="10.07421875" style="2868" customWidth="1"/>
    <col min="13315" max="13315" width="2.07421875" style="2868" customWidth="1"/>
    <col min="13316" max="13316" width="50.4609375" style="2868" customWidth="1"/>
    <col min="13317" max="13317" width="8.69140625" style="2868"/>
    <col min="13318" max="13318" width="2.07421875" style="2868" customWidth="1"/>
    <col min="13319" max="13319" width="23.69140625" style="2868" customWidth="1"/>
    <col min="13320" max="13320" width="2.07421875" style="2868" customWidth="1"/>
    <col min="13321" max="13321" width="23.69140625" style="2868" customWidth="1"/>
    <col min="13322" max="13322" width="2.07421875" style="2868" customWidth="1"/>
    <col min="13323" max="13323" width="23.69140625" style="2868" customWidth="1"/>
    <col min="13324" max="13324" width="2.07421875" style="2868" customWidth="1"/>
    <col min="13325" max="13325" width="23.69140625" style="2868" customWidth="1"/>
    <col min="13326" max="13326" width="2.07421875" style="2868" customWidth="1"/>
    <col min="13327" max="13327" width="23.69140625" style="2868" customWidth="1"/>
    <col min="13328" max="13328" width="2.69140625" style="2868" bestFit="1" customWidth="1"/>
    <col min="13329" max="13567" width="8.69140625" style="2868"/>
    <col min="13568" max="13569" width="8.69140625" style="2868" customWidth="1"/>
    <col min="13570" max="13570" width="10.07421875" style="2868" customWidth="1"/>
    <col min="13571" max="13571" width="2.07421875" style="2868" customWidth="1"/>
    <col min="13572" max="13572" width="50.4609375" style="2868" customWidth="1"/>
    <col min="13573" max="13573" width="8.69140625" style="2868"/>
    <col min="13574" max="13574" width="2.07421875" style="2868" customWidth="1"/>
    <col min="13575" max="13575" width="23.69140625" style="2868" customWidth="1"/>
    <col min="13576" max="13576" width="2.07421875" style="2868" customWidth="1"/>
    <col min="13577" max="13577" width="23.69140625" style="2868" customWidth="1"/>
    <col min="13578" max="13578" width="2.07421875" style="2868" customWidth="1"/>
    <col min="13579" max="13579" width="23.69140625" style="2868" customWidth="1"/>
    <col min="13580" max="13580" width="2.07421875" style="2868" customWidth="1"/>
    <col min="13581" max="13581" width="23.69140625" style="2868" customWidth="1"/>
    <col min="13582" max="13582" width="2.07421875" style="2868" customWidth="1"/>
    <col min="13583" max="13583" width="23.69140625" style="2868" customWidth="1"/>
    <col min="13584" max="13584" width="2.69140625" style="2868" bestFit="1" customWidth="1"/>
    <col min="13585" max="13823" width="8.69140625" style="2868"/>
    <col min="13824" max="13825" width="8.69140625" style="2868" customWidth="1"/>
    <col min="13826" max="13826" width="10.07421875" style="2868" customWidth="1"/>
    <col min="13827" max="13827" width="2.07421875" style="2868" customWidth="1"/>
    <col min="13828" max="13828" width="50.4609375" style="2868" customWidth="1"/>
    <col min="13829" max="13829" width="8.69140625" style="2868"/>
    <col min="13830" max="13830" width="2.07421875" style="2868" customWidth="1"/>
    <col min="13831" max="13831" width="23.69140625" style="2868" customWidth="1"/>
    <col min="13832" max="13832" width="2.07421875" style="2868" customWidth="1"/>
    <col min="13833" max="13833" width="23.69140625" style="2868" customWidth="1"/>
    <col min="13834" max="13834" width="2.07421875" style="2868" customWidth="1"/>
    <col min="13835" max="13835" width="23.69140625" style="2868" customWidth="1"/>
    <col min="13836" max="13836" width="2.07421875" style="2868" customWidth="1"/>
    <col min="13837" max="13837" width="23.69140625" style="2868" customWidth="1"/>
    <col min="13838" max="13838" width="2.07421875" style="2868" customWidth="1"/>
    <col min="13839" max="13839" width="23.69140625" style="2868" customWidth="1"/>
    <col min="13840" max="13840" width="2.69140625" style="2868" bestFit="1" customWidth="1"/>
    <col min="13841" max="14079" width="8.69140625" style="2868"/>
    <col min="14080" max="14081" width="8.69140625" style="2868" customWidth="1"/>
    <col min="14082" max="14082" width="10.07421875" style="2868" customWidth="1"/>
    <col min="14083" max="14083" width="2.07421875" style="2868" customWidth="1"/>
    <col min="14084" max="14084" width="50.4609375" style="2868" customWidth="1"/>
    <col min="14085" max="14085" width="8.69140625" style="2868"/>
    <col min="14086" max="14086" width="2.07421875" style="2868" customWidth="1"/>
    <col min="14087" max="14087" width="23.69140625" style="2868" customWidth="1"/>
    <col min="14088" max="14088" width="2.07421875" style="2868" customWidth="1"/>
    <col min="14089" max="14089" width="23.69140625" style="2868" customWidth="1"/>
    <col min="14090" max="14090" width="2.07421875" style="2868" customWidth="1"/>
    <col min="14091" max="14091" width="23.69140625" style="2868" customWidth="1"/>
    <col min="14092" max="14092" width="2.07421875" style="2868" customWidth="1"/>
    <col min="14093" max="14093" width="23.69140625" style="2868" customWidth="1"/>
    <col min="14094" max="14094" width="2.07421875" style="2868" customWidth="1"/>
    <col min="14095" max="14095" width="23.69140625" style="2868" customWidth="1"/>
    <col min="14096" max="14096" width="2.69140625" style="2868" bestFit="1" customWidth="1"/>
    <col min="14097" max="14335" width="8.69140625" style="2868"/>
    <col min="14336" max="14337" width="8.69140625" style="2868" customWidth="1"/>
    <col min="14338" max="14338" width="10.07421875" style="2868" customWidth="1"/>
    <col min="14339" max="14339" width="2.07421875" style="2868" customWidth="1"/>
    <col min="14340" max="14340" width="50.4609375" style="2868" customWidth="1"/>
    <col min="14341" max="14341" width="8.69140625" style="2868"/>
    <col min="14342" max="14342" width="2.07421875" style="2868" customWidth="1"/>
    <col min="14343" max="14343" width="23.69140625" style="2868" customWidth="1"/>
    <col min="14344" max="14344" width="2.07421875" style="2868" customWidth="1"/>
    <col min="14345" max="14345" width="23.69140625" style="2868" customWidth="1"/>
    <col min="14346" max="14346" width="2.07421875" style="2868" customWidth="1"/>
    <col min="14347" max="14347" width="23.69140625" style="2868" customWidth="1"/>
    <col min="14348" max="14348" width="2.07421875" style="2868" customWidth="1"/>
    <col min="14349" max="14349" width="23.69140625" style="2868" customWidth="1"/>
    <col min="14350" max="14350" width="2.07421875" style="2868" customWidth="1"/>
    <col min="14351" max="14351" width="23.69140625" style="2868" customWidth="1"/>
    <col min="14352" max="14352" width="2.69140625" style="2868" bestFit="1" customWidth="1"/>
    <col min="14353" max="14591" width="8.69140625" style="2868"/>
    <col min="14592" max="14593" width="8.69140625" style="2868" customWidth="1"/>
    <col min="14594" max="14594" width="10.07421875" style="2868" customWidth="1"/>
    <col min="14595" max="14595" width="2.07421875" style="2868" customWidth="1"/>
    <col min="14596" max="14596" width="50.4609375" style="2868" customWidth="1"/>
    <col min="14597" max="14597" width="8.69140625" style="2868"/>
    <col min="14598" max="14598" width="2.07421875" style="2868" customWidth="1"/>
    <col min="14599" max="14599" width="23.69140625" style="2868" customWidth="1"/>
    <col min="14600" max="14600" width="2.07421875" style="2868" customWidth="1"/>
    <col min="14601" max="14601" width="23.69140625" style="2868" customWidth="1"/>
    <col min="14602" max="14602" width="2.07421875" style="2868" customWidth="1"/>
    <col min="14603" max="14603" width="23.69140625" style="2868" customWidth="1"/>
    <col min="14604" max="14604" width="2.07421875" style="2868" customWidth="1"/>
    <col min="14605" max="14605" width="23.69140625" style="2868" customWidth="1"/>
    <col min="14606" max="14606" width="2.07421875" style="2868" customWidth="1"/>
    <col min="14607" max="14607" width="23.69140625" style="2868" customWidth="1"/>
    <col min="14608" max="14608" width="2.69140625" style="2868" bestFit="1" customWidth="1"/>
    <col min="14609" max="14847" width="8.69140625" style="2868"/>
    <col min="14848" max="14849" width="8.69140625" style="2868" customWidth="1"/>
    <col min="14850" max="14850" width="10.07421875" style="2868" customWidth="1"/>
    <col min="14851" max="14851" width="2.07421875" style="2868" customWidth="1"/>
    <col min="14852" max="14852" width="50.4609375" style="2868" customWidth="1"/>
    <col min="14853" max="14853" width="8.69140625" style="2868"/>
    <col min="14854" max="14854" width="2.07421875" style="2868" customWidth="1"/>
    <col min="14855" max="14855" width="23.69140625" style="2868" customWidth="1"/>
    <col min="14856" max="14856" width="2.07421875" style="2868" customWidth="1"/>
    <col min="14857" max="14857" width="23.69140625" style="2868" customWidth="1"/>
    <col min="14858" max="14858" width="2.07421875" style="2868" customWidth="1"/>
    <col min="14859" max="14859" width="23.69140625" style="2868" customWidth="1"/>
    <col min="14860" max="14860" width="2.07421875" style="2868" customWidth="1"/>
    <col min="14861" max="14861" width="23.69140625" style="2868" customWidth="1"/>
    <col min="14862" max="14862" width="2.07421875" style="2868" customWidth="1"/>
    <col min="14863" max="14863" width="23.69140625" style="2868" customWidth="1"/>
    <col min="14864" max="14864" width="2.69140625" style="2868" bestFit="1" customWidth="1"/>
    <col min="14865" max="15103" width="8.69140625" style="2868"/>
    <col min="15104" max="15105" width="8.69140625" style="2868" customWidth="1"/>
    <col min="15106" max="15106" width="10.07421875" style="2868" customWidth="1"/>
    <col min="15107" max="15107" width="2.07421875" style="2868" customWidth="1"/>
    <col min="15108" max="15108" width="50.4609375" style="2868" customWidth="1"/>
    <col min="15109" max="15109" width="8.69140625" style="2868"/>
    <col min="15110" max="15110" width="2.07421875" style="2868" customWidth="1"/>
    <col min="15111" max="15111" width="23.69140625" style="2868" customWidth="1"/>
    <col min="15112" max="15112" width="2.07421875" style="2868" customWidth="1"/>
    <col min="15113" max="15113" width="23.69140625" style="2868" customWidth="1"/>
    <col min="15114" max="15114" width="2.07421875" style="2868" customWidth="1"/>
    <col min="15115" max="15115" width="23.69140625" style="2868" customWidth="1"/>
    <col min="15116" max="15116" width="2.07421875" style="2868" customWidth="1"/>
    <col min="15117" max="15117" width="23.69140625" style="2868" customWidth="1"/>
    <col min="15118" max="15118" width="2.07421875" style="2868" customWidth="1"/>
    <col min="15119" max="15119" width="23.69140625" style="2868" customWidth="1"/>
    <col min="15120" max="15120" width="2.69140625" style="2868" bestFit="1" customWidth="1"/>
    <col min="15121" max="15359" width="8.69140625" style="2868"/>
    <col min="15360" max="15361" width="8.69140625" style="2868" customWidth="1"/>
    <col min="15362" max="15362" width="10.07421875" style="2868" customWidth="1"/>
    <col min="15363" max="15363" width="2.07421875" style="2868" customWidth="1"/>
    <col min="15364" max="15364" width="50.4609375" style="2868" customWidth="1"/>
    <col min="15365" max="15365" width="8.69140625" style="2868"/>
    <col min="15366" max="15366" width="2.07421875" style="2868" customWidth="1"/>
    <col min="15367" max="15367" width="23.69140625" style="2868" customWidth="1"/>
    <col min="15368" max="15368" width="2.07421875" style="2868" customWidth="1"/>
    <col min="15369" max="15369" width="23.69140625" style="2868" customWidth="1"/>
    <col min="15370" max="15370" width="2.07421875" style="2868" customWidth="1"/>
    <col min="15371" max="15371" width="23.69140625" style="2868" customWidth="1"/>
    <col min="15372" max="15372" width="2.07421875" style="2868" customWidth="1"/>
    <col min="15373" max="15373" width="23.69140625" style="2868" customWidth="1"/>
    <col min="15374" max="15374" width="2.07421875" style="2868" customWidth="1"/>
    <col min="15375" max="15375" width="23.69140625" style="2868" customWidth="1"/>
    <col min="15376" max="15376" width="2.69140625" style="2868" bestFit="1" customWidth="1"/>
    <col min="15377" max="15615" width="8.69140625" style="2868"/>
    <col min="15616" max="15617" width="8.69140625" style="2868" customWidth="1"/>
    <col min="15618" max="15618" width="10.07421875" style="2868" customWidth="1"/>
    <col min="15619" max="15619" width="2.07421875" style="2868" customWidth="1"/>
    <col min="15620" max="15620" width="50.4609375" style="2868" customWidth="1"/>
    <col min="15621" max="15621" width="8.69140625" style="2868"/>
    <col min="15622" max="15622" width="2.07421875" style="2868" customWidth="1"/>
    <col min="15623" max="15623" width="23.69140625" style="2868" customWidth="1"/>
    <col min="15624" max="15624" width="2.07421875" style="2868" customWidth="1"/>
    <col min="15625" max="15625" width="23.69140625" style="2868" customWidth="1"/>
    <col min="15626" max="15626" width="2.07421875" style="2868" customWidth="1"/>
    <col min="15627" max="15627" width="23.69140625" style="2868" customWidth="1"/>
    <col min="15628" max="15628" width="2.07421875" style="2868" customWidth="1"/>
    <col min="15629" max="15629" width="23.69140625" style="2868" customWidth="1"/>
    <col min="15630" max="15630" width="2.07421875" style="2868" customWidth="1"/>
    <col min="15631" max="15631" width="23.69140625" style="2868" customWidth="1"/>
    <col min="15632" max="15632" width="2.69140625" style="2868" bestFit="1" customWidth="1"/>
    <col min="15633" max="15871" width="8.69140625" style="2868"/>
    <col min="15872" max="15873" width="8.69140625" style="2868" customWidth="1"/>
    <col min="15874" max="15874" width="10.07421875" style="2868" customWidth="1"/>
    <col min="15875" max="15875" width="2.07421875" style="2868" customWidth="1"/>
    <col min="15876" max="15876" width="50.4609375" style="2868" customWidth="1"/>
    <col min="15877" max="15877" width="8.69140625" style="2868"/>
    <col min="15878" max="15878" width="2.07421875" style="2868" customWidth="1"/>
    <col min="15879" max="15879" width="23.69140625" style="2868" customWidth="1"/>
    <col min="15880" max="15880" width="2.07421875" style="2868" customWidth="1"/>
    <col min="15881" max="15881" width="23.69140625" style="2868" customWidth="1"/>
    <col min="15882" max="15882" width="2.07421875" style="2868" customWidth="1"/>
    <col min="15883" max="15883" width="23.69140625" style="2868" customWidth="1"/>
    <col min="15884" max="15884" width="2.07421875" style="2868" customWidth="1"/>
    <col min="15885" max="15885" width="23.69140625" style="2868" customWidth="1"/>
    <col min="15886" max="15886" width="2.07421875" style="2868" customWidth="1"/>
    <col min="15887" max="15887" width="23.69140625" style="2868" customWidth="1"/>
    <col min="15888" max="15888" width="2.69140625" style="2868" bestFit="1" customWidth="1"/>
    <col min="15889" max="16127" width="8.69140625" style="2868"/>
    <col min="16128" max="16129" width="8.69140625" style="2868" customWidth="1"/>
    <col min="16130" max="16130" width="10.07421875" style="2868" customWidth="1"/>
    <col min="16131" max="16131" width="2.07421875" style="2868" customWidth="1"/>
    <col min="16132" max="16132" width="50.4609375" style="2868" customWidth="1"/>
    <col min="16133" max="16133" width="8.69140625" style="2868"/>
    <col min="16134" max="16134" width="2.07421875" style="2868" customWidth="1"/>
    <col min="16135" max="16135" width="23.69140625" style="2868" customWidth="1"/>
    <col min="16136" max="16136" width="2.07421875" style="2868" customWidth="1"/>
    <col min="16137" max="16137" width="23.69140625" style="2868" customWidth="1"/>
    <col min="16138" max="16138" width="2.07421875" style="2868" customWidth="1"/>
    <col min="16139" max="16139" width="23.69140625" style="2868" customWidth="1"/>
    <col min="16140" max="16140" width="2.07421875" style="2868" customWidth="1"/>
    <col min="16141" max="16141" width="23.69140625" style="2868" customWidth="1"/>
    <col min="16142" max="16142" width="2.07421875" style="2868" customWidth="1"/>
    <col min="16143" max="16143" width="23.69140625" style="2868" customWidth="1"/>
    <col min="16144" max="16144" width="2.69140625" style="2868" bestFit="1" customWidth="1"/>
    <col min="16145" max="16384" width="8.69140625" style="2868"/>
  </cols>
  <sheetData>
    <row r="1" spans="2:17" ht="15.5">
      <c r="B1" s="2865"/>
      <c r="C1" s="2866"/>
      <c r="D1" s="2233" t="s">
        <v>963</v>
      </c>
      <c r="E1" s="2866"/>
      <c r="F1" s="2867"/>
      <c r="G1" s="2865"/>
      <c r="H1" s="2866"/>
      <c r="I1" s="2865"/>
      <c r="J1" s="2866"/>
      <c r="K1" s="2865"/>
      <c r="L1" s="2866"/>
      <c r="M1" s="2865"/>
      <c r="N1" s="2866"/>
      <c r="P1" s="2869"/>
    </row>
    <row r="2" spans="2:17" ht="15.5">
      <c r="B2" s="2865"/>
      <c r="C2" s="2866"/>
      <c r="D2" s="2865"/>
      <c r="E2" s="2866"/>
      <c r="F2" s="2867"/>
      <c r="G2" s="2865"/>
      <c r="H2" s="2866"/>
      <c r="I2" s="2865"/>
      <c r="J2" s="2866"/>
      <c r="K2" s="2865"/>
      <c r="L2" s="2866"/>
      <c r="M2" s="2865"/>
      <c r="N2" s="2866"/>
      <c r="O2" s="3626" t="s">
        <v>545</v>
      </c>
      <c r="P2" s="2869"/>
    </row>
    <row r="3" spans="2:17" ht="15.5">
      <c r="B3" s="2865"/>
      <c r="C3" s="2866"/>
      <c r="D3" s="2865"/>
      <c r="E3" s="2866"/>
      <c r="F3" s="2867"/>
      <c r="G3" s="2865"/>
      <c r="H3" s="2866"/>
      <c r="I3" s="2865"/>
      <c r="J3" s="2866"/>
      <c r="K3" s="2865"/>
      <c r="L3" s="2866"/>
      <c r="M3" s="2865"/>
      <c r="N3" s="2866"/>
      <c r="O3" s="3627"/>
      <c r="P3" s="2870"/>
    </row>
    <row r="4" spans="2:17" ht="18">
      <c r="B4" s="2871"/>
      <c r="C4" s="2872"/>
      <c r="D4" s="2873" t="s">
        <v>0</v>
      </c>
      <c r="E4" s="2872"/>
      <c r="F4" s="2872"/>
      <c r="G4" s="2529"/>
      <c r="H4" s="2874"/>
      <c r="I4" s="2529"/>
      <c r="J4" s="2874"/>
      <c r="K4" s="2529"/>
      <c r="L4" s="2874"/>
      <c r="M4" s="2875"/>
      <c r="N4" s="2875"/>
      <c r="O4" s="3628"/>
      <c r="P4" s="2876"/>
    </row>
    <row r="5" spans="2:17" ht="18">
      <c r="B5" s="2871"/>
      <c r="C5" s="2872"/>
      <c r="D5" s="2873" t="s">
        <v>856</v>
      </c>
      <c r="E5" s="2872"/>
      <c r="F5" s="2872"/>
      <c r="G5" s="2529"/>
      <c r="H5" s="2874"/>
      <c r="I5" s="2529"/>
      <c r="J5" s="2874"/>
      <c r="K5" s="2529"/>
      <c r="L5" s="2874"/>
      <c r="M5" s="2877"/>
      <c r="N5" s="2877"/>
      <c r="O5" s="2877"/>
      <c r="P5" s="2878"/>
    </row>
    <row r="6" spans="2:17" ht="15.5">
      <c r="B6" s="2871"/>
      <c r="C6" s="2872"/>
      <c r="D6" s="2879"/>
      <c r="E6" s="2872"/>
      <c r="F6" s="2872"/>
      <c r="G6" s="2529"/>
      <c r="H6" s="2874"/>
      <c r="I6" s="2529"/>
      <c r="J6" s="2874"/>
      <c r="K6" s="2529"/>
      <c r="L6" s="2874"/>
      <c r="M6" s="2880"/>
      <c r="N6" s="2880"/>
      <c r="O6" s="2880"/>
      <c r="P6" s="2881"/>
    </row>
    <row r="7" spans="2:17" ht="15.5">
      <c r="B7" s="2871"/>
      <c r="C7" s="2882"/>
      <c r="D7" s="2883"/>
      <c r="E7" s="2884"/>
      <c r="F7" s="2884"/>
      <c r="G7" s="2529"/>
      <c r="H7" s="2874"/>
      <c r="I7" s="2529"/>
      <c r="J7" s="2874"/>
      <c r="K7" s="2529"/>
      <c r="L7" s="2874"/>
      <c r="M7" s="2885"/>
      <c r="N7" s="2885"/>
      <c r="O7" s="2885"/>
      <c r="P7" s="2886"/>
    </row>
    <row r="8" spans="2:17" s="2894" customFormat="1" ht="16" thickBot="1">
      <c r="B8" s="2887" t="s">
        <v>564</v>
      </c>
      <c r="C8" s="2888"/>
      <c r="D8" s="2889" t="s">
        <v>565</v>
      </c>
      <c r="E8" s="2889"/>
      <c r="F8" s="2889"/>
      <c r="G8" s="2890" t="s">
        <v>1506</v>
      </c>
      <c r="H8" s="2891"/>
      <c r="I8" s="2890" t="s">
        <v>1519</v>
      </c>
      <c r="J8" s="2891"/>
      <c r="K8" s="2890" t="s">
        <v>1524</v>
      </c>
      <c r="L8" s="2891"/>
      <c r="M8" s="2891" t="s">
        <v>566</v>
      </c>
      <c r="N8" s="2892"/>
      <c r="O8" s="3629" t="s">
        <v>1538</v>
      </c>
      <c r="P8" s="2893"/>
    </row>
    <row r="9" spans="2:17" s="2894" customFormat="1" ht="15.5">
      <c r="B9" s="2895"/>
      <c r="C9" s="2896"/>
      <c r="D9" s="2897" t="s">
        <v>146</v>
      </c>
      <c r="E9" s="2898"/>
      <c r="F9" s="2898"/>
      <c r="G9" s="2899"/>
      <c r="H9" s="2900"/>
      <c r="I9" s="2899"/>
      <c r="J9" s="2900"/>
      <c r="K9" s="2899"/>
      <c r="L9" s="2900"/>
      <c r="M9" s="2899"/>
      <c r="N9" s="2899"/>
      <c r="O9" s="3630"/>
      <c r="P9" s="2901"/>
    </row>
    <row r="10" spans="2:17" s="2894" customFormat="1" ht="15.5">
      <c r="B10" s="2902">
        <v>10050</v>
      </c>
      <c r="C10" s="2895"/>
      <c r="D10" s="2903" t="s">
        <v>964</v>
      </c>
      <c r="E10" s="2529"/>
      <c r="F10" s="2904"/>
      <c r="G10" s="2905">
        <v>0</v>
      </c>
      <c r="H10" s="2905"/>
      <c r="I10" s="2905">
        <v>0</v>
      </c>
      <c r="J10" s="2905"/>
      <c r="K10" s="2905">
        <v>0</v>
      </c>
      <c r="L10" s="2905"/>
      <c r="M10" s="2905">
        <f>ROUND(SUM(O10)-SUM(K10),2)</f>
        <v>0</v>
      </c>
      <c r="N10" s="2905"/>
      <c r="O10" s="2905">
        <v>0</v>
      </c>
      <c r="P10" s="2906" t="s">
        <v>853</v>
      </c>
      <c r="Q10" s="2907"/>
    </row>
    <row r="11" spans="2:17" s="2894" customFormat="1" ht="16" thickBot="1">
      <c r="B11" s="2908"/>
      <c r="C11" s="2896"/>
      <c r="D11" s="2909" t="s">
        <v>567</v>
      </c>
      <c r="E11" s="2898"/>
      <c r="F11" s="2898"/>
      <c r="G11" s="1466">
        <f>ROUND(SUM(G10),2)</f>
        <v>0</v>
      </c>
      <c r="H11" s="1467"/>
      <c r="I11" s="1466">
        <f>ROUND(SUM(I10),2)</f>
        <v>0</v>
      </c>
      <c r="J11" s="1467"/>
      <c r="K11" s="1466">
        <f>ROUND(SUM(K10),2)</f>
        <v>0</v>
      </c>
      <c r="L11" s="1467"/>
      <c r="M11" s="1466">
        <f>ROUND(SUM(M10),2)</f>
        <v>0</v>
      </c>
      <c r="N11" s="1467"/>
      <c r="O11" s="3631">
        <f>ROUND(SUM(O10),2)</f>
        <v>0</v>
      </c>
      <c r="P11" s="2906"/>
      <c r="Q11" s="2907"/>
    </row>
    <row r="12" spans="2:17" s="2894" customFormat="1" ht="16" thickTop="1">
      <c r="B12" s="2908"/>
      <c r="C12" s="2910"/>
      <c r="D12" s="2911"/>
      <c r="E12" s="2912"/>
      <c r="F12" s="2912"/>
      <c r="G12" s="1467"/>
      <c r="H12" s="2913"/>
      <c r="I12" s="1467"/>
      <c r="J12" s="2913"/>
      <c r="K12" s="1467"/>
      <c r="L12" s="2913"/>
      <c r="M12" s="1467"/>
      <c r="N12" s="1467"/>
      <c r="O12" s="3632"/>
      <c r="P12" s="2914"/>
      <c r="Q12" s="2907"/>
    </row>
    <row r="13" spans="2:17" s="2894" customFormat="1" ht="15.5">
      <c r="B13" s="2908"/>
      <c r="C13" s="2896"/>
      <c r="D13" s="2897" t="s">
        <v>568</v>
      </c>
      <c r="E13" s="2898"/>
      <c r="F13" s="2898"/>
      <c r="G13" s="2913"/>
      <c r="H13" s="2529"/>
      <c r="I13" s="2913"/>
      <c r="J13" s="2529"/>
      <c r="K13" s="2913"/>
      <c r="L13" s="2529"/>
      <c r="M13" s="2913"/>
      <c r="N13" s="2913"/>
      <c r="O13" s="3633"/>
      <c r="P13" s="2914"/>
      <c r="Q13" s="2907"/>
    </row>
    <row r="14" spans="2:17" s="2894" customFormat="1" ht="15.5">
      <c r="B14" s="2902">
        <v>30051</v>
      </c>
      <c r="C14" s="2865"/>
      <c r="D14" s="2903" t="s">
        <v>569</v>
      </c>
      <c r="E14" s="2865"/>
      <c r="F14" s="1211">
        <v>227042324.13</v>
      </c>
      <c r="G14" s="1211">
        <v>137006631.00999999</v>
      </c>
      <c r="H14" s="1211"/>
      <c r="I14" s="1211">
        <v>184652658.88</v>
      </c>
      <c r="J14" s="1211"/>
      <c r="K14" s="1211">
        <v>362853243.13</v>
      </c>
      <c r="L14" s="1211"/>
      <c r="M14" s="1211">
        <f>ROUND(SUM(O14)-SUM(K14),2)</f>
        <v>-133212711.45999999</v>
      </c>
      <c r="N14" s="1211"/>
      <c r="O14" s="1211">
        <v>229640531.66999999</v>
      </c>
      <c r="P14" s="2906"/>
      <c r="Q14" s="2907"/>
    </row>
    <row r="15" spans="2:17" s="2894" customFormat="1" ht="15.5">
      <c r="B15" s="2902">
        <v>30053</v>
      </c>
      <c r="C15" s="2865"/>
      <c r="D15" s="2903" t="s">
        <v>1267</v>
      </c>
      <c r="E15" s="2865"/>
      <c r="F15" s="1211"/>
      <c r="G15" s="1211">
        <v>0</v>
      </c>
      <c r="H15" s="1211"/>
      <c r="I15" s="1211">
        <v>0</v>
      </c>
      <c r="J15" s="1211"/>
      <c r="K15" s="1211">
        <v>0</v>
      </c>
      <c r="L15" s="1211"/>
      <c r="M15" s="1211">
        <f>ROUND(SUM(O15)-SUM(K15),2)</f>
        <v>0</v>
      </c>
      <c r="N15" s="1211"/>
      <c r="O15" s="1211">
        <v>0</v>
      </c>
      <c r="P15" s="2906"/>
      <c r="Q15" s="2907"/>
    </row>
    <row r="16" spans="2:17" s="2894" customFormat="1" ht="15.5">
      <c r="B16" s="2902">
        <v>30101</v>
      </c>
      <c r="C16" s="2865"/>
      <c r="D16" s="2903" t="s">
        <v>570</v>
      </c>
      <c r="E16" s="2865"/>
      <c r="F16" s="1211">
        <v>0</v>
      </c>
      <c r="G16" s="1211">
        <v>0</v>
      </c>
      <c r="H16" s="1211"/>
      <c r="I16" s="1211">
        <v>0</v>
      </c>
      <c r="J16" s="1211"/>
      <c r="K16" s="1211">
        <v>0</v>
      </c>
      <c r="L16" s="1211"/>
      <c r="M16" s="1211">
        <f>ROUND(SUM(O16)-SUM(K16),2)</f>
        <v>0</v>
      </c>
      <c r="N16" s="1211"/>
      <c r="O16" s="1211">
        <v>0</v>
      </c>
      <c r="P16" s="2914"/>
      <c r="Q16" s="2907"/>
    </row>
    <row r="17" spans="2:17" s="2894" customFormat="1" ht="15.5">
      <c r="B17" s="2902">
        <v>30102</v>
      </c>
      <c r="C17" s="2865"/>
      <c r="D17" s="2903" t="s">
        <v>571</v>
      </c>
      <c r="E17" s="2865"/>
      <c r="F17" s="1211">
        <v>0</v>
      </c>
      <c r="G17" s="1211">
        <v>0</v>
      </c>
      <c r="H17" s="1211"/>
      <c r="I17" s="1211">
        <v>0</v>
      </c>
      <c r="J17" s="1211"/>
      <c r="K17" s="1211">
        <v>0</v>
      </c>
      <c r="L17" s="1211"/>
      <c r="M17" s="1211">
        <f t="shared" ref="M17:M52" si="0">ROUND(SUM(O17)-SUM(K17),2)</f>
        <v>0</v>
      </c>
      <c r="N17" s="1211"/>
      <c r="O17" s="1211">
        <v>0</v>
      </c>
      <c r="P17" s="2914"/>
      <c r="Q17" s="2907"/>
    </row>
    <row r="18" spans="2:17" s="2894" customFormat="1" ht="15.5">
      <c r="B18" s="2902">
        <v>30103</v>
      </c>
      <c r="C18" s="2865"/>
      <c r="D18" s="2903" t="s">
        <v>572</v>
      </c>
      <c r="E18" s="2865"/>
      <c r="F18" s="1211">
        <v>0</v>
      </c>
      <c r="G18" s="1211">
        <v>0</v>
      </c>
      <c r="H18" s="1211"/>
      <c r="I18" s="1211">
        <v>0</v>
      </c>
      <c r="J18" s="1211"/>
      <c r="K18" s="1211">
        <v>0</v>
      </c>
      <c r="L18" s="1211"/>
      <c r="M18" s="1211">
        <f t="shared" si="0"/>
        <v>0</v>
      </c>
      <c r="N18" s="1211"/>
      <c r="O18" s="1211">
        <v>0</v>
      </c>
      <c r="P18" s="2914"/>
      <c r="Q18" s="2907"/>
    </row>
    <row r="19" spans="2:17" s="2894" customFormat="1" ht="15.5">
      <c r="B19" s="2902">
        <v>30104</v>
      </c>
      <c r="C19" s="2865"/>
      <c r="D19" s="2903" t="s">
        <v>573</v>
      </c>
      <c r="E19" s="2865"/>
      <c r="F19" s="1211">
        <v>140390.18</v>
      </c>
      <c r="G19" s="1211">
        <v>0</v>
      </c>
      <c r="H19" s="1211"/>
      <c r="I19" s="1211">
        <v>0</v>
      </c>
      <c r="J19" s="1211"/>
      <c r="K19" s="1211">
        <v>0</v>
      </c>
      <c r="L19" s="1211"/>
      <c r="M19" s="1211">
        <f t="shared" si="0"/>
        <v>0</v>
      </c>
      <c r="N19" s="1211"/>
      <c r="O19" s="1211">
        <v>0</v>
      </c>
      <c r="P19" s="2914"/>
      <c r="Q19" s="2907"/>
    </row>
    <row r="20" spans="2:17" s="2894" customFormat="1" ht="15.5">
      <c r="B20" s="2902">
        <v>30105</v>
      </c>
      <c r="C20" s="2865"/>
      <c r="D20" s="2903" t="s">
        <v>574</v>
      </c>
      <c r="E20" s="2865"/>
      <c r="F20" s="1211">
        <v>0</v>
      </c>
      <c r="G20" s="1211">
        <v>0</v>
      </c>
      <c r="H20" s="1211"/>
      <c r="I20" s="1211">
        <v>0</v>
      </c>
      <c r="J20" s="1211"/>
      <c r="K20" s="1211">
        <v>0</v>
      </c>
      <c r="L20" s="1211"/>
      <c r="M20" s="1211">
        <f t="shared" si="0"/>
        <v>0</v>
      </c>
      <c r="N20" s="1211"/>
      <c r="O20" s="1211">
        <v>0</v>
      </c>
      <c r="P20" s="2914"/>
      <c r="Q20" s="2907"/>
    </row>
    <row r="21" spans="2:17" s="2894" customFormat="1" ht="15.5">
      <c r="B21" s="2902">
        <v>30106</v>
      </c>
      <c r="C21" s="2865"/>
      <c r="D21" s="2903" t="s">
        <v>1005</v>
      </c>
      <c r="E21" s="2865"/>
      <c r="F21" s="1211">
        <v>0</v>
      </c>
      <c r="G21" s="1211">
        <v>0</v>
      </c>
      <c r="H21" s="1211"/>
      <c r="I21" s="1211">
        <v>0</v>
      </c>
      <c r="J21" s="1211"/>
      <c r="K21" s="1211">
        <v>0</v>
      </c>
      <c r="L21" s="1211"/>
      <c r="M21" s="1211">
        <f t="shared" si="0"/>
        <v>0</v>
      </c>
      <c r="N21" s="1211"/>
      <c r="O21" s="1211">
        <v>0</v>
      </c>
      <c r="P21" s="2914"/>
      <c r="Q21" s="2907"/>
    </row>
    <row r="22" spans="2:17" s="2894" customFormat="1" ht="15.5">
      <c r="B22" s="2902">
        <v>30107</v>
      </c>
      <c r="C22" s="2865"/>
      <c r="D22" s="2903" t="s">
        <v>575</v>
      </c>
      <c r="E22" s="2865"/>
      <c r="F22" s="1211">
        <v>0</v>
      </c>
      <c r="G22" s="1211">
        <v>0</v>
      </c>
      <c r="H22" s="1211"/>
      <c r="I22" s="1211">
        <v>0</v>
      </c>
      <c r="J22" s="1211"/>
      <c r="K22" s="1211">
        <v>0</v>
      </c>
      <c r="L22" s="1211"/>
      <c r="M22" s="1211">
        <f t="shared" si="0"/>
        <v>0</v>
      </c>
      <c r="N22" s="1211"/>
      <c r="O22" s="1211">
        <v>0</v>
      </c>
      <c r="P22" s="2914"/>
      <c r="Q22" s="2907"/>
    </row>
    <row r="23" spans="2:17" s="2894" customFormat="1" ht="15.5">
      <c r="B23" s="2902">
        <v>30108</v>
      </c>
      <c r="C23" s="2865"/>
      <c r="D23" s="2903" t="s">
        <v>1006</v>
      </c>
      <c r="E23" s="2865"/>
      <c r="F23" s="1211">
        <v>0</v>
      </c>
      <c r="G23" s="1211">
        <v>0</v>
      </c>
      <c r="H23" s="1211"/>
      <c r="I23" s="1211">
        <v>0</v>
      </c>
      <c r="J23" s="1211"/>
      <c r="K23" s="1211">
        <v>0</v>
      </c>
      <c r="L23" s="1211"/>
      <c r="M23" s="1211">
        <f t="shared" si="0"/>
        <v>0</v>
      </c>
      <c r="N23" s="1211"/>
      <c r="O23" s="1211">
        <v>0</v>
      </c>
      <c r="P23" s="2914"/>
      <c r="Q23" s="2907"/>
    </row>
    <row r="24" spans="2:17" s="2894" customFormat="1" ht="15.5">
      <c r="B24" s="2902">
        <v>30109</v>
      </c>
      <c r="C24" s="2865"/>
      <c r="D24" s="2903" t="s">
        <v>576</v>
      </c>
      <c r="E24" s="2865"/>
      <c r="F24" s="1211">
        <v>0</v>
      </c>
      <c r="G24" s="1211">
        <v>0</v>
      </c>
      <c r="H24" s="1211"/>
      <c r="I24" s="1211">
        <v>0</v>
      </c>
      <c r="J24" s="1211"/>
      <c r="K24" s="1211">
        <v>0</v>
      </c>
      <c r="L24" s="1211"/>
      <c r="M24" s="1211">
        <f t="shared" si="0"/>
        <v>0</v>
      </c>
      <c r="N24" s="1211"/>
      <c r="O24" s="1211">
        <v>0</v>
      </c>
      <c r="P24" s="2914"/>
      <c r="Q24" s="2907"/>
    </row>
    <row r="25" spans="2:17" s="2894" customFormat="1" ht="15.5">
      <c r="B25" s="2902">
        <v>30110</v>
      </c>
      <c r="C25" s="2865"/>
      <c r="D25" s="2903" t="s">
        <v>577</v>
      </c>
      <c r="E25" s="2865"/>
      <c r="F25" s="1211">
        <v>0</v>
      </c>
      <c r="G25" s="1211">
        <v>0</v>
      </c>
      <c r="H25" s="1211"/>
      <c r="I25" s="1211">
        <v>0</v>
      </c>
      <c r="J25" s="1211"/>
      <c r="K25" s="1211">
        <v>0</v>
      </c>
      <c r="L25" s="1211"/>
      <c r="M25" s="1211">
        <f t="shared" si="0"/>
        <v>0</v>
      </c>
      <c r="N25" s="1211"/>
      <c r="O25" s="1211">
        <v>0</v>
      </c>
      <c r="P25" s="2914"/>
      <c r="Q25" s="2907"/>
    </row>
    <row r="26" spans="2:17" s="2894" customFormat="1" ht="15.5">
      <c r="B26" s="2902">
        <v>30111</v>
      </c>
      <c r="C26" s="2865"/>
      <c r="D26" s="2903" t="s">
        <v>578</v>
      </c>
      <c r="E26" s="2865"/>
      <c r="F26" s="1211">
        <v>0</v>
      </c>
      <c r="G26" s="1211">
        <v>0</v>
      </c>
      <c r="H26" s="1211"/>
      <c r="I26" s="1211">
        <v>0</v>
      </c>
      <c r="J26" s="1211"/>
      <c r="K26" s="1211">
        <v>0</v>
      </c>
      <c r="L26" s="1211"/>
      <c r="M26" s="1211">
        <f t="shared" si="0"/>
        <v>0</v>
      </c>
      <c r="N26" s="1211"/>
      <c r="O26" s="1211">
        <v>0</v>
      </c>
      <c r="P26" s="2914"/>
      <c r="Q26" s="2907"/>
    </row>
    <row r="27" spans="2:17" s="2894" customFormat="1" ht="15.5">
      <c r="B27" s="2902">
        <v>30112</v>
      </c>
      <c r="C27" s="2865"/>
      <c r="D27" s="2903" t="s">
        <v>579</v>
      </c>
      <c r="E27" s="2865"/>
      <c r="F27" s="1211">
        <v>0</v>
      </c>
      <c r="G27" s="1211">
        <v>0</v>
      </c>
      <c r="H27" s="1211"/>
      <c r="I27" s="1211">
        <v>0</v>
      </c>
      <c r="J27" s="1211"/>
      <c r="K27" s="1211">
        <v>0</v>
      </c>
      <c r="L27" s="1211"/>
      <c r="M27" s="1211">
        <f t="shared" si="0"/>
        <v>0</v>
      </c>
      <c r="N27" s="1211"/>
      <c r="O27" s="1211">
        <v>0</v>
      </c>
      <c r="P27" s="2914"/>
      <c r="Q27" s="2907"/>
    </row>
    <row r="28" spans="2:17" s="2894" customFormat="1" ht="15.5">
      <c r="B28" s="2902">
        <v>30113</v>
      </c>
      <c r="C28" s="2865"/>
      <c r="D28" s="2903" t="s">
        <v>580</v>
      </c>
      <c r="E28" s="2865"/>
      <c r="F28" s="1211">
        <v>0</v>
      </c>
      <c r="G28" s="1211">
        <v>0</v>
      </c>
      <c r="H28" s="1211"/>
      <c r="I28" s="1211">
        <v>0</v>
      </c>
      <c r="J28" s="1211"/>
      <c r="K28" s="1211">
        <v>0</v>
      </c>
      <c r="L28" s="1211"/>
      <c r="M28" s="1211">
        <f t="shared" si="0"/>
        <v>0</v>
      </c>
      <c r="N28" s="1211"/>
      <c r="O28" s="1211">
        <v>0</v>
      </c>
      <c r="P28" s="2914"/>
      <c r="Q28" s="2907"/>
    </row>
    <row r="29" spans="2:17" s="2894" customFormat="1" ht="15.5">
      <c r="B29" s="2902">
        <v>30114</v>
      </c>
      <c r="C29" s="2865"/>
      <c r="D29" s="2903" t="s">
        <v>581</v>
      </c>
      <c r="E29" s="2865"/>
      <c r="F29" s="1211">
        <v>0</v>
      </c>
      <c r="G29" s="1211">
        <v>0</v>
      </c>
      <c r="H29" s="1211"/>
      <c r="I29" s="1211">
        <v>0</v>
      </c>
      <c r="J29" s="1211"/>
      <c r="K29" s="1211">
        <v>0</v>
      </c>
      <c r="L29" s="1211"/>
      <c r="M29" s="1211">
        <f t="shared" si="0"/>
        <v>0</v>
      </c>
      <c r="N29" s="1211"/>
      <c r="O29" s="1211">
        <v>0</v>
      </c>
      <c r="P29" s="2914"/>
      <c r="Q29" s="2907"/>
    </row>
    <row r="30" spans="2:17" s="2894" customFormat="1" ht="15.5">
      <c r="B30" s="2902">
        <v>30115</v>
      </c>
      <c r="C30" s="2865"/>
      <c r="D30" s="2903" t="s">
        <v>582</v>
      </c>
      <c r="E30" s="2865"/>
      <c r="F30" s="1211">
        <v>0</v>
      </c>
      <c r="G30" s="1211">
        <v>0</v>
      </c>
      <c r="H30" s="1211"/>
      <c r="I30" s="1211">
        <v>0</v>
      </c>
      <c r="J30" s="1211"/>
      <c r="K30" s="1211">
        <v>0</v>
      </c>
      <c r="L30" s="1211"/>
      <c r="M30" s="1211">
        <f t="shared" si="0"/>
        <v>0</v>
      </c>
      <c r="N30" s="1211"/>
      <c r="O30" s="1211">
        <v>0</v>
      </c>
      <c r="P30" s="2914"/>
      <c r="Q30" s="2907"/>
    </row>
    <row r="31" spans="2:17" s="2894" customFormat="1" ht="15.5">
      <c r="B31" s="2902">
        <v>30116</v>
      </c>
      <c r="C31" s="2865"/>
      <c r="D31" s="2903" t="s">
        <v>583</v>
      </c>
      <c r="E31" s="2865"/>
      <c r="F31" s="1211">
        <v>0</v>
      </c>
      <c r="G31" s="1211">
        <v>0</v>
      </c>
      <c r="H31" s="1211"/>
      <c r="I31" s="1211">
        <v>0</v>
      </c>
      <c r="J31" s="1211"/>
      <c r="K31" s="1211">
        <v>0</v>
      </c>
      <c r="L31" s="1211"/>
      <c r="M31" s="1211">
        <f t="shared" si="0"/>
        <v>0</v>
      </c>
      <c r="N31" s="1211"/>
      <c r="O31" s="1211">
        <v>0</v>
      </c>
      <c r="P31" s="2914"/>
      <c r="Q31" s="2907"/>
    </row>
    <row r="32" spans="2:17" s="2894" customFormat="1" ht="15.5">
      <c r="B32" s="2902">
        <v>30117</v>
      </c>
      <c r="C32" s="2865"/>
      <c r="D32" s="2903" t="s">
        <v>584</v>
      </c>
      <c r="E32" s="2865"/>
      <c r="F32" s="1211">
        <v>0</v>
      </c>
      <c r="G32" s="1211">
        <v>0</v>
      </c>
      <c r="H32" s="1211"/>
      <c r="I32" s="1211">
        <v>0</v>
      </c>
      <c r="J32" s="1211"/>
      <c r="K32" s="1211">
        <v>0</v>
      </c>
      <c r="L32" s="1211"/>
      <c r="M32" s="1211">
        <f t="shared" si="0"/>
        <v>0</v>
      </c>
      <c r="N32" s="1211"/>
      <c r="O32" s="1211">
        <v>0</v>
      </c>
      <c r="P32" s="2914"/>
      <c r="Q32" s="2907"/>
    </row>
    <row r="33" spans="2:17" s="2894" customFormat="1" ht="15.5">
      <c r="B33" s="2902">
        <v>30118</v>
      </c>
      <c r="C33" s="2865"/>
      <c r="D33" s="2903" t="s">
        <v>585</v>
      </c>
      <c r="E33" s="2865"/>
      <c r="F33" s="1211">
        <v>0</v>
      </c>
      <c r="G33" s="1211">
        <v>0</v>
      </c>
      <c r="H33" s="1211"/>
      <c r="I33" s="1211">
        <v>0</v>
      </c>
      <c r="J33" s="1211"/>
      <c r="K33" s="1211">
        <v>0</v>
      </c>
      <c r="L33" s="1211"/>
      <c r="M33" s="1211">
        <f t="shared" si="0"/>
        <v>0</v>
      </c>
      <c r="N33" s="1211"/>
      <c r="O33" s="1211">
        <v>0</v>
      </c>
      <c r="P33" s="2914"/>
      <c r="Q33" s="2907"/>
    </row>
    <row r="34" spans="2:17" s="2894" customFormat="1" ht="15.5">
      <c r="B34" s="2902">
        <v>30119</v>
      </c>
      <c r="C34" s="2865"/>
      <c r="D34" s="2903" t="s">
        <v>586</v>
      </c>
      <c r="E34" s="2865"/>
      <c r="F34" s="1211">
        <v>0</v>
      </c>
      <c r="G34" s="1211">
        <v>0</v>
      </c>
      <c r="H34" s="1211"/>
      <c r="I34" s="1211">
        <v>0</v>
      </c>
      <c r="J34" s="1211"/>
      <c r="K34" s="1211">
        <v>0</v>
      </c>
      <c r="L34" s="1211"/>
      <c r="M34" s="1211">
        <f t="shared" si="0"/>
        <v>0</v>
      </c>
      <c r="N34" s="1211"/>
      <c r="O34" s="1211">
        <v>0</v>
      </c>
      <c r="P34" s="2914"/>
      <c r="Q34" s="2907"/>
    </row>
    <row r="35" spans="2:17" s="2894" customFormat="1" ht="15.5">
      <c r="B35" s="2902">
        <v>30120</v>
      </c>
      <c r="C35" s="2865"/>
      <c r="D35" s="2903" t="s">
        <v>587</v>
      </c>
      <c r="E35" s="2865"/>
      <c r="F35" s="1211">
        <v>0</v>
      </c>
      <c r="G35" s="1211">
        <v>0</v>
      </c>
      <c r="H35" s="1211"/>
      <c r="I35" s="1211">
        <v>0</v>
      </c>
      <c r="J35" s="1211"/>
      <c r="K35" s="1211">
        <v>0</v>
      </c>
      <c r="L35" s="1211"/>
      <c r="M35" s="1211">
        <f t="shared" si="0"/>
        <v>0</v>
      </c>
      <c r="N35" s="1211"/>
      <c r="O35" s="1211">
        <v>0</v>
      </c>
      <c r="P35" s="2914"/>
      <c r="Q35" s="2907"/>
    </row>
    <row r="36" spans="2:17" s="2894" customFormat="1" ht="15.5">
      <c r="B36" s="2902">
        <v>30121</v>
      </c>
      <c r="C36" s="2865"/>
      <c r="D36" s="2903" t="s">
        <v>588</v>
      </c>
      <c r="E36" s="2865"/>
      <c r="F36" s="1211">
        <v>0</v>
      </c>
      <c r="G36" s="1211">
        <v>0</v>
      </c>
      <c r="H36" s="1211"/>
      <c r="I36" s="1211">
        <v>0</v>
      </c>
      <c r="J36" s="1211"/>
      <c r="K36" s="1211">
        <v>0</v>
      </c>
      <c r="L36" s="1211"/>
      <c r="M36" s="1211">
        <f t="shared" si="0"/>
        <v>0</v>
      </c>
      <c r="N36" s="1211"/>
      <c r="O36" s="1211">
        <v>0</v>
      </c>
      <c r="P36" s="2914"/>
      <c r="Q36" s="2907"/>
    </row>
    <row r="37" spans="2:17" s="2894" customFormat="1" ht="15.5">
      <c r="B37" s="2902">
        <v>30122</v>
      </c>
      <c r="C37" s="2865"/>
      <c r="D37" s="2903" t="s">
        <v>589</v>
      </c>
      <c r="E37" s="2865"/>
      <c r="F37" s="1211">
        <v>0</v>
      </c>
      <c r="G37" s="1211">
        <v>0</v>
      </c>
      <c r="H37" s="1211"/>
      <c r="I37" s="1211">
        <v>0</v>
      </c>
      <c r="J37" s="1211"/>
      <c r="K37" s="1211">
        <v>0</v>
      </c>
      <c r="L37" s="1211"/>
      <c r="M37" s="1211">
        <f t="shared" si="0"/>
        <v>0</v>
      </c>
      <c r="N37" s="1211"/>
      <c r="O37" s="1211">
        <v>0</v>
      </c>
      <c r="P37" s="2914"/>
      <c r="Q37" s="2907"/>
    </row>
    <row r="38" spans="2:17" s="2894" customFormat="1" ht="15.5">
      <c r="B38" s="2902">
        <v>30123</v>
      </c>
      <c r="C38" s="2865"/>
      <c r="D38" s="2903" t="s">
        <v>590</v>
      </c>
      <c r="E38" s="2865"/>
      <c r="F38" s="1211">
        <v>0</v>
      </c>
      <c r="G38" s="1211">
        <v>0</v>
      </c>
      <c r="H38" s="1211"/>
      <c r="I38" s="1211">
        <v>0</v>
      </c>
      <c r="J38" s="1211"/>
      <c r="K38" s="1211">
        <v>0</v>
      </c>
      <c r="L38" s="1211"/>
      <c r="M38" s="1211">
        <f t="shared" si="0"/>
        <v>0</v>
      </c>
      <c r="N38" s="1211"/>
      <c r="O38" s="1211">
        <v>0</v>
      </c>
      <c r="P38" s="2914"/>
      <c r="Q38" s="2907"/>
    </row>
    <row r="39" spans="2:17" s="2894" customFormat="1" ht="15.5">
      <c r="B39" s="2902">
        <v>30124</v>
      </c>
      <c r="C39" s="2865"/>
      <c r="D39" s="2903" t="s">
        <v>591</v>
      </c>
      <c r="E39" s="2865"/>
      <c r="F39" s="1211">
        <v>0</v>
      </c>
      <c r="G39" s="1211">
        <v>0</v>
      </c>
      <c r="H39" s="1211"/>
      <c r="I39" s="1211">
        <v>0</v>
      </c>
      <c r="J39" s="1211"/>
      <c r="K39" s="1211">
        <v>0</v>
      </c>
      <c r="L39" s="1211"/>
      <c r="M39" s="1211">
        <f t="shared" si="0"/>
        <v>0</v>
      </c>
      <c r="N39" s="1211"/>
      <c r="O39" s="1211">
        <v>0</v>
      </c>
      <c r="P39" s="2914"/>
      <c r="Q39" s="2907"/>
    </row>
    <row r="40" spans="2:17" s="2894" customFormat="1" ht="15.5">
      <c r="B40" s="2902">
        <v>30125</v>
      </c>
      <c r="C40" s="2865"/>
      <c r="D40" s="2903" t="s">
        <v>592</v>
      </c>
      <c r="E40" s="2865"/>
      <c r="F40" s="1211">
        <v>0</v>
      </c>
      <c r="G40" s="1211">
        <v>0</v>
      </c>
      <c r="H40" s="1211"/>
      <c r="I40" s="1211">
        <v>0</v>
      </c>
      <c r="J40" s="1211"/>
      <c r="K40" s="1211">
        <v>0</v>
      </c>
      <c r="L40" s="1211"/>
      <c r="M40" s="1211">
        <f t="shared" si="0"/>
        <v>0</v>
      </c>
      <c r="N40" s="1211"/>
      <c r="O40" s="1211">
        <v>0</v>
      </c>
      <c r="P40" s="2914"/>
      <c r="Q40" s="2907"/>
    </row>
    <row r="41" spans="2:17" s="2894" customFormat="1" ht="15.5">
      <c r="B41" s="2902">
        <v>30126</v>
      </c>
      <c r="C41" s="2865"/>
      <c r="D41" s="2903" t="s">
        <v>593</v>
      </c>
      <c r="E41" s="2865"/>
      <c r="F41" s="1211">
        <v>0</v>
      </c>
      <c r="G41" s="1211">
        <v>0</v>
      </c>
      <c r="H41" s="1211"/>
      <c r="I41" s="1211">
        <v>0</v>
      </c>
      <c r="J41" s="1211"/>
      <c r="K41" s="1211">
        <v>0</v>
      </c>
      <c r="L41" s="1211"/>
      <c r="M41" s="1211">
        <f t="shared" si="0"/>
        <v>0</v>
      </c>
      <c r="N41" s="1211"/>
      <c r="O41" s="1211">
        <v>0</v>
      </c>
      <c r="P41" s="2914"/>
      <c r="Q41" s="2907"/>
    </row>
    <row r="42" spans="2:17" s="2894" customFormat="1" ht="15.5">
      <c r="B42" s="2902">
        <v>30127</v>
      </c>
      <c r="C42" s="2865"/>
      <c r="D42" s="2903" t="s">
        <v>594</v>
      </c>
      <c r="E42" s="2865"/>
      <c r="F42" s="1211">
        <v>0</v>
      </c>
      <c r="G42" s="1211">
        <v>0</v>
      </c>
      <c r="H42" s="1211"/>
      <c r="I42" s="1211">
        <v>0</v>
      </c>
      <c r="J42" s="1211"/>
      <c r="K42" s="1211">
        <v>0</v>
      </c>
      <c r="L42" s="1211"/>
      <c r="M42" s="1211">
        <f t="shared" si="0"/>
        <v>0</v>
      </c>
      <c r="N42" s="1211"/>
      <c r="O42" s="1211">
        <v>0</v>
      </c>
      <c r="P42" s="2914"/>
      <c r="Q42" s="2907"/>
    </row>
    <row r="43" spans="2:17" s="2894" customFormat="1" ht="15.5">
      <c r="B43" s="2902">
        <v>30128</v>
      </c>
      <c r="C43" s="2865"/>
      <c r="D43" s="2903" t="s">
        <v>595</v>
      </c>
      <c r="E43" s="2865"/>
      <c r="F43" s="1211">
        <v>0</v>
      </c>
      <c r="G43" s="1211">
        <v>0</v>
      </c>
      <c r="H43" s="1211"/>
      <c r="I43" s="1211">
        <v>0</v>
      </c>
      <c r="J43" s="1211"/>
      <c r="K43" s="1211">
        <v>0</v>
      </c>
      <c r="L43" s="1211"/>
      <c r="M43" s="1211">
        <f t="shared" si="0"/>
        <v>0</v>
      </c>
      <c r="N43" s="1211"/>
      <c r="O43" s="1211">
        <v>0</v>
      </c>
      <c r="P43" s="2914"/>
      <c r="Q43" s="2907"/>
    </row>
    <row r="44" spans="2:17" s="2894" customFormat="1" ht="15.5">
      <c r="B44" s="2902">
        <v>30129</v>
      </c>
      <c r="C44" s="2865"/>
      <c r="D44" s="2903" t="s">
        <v>596</v>
      </c>
      <c r="E44" s="2865"/>
      <c r="F44" s="1211">
        <v>0</v>
      </c>
      <c r="G44" s="1211">
        <v>0</v>
      </c>
      <c r="H44" s="1211"/>
      <c r="I44" s="1211">
        <v>0</v>
      </c>
      <c r="J44" s="1211"/>
      <c r="K44" s="1211">
        <v>0</v>
      </c>
      <c r="L44" s="1211"/>
      <c r="M44" s="1211">
        <f t="shared" si="0"/>
        <v>0</v>
      </c>
      <c r="N44" s="1211"/>
      <c r="O44" s="1211">
        <v>0</v>
      </c>
      <c r="P44" s="2914"/>
      <c r="Q44" s="2907"/>
    </row>
    <row r="45" spans="2:17" s="2894" customFormat="1" ht="15.5">
      <c r="B45" s="2902">
        <v>30130</v>
      </c>
      <c r="C45" s="2865"/>
      <c r="D45" s="2903" t="s">
        <v>597</v>
      </c>
      <c r="E45" s="2865"/>
      <c r="F45" s="1211">
        <v>0</v>
      </c>
      <c r="G45" s="1211">
        <v>0</v>
      </c>
      <c r="H45" s="1211"/>
      <c r="I45" s="1211">
        <v>0</v>
      </c>
      <c r="J45" s="1211"/>
      <c r="K45" s="1211">
        <v>0</v>
      </c>
      <c r="L45" s="1211"/>
      <c r="M45" s="1211">
        <f t="shared" si="0"/>
        <v>0</v>
      </c>
      <c r="N45" s="1211"/>
      <c r="O45" s="1211">
        <v>0</v>
      </c>
      <c r="P45" s="2914"/>
      <c r="Q45" s="2907"/>
    </row>
    <row r="46" spans="2:17" s="2894" customFormat="1" ht="15.5">
      <c r="B46" s="2902">
        <v>30131</v>
      </c>
      <c r="C46" s="2865"/>
      <c r="D46" s="2903" t="s">
        <v>598</v>
      </c>
      <c r="E46" s="2865"/>
      <c r="F46" s="1211">
        <v>0</v>
      </c>
      <c r="G46" s="1211">
        <v>0</v>
      </c>
      <c r="H46" s="1211"/>
      <c r="I46" s="1211">
        <v>0</v>
      </c>
      <c r="J46" s="1211"/>
      <c r="K46" s="1211">
        <v>0</v>
      </c>
      <c r="L46" s="1211"/>
      <c r="M46" s="1211">
        <f t="shared" si="0"/>
        <v>0</v>
      </c>
      <c r="N46" s="1211"/>
      <c r="O46" s="1211">
        <v>0</v>
      </c>
      <c r="P46" s="2914"/>
      <c r="Q46" s="2907"/>
    </row>
    <row r="47" spans="2:17" s="2894" customFormat="1" ht="15.5">
      <c r="B47" s="2902">
        <v>30132</v>
      </c>
      <c r="C47" s="2865"/>
      <c r="D47" s="2903" t="s">
        <v>599</v>
      </c>
      <c r="E47" s="2865"/>
      <c r="F47" s="1211">
        <v>0</v>
      </c>
      <c r="G47" s="1211">
        <v>0</v>
      </c>
      <c r="H47" s="1211"/>
      <c r="I47" s="1211">
        <v>0</v>
      </c>
      <c r="J47" s="1211"/>
      <c r="K47" s="1211">
        <v>0</v>
      </c>
      <c r="L47" s="1211"/>
      <c r="M47" s="1211">
        <f t="shared" si="0"/>
        <v>0</v>
      </c>
      <c r="N47" s="1211"/>
      <c r="O47" s="1211">
        <v>0</v>
      </c>
      <c r="P47" s="2914"/>
      <c r="Q47" s="2907"/>
    </row>
    <row r="48" spans="2:17" s="2894" customFormat="1" ht="15.5">
      <c r="B48" s="2902">
        <v>30133</v>
      </c>
      <c r="C48" s="2865"/>
      <c r="D48" s="2903" t="s">
        <v>600</v>
      </c>
      <c r="E48" s="2865"/>
      <c r="F48" s="1211">
        <v>0</v>
      </c>
      <c r="G48" s="1211">
        <v>0</v>
      </c>
      <c r="H48" s="1211"/>
      <c r="I48" s="1211">
        <v>0</v>
      </c>
      <c r="J48" s="1211"/>
      <c r="K48" s="1211">
        <v>0</v>
      </c>
      <c r="L48" s="1211"/>
      <c r="M48" s="1211">
        <f t="shared" si="0"/>
        <v>0</v>
      </c>
      <c r="N48" s="1211"/>
      <c r="O48" s="1211">
        <v>0</v>
      </c>
      <c r="P48" s="2914"/>
      <c r="Q48" s="2907"/>
    </row>
    <row r="49" spans="2:17" s="2894" customFormat="1" ht="15.5">
      <c r="B49" s="2902">
        <v>30134</v>
      </c>
      <c r="C49" s="2865"/>
      <c r="D49" s="2903" t="s">
        <v>601</v>
      </c>
      <c r="E49" s="2865"/>
      <c r="F49" s="1211">
        <v>0</v>
      </c>
      <c r="G49" s="1211">
        <v>0</v>
      </c>
      <c r="H49" s="1211"/>
      <c r="I49" s="1211">
        <v>0</v>
      </c>
      <c r="J49" s="1211"/>
      <c r="K49" s="1211">
        <v>0</v>
      </c>
      <c r="L49" s="1211"/>
      <c r="M49" s="1211">
        <f t="shared" si="0"/>
        <v>0</v>
      </c>
      <c r="N49" s="1211"/>
      <c r="O49" s="1211">
        <v>0</v>
      </c>
      <c r="P49" s="2914"/>
      <c r="Q49" s="2907"/>
    </row>
    <row r="50" spans="2:17" s="2894" customFormat="1" ht="15.5">
      <c r="B50" s="2902">
        <v>30135</v>
      </c>
      <c r="C50" s="2865"/>
      <c r="D50" s="2903" t="s">
        <v>602</v>
      </c>
      <c r="E50" s="2865"/>
      <c r="F50" s="1211">
        <v>0</v>
      </c>
      <c r="G50" s="1211">
        <v>0</v>
      </c>
      <c r="H50" s="1211"/>
      <c r="I50" s="1211">
        <v>0</v>
      </c>
      <c r="J50" s="1211"/>
      <c r="K50" s="1211">
        <v>0</v>
      </c>
      <c r="L50" s="1211"/>
      <c r="M50" s="1211">
        <f t="shared" si="0"/>
        <v>0</v>
      </c>
      <c r="N50" s="1211"/>
      <c r="O50" s="1211">
        <v>0</v>
      </c>
      <c r="P50" s="2914"/>
      <c r="Q50" s="2907"/>
    </row>
    <row r="51" spans="2:17" s="2894" customFormat="1" ht="15.5">
      <c r="B51" s="2902">
        <v>30136</v>
      </c>
      <c r="C51" s="2865"/>
      <c r="D51" s="2903" t="s">
        <v>603</v>
      </c>
      <c r="E51" s="2865"/>
      <c r="F51" s="1211">
        <v>0</v>
      </c>
      <c r="G51" s="1211">
        <v>0</v>
      </c>
      <c r="H51" s="1211"/>
      <c r="I51" s="1211">
        <v>0</v>
      </c>
      <c r="J51" s="1211"/>
      <c r="K51" s="1211">
        <v>0</v>
      </c>
      <c r="L51" s="1211"/>
      <c r="M51" s="1211">
        <f t="shared" si="0"/>
        <v>0</v>
      </c>
      <c r="N51" s="1211"/>
      <c r="O51" s="1211">
        <v>0</v>
      </c>
      <c r="P51" s="2914"/>
      <c r="Q51" s="2907"/>
    </row>
    <row r="52" spans="2:17" s="2894" customFormat="1" ht="15.5">
      <c r="B52" s="2902">
        <v>30137</v>
      </c>
      <c r="C52" s="2865"/>
      <c r="D52" s="2903" t="s">
        <v>604</v>
      </c>
      <c r="E52" s="2865"/>
      <c r="F52" s="1211">
        <v>2867.69</v>
      </c>
      <c r="G52" s="1211">
        <v>0</v>
      </c>
      <c r="H52" s="1211"/>
      <c r="I52" s="1211">
        <v>0</v>
      </c>
      <c r="J52" s="1211"/>
      <c r="K52" s="1211">
        <v>0</v>
      </c>
      <c r="L52" s="1211"/>
      <c r="M52" s="1211">
        <f t="shared" si="0"/>
        <v>0</v>
      </c>
      <c r="N52" s="1211"/>
      <c r="O52" s="1211">
        <v>0</v>
      </c>
      <c r="P52" s="2914"/>
      <c r="Q52" s="2907"/>
    </row>
    <row r="53" spans="2:17" s="2894" customFormat="1" ht="15.5">
      <c r="B53" s="2902">
        <v>30138</v>
      </c>
      <c r="C53" s="2865"/>
      <c r="D53" s="2903" t="s">
        <v>605</v>
      </c>
      <c r="E53" s="2865"/>
      <c r="F53" s="1211">
        <v>0</v>
      </c>
      <c r="G53" s="1211">
        <v>0</v>
      </c>
      <c r="H53" s="1211"/>
      <c r="I53" s="1211">
        <v>0</v>
      </c>
      <c r="J53" s="1211"/>
      <c r="K53" s="1211">
        <v>0</v>
      </c>
      <c r="L53" s="1211"/>
      <c r="M53" s="1211">
        <f t="shared" ref="M53:M75" si="1">ROUND(SUM(O53)-SUM(K53),2)</f>
        <v>0</v>
      </c>
      <c r="N53" s="1211"/>
      <c r="O53" s="1211">
        <v>0</v>
      </c>
      <c r="P53" s="2914"/>
      <c r="Q53" s="2907"/>
    </row>
    <row r="54" spans="2:17" s="2894" customFormat="1" ht="15.5">
      <c r="B54" s="2902">
        <v>30139</v>
      </c>
      <c r="C54" s="2865"/>
      <c r="D54" s="2903" t="s">
        <v>606</v>
      </c>
      <c r="E54" s="2865"/>
      <c r="F54" s="1211">
        <v>0</v>
      </c>
      <c r="G54" s="1211">
        <v>0</v>
      </c>
      <c r="H54" s="1211"/>
      <c r="I54" s="1211">
        <v>0</v>
      </c>
      <c r="J54" s="1211"/>
      <c r="K54" s="1211">
        <v>0</v>
      </c>
      <c r="L54" s="1211"/>
      <c r="M54" s="1211">
        <f t="shared" si="1"/>
        <v>0</v>
      </c>
      <c r="N54" s="1211"/>
      <c r="O54" s="1211">
        <v>0</v>
      </c>
      <c r="P54" s="2914"/>
      <c r="Q54" s="2907"/>
    </row>
    <row r="55" spans="2:17" s="2894" customFormat="1" ht="15.5">
      <c r="B55" s="2902">
        <v>30140</v>
      </c>
      <c r="C55" s="2865"/>
      <c r="D55" s="2903" t="s">
        <v>607</v>
      </c>
      <c r="E55" s="2865"/>
      <c r="F55" s="1211">
        <v>0</v>
      </c>
      <c r="G55" s="1211">
        <v>0</v>
      </c>
      <c r="H55" s="1211"/>
      <c r="I55" s="1211">
        <v>0</v>
      </c>
      <c r="J55" s="1211"/>
      <c r="K55" s="1211">
        <v>0</v>
      </c>
      <c r="L55" s="1211"/>
      <c r="M55" s="1211">
        <f t="shared" si="1"/>
        <v>0</v>
      </c>
      <c r="N55" s="1211"/>
      <c r="O55" s="1211">
        <v>0</v>
      </c>
      <c r="P55" s="2914"/>
      <c r="Q55" s="2907"/>
    </row>
    <row r="56" spans="2:17" s="2894" customFormat="1" ht="15.5">
      <c r="B56" s="2902">
        <v>30141</v>
      </c>
      <c r="C56" s="2865"/>
      <c r="D56" s="2903" t="s">
        <v>608</v>
      </c>
      <c r="E56" s="2865"/>
      <c r="F56" s="1211">
        <v>0</v>
      </c>
      <c r="G56" s="1211">
        <v>0</v>
      </c>
      <c r="H56" s="1211"/>
      <c r="I56" s="1211">
        <v>0</v>
      </c>
      <c r="J56" s="1211"/>
      <c r="K56" s="1211">
        <v>0</v>
      </c>
      <c r="L56" s="1211"/>
      <c r="M56" s="1211">
        <f t="shared" si="1"/>
        <v>0</v>
      </c>
      <c r="N56" s="1211"/>
      <c r="O56" s="1211">
        <v>0</v>
      </c>
      <c r="P56" s="2914"/>
      <c r="Q56" s="2907"/>
    </row>
    <row r="57" spans="2:17" s="2894" customFormat="1" ht="15.5">
      <c r="B57" s="2902">
        <v>30142</v>
      </c>
      <c r="C57" s="2865"/>
      <c r="D57" s="2903" t="s">
        <v>609</v>
      </c>
      <c r="E57" s="2865"/>
      <c r="F57" s="1211">
        <v>0</v>
      </c>
      <c r="G57" s="1211">
        <v>0</v>
      </c>
      <c r="H57" s="1211"/>
      <c r="I57" s="1211">
        <v>0</v>
      </c>
      <c r="J57" s="1211"/>
      <c r="K57" s="1211">
        <v>0</v>
      </c>
      <c r="L57" s="1211"/>
      <c r="M57" s="1211">
        <f t="shared" si="1"/>
        <v>0</v>
      </c>
      <c r="N57" s="1211"/>
      <c r="O57" s="1211">
        <v>0</v>
      </c>
      <c r="P57" s="2914"/>
      <c r="Q57" s="2907"/>
    </row>
    <row r="58" spans="2:17" s="2894" customFormat="1" ht="15.5">
      <c r="B58" s="2902">
        <v>30143</v>
      </c>
      <c r="C58" s="2865"/>
      <c r="D58" s="2903" t="s">
        <v>610</v>
      </c>
      <c r="E58" s="2865"/>
      <c r="F58" s="1211">
        <v>0</v>
      </c>
      <c r="G58" s="1211">
        <v>0</v>
      </c>
      <c r="H58" s="1211"/>
      <c r="I58" s="1211">
        <v>0</v>
      </c>
      <c r="J58" s="1211"/>
      <c r="K58" s="1211">
        <v>0</v>
      </c>
      <c r="L58" s="1211"/>
      <c r="M58" s="1211">
        <f t="shared" si="1"/>
        <v>0</v>
      </c>
      <c r="N58" s="1211"/>
      <c r="O58" s="1211">
        <v>0</v>
      </c>
      <c r="P58" s="2914"/>
      <c r="Q58" s="2907"/>
    </row>
    <row r="59" spans="2:17" s="2894" customFormat="1" ht="15.5">
      <c r="B59" s="2902">
        <v>30144</v>
      </c>
      <c r="C59" s="2865"/>
      <c r="D59" s="2903" t="s">
        <v>611</v>
      </c>
      <c r="E59" s="2865"/>
      <c r="F59" s="1211">
        <v>0</v>
      </c>
      <c r="G59" s="1211">
        <v>0</v>
      </c>
      <c r="H59" s="1211"/>
      <c r="I59" s="1211">
        <v>0</v>
      </c>
      <c r="J59" s="1211"/>
      <c r="K59" s="1211">
        <v>0</v>
      </c>
      <c r="L59" s="1211"/>
      <c r="M59" s="1211">
        <f t="shared" si="1"/>
        <v>0</v>
      </c>
      <c r="N59" s="1211"/>
      <c r="O59" s="1211">
        <v>0</v>
      </c>
      <c r="P59" s="2914"/>
      <c r="Q59" s="2907"/>
    </row>
    <row r="60" spans="2:17" s="2894" customFormat="1" ht="15.5">
      <c r="B60" s="2902">
        <v>30145</v>
      </c>
      <c r="C60" s="2865"/>
      <c r="D60" s="2903" t="s">
        <v>612</v>
      </c>
      <c r="E60" s="2865"/>
      <c r="F60" s="1211">
        <v>0</v>
      </c>
      <c r="G60" s="1211">
        <v>0</v>
      </c>
      <c r="H60" s="1211"/>
      <c r="I60" s="1211">
        <v>0</v>
      </c>
      <c r="J60" s="1211"/>
      <c r="K60" s="1211">
        <v>0</v>
      </c>
      <c r="L60" s="1211"/>
      <c r="M60" s="1211">
        <f t="shared" si="1"/>
        <v>0</v>
      </c>
      <c r="N60" s="1211"/>
      <c r="O60" s="1211">
        <v>0</v>
      </c>
      <c r="P60" s="2914"/>
      <c r="Q60" s="2907"/>
    </row>
    <row r="61" spans="2:17" s="2894" customFormat="1" ht="15.5">
      <c r="B61" s="2902">
        <v>30146</v>
      </c>
      <c r="C61" s="2865"/>
      <c r="D61" s="2903" t="s">
        <v>613</v>
      </c>
      <c r="E61" s="2865"/>
      <c r="F61" s="1211">
        <v>0</v>
      </c>
      <c r="G61" s="1211">
        <v>0</v>
      </c>
      <c r="H61" s="1211"/>
      <c r="I61" s="1211">
        <v>0</v>
      </c>
      <c r="J61" s="1211"/>
      <c r="K61" s="1211">
        <v>0</v>
      </c>
      <c r="L61" s="1211"/>
      <c r="M61" s="1211">
        <f t="shared" si="1"/>
        <v>0</v>
      </c>
      <c r="N61" s="1211"/>
      <c r="O61" s="1211">
        <v>0</v>
      </c>
      <c r="P61" s="2914"/>
      <c r="Q61" s="2907"/>
    </row>
    <row r="62" spans="2:17" s="2894" customFormat="1" ht="15.5">
      <c r="B62" s="2902">
        <v>30147</v>
      </c>
      <c r="C62" s="2865"/>
      <c r="D62" s="2903" t="s">
        <v>614</v>
      </c>
      <c r="E62" s="2865"/>
      <c r="F62" s="1211">
        <v>0</v>
      </c>
      <c r="G62" s="1211">
        <v>0</v>
      </c>
      <c r="H62" s="1211"/>
      <c r="I62" s="1211">
        <v>0</v>
      </c>
      <c r="J62" s="1211"/>
      <c r="K62" s="1211">
        <v>582031.54</v>
      </c>
      <c r="L62" s="1211"/>
      <c r="M62" s="1211">
        <f t="shared" si="1"/>
        <v>219008.57</v>
      </c>
      <c r="N62" s="1211"/>
      <c r="O62" s="1211">
        <v>801040.11</v>
      </c>
      <c r="P62" s="2914"/>
      <c r="Q62" s="2907"/>
    </row>
    <row r="63" spans="2:17" s="2894" customFormat="1" ht="15.5">
      <c r="B63" s="2902">
        <v>30148</v>
      </c>
      <c r="C63" s="2865"/>
      <c r="D63" s="2903" t="s">
        <v>615</v>
      </c>
      <c r="E63" s="2865"/>
      <c r="F63" s="1211">
        <v>0</v>
      </c>
      <c r="G63" s="1211">
        <v>0</v>
      </c>
      <c r="H63" s="1211"/>
      <c r="I63" s="1211">
        <v>0</v>
      </c>
      <c r="J63" s="1211"/>
      <c r="K63" s="1211">
        <v>0</v>
      </c>
      <c r="L63" s="1211"/>
      <c r="M63" s="1211">
        <f t="shared" si="1"/>
        <v>0</v>
      </c>
      <c r="N63" s="1211"/>
      <c r="O63" s="1211">
        <v>0</v>
      </c>
      <c r="P63" s="2914"/>
      <c r="Q63" s="2907"/>
    </row>
    <row r="64" spans="2:17" s="2894" customFormat="1" ht="15.5">
      <c r="B64" s="2902">
        <v>30149</v>
      </c>
      <c r="C64" s="2865"/>
      <c r="D64" s="2903" t="s">
        <v>616</v>
      </c>
      <c r="E64" s="2865"/>
      <c r="F64" s="1211">
        <v>0</v>
      </c>
      <c r="G64" s="1211">
        <v>0</v>
      </c>
      <c r="H64" s="1211"/>
      <c r="I64" s="1211">
        <v>0</v>
      </c>
      <c r="J64" s="1211"/>
      <c r="K64" s="1211">
        <v>0</v>
      </c>
      <c r="L64" s="1211"/>
      <c r="M64" s="1211">
        <f t="shared" si="1"/>
        <v>0</v>
      </c>
      <c r="N64" s="1211"/>
      <c r="O64" s="1211">
        <v>0</v>
      </c>
      <c r="P64" s="2914"/>
      <c r="Q64" s="2907"/>
    </row>
    <row r="65" spans="2:17" s="2894" customFormat="1" ht="15.5">
      <c r="B65" s="2902">
        <v>30150</v>
      </c>
      <c r="C65" s="2865"/>
      <c r="D65" s="2903" t="s">
        <v>617</v>
      </c>
      <c r="E65" s="2865"/>
      <c r="F65" s="1211">
        <v>0</v>
      </c>
      <c r="G65" s="1211">
        <v>0</v>
      </c>
      <c r="H65" s="1211"/>
      <c r="I65" s="1211">
        <v>0</v>
      </c>
      <c r="J65" s="1211"/>
      <c r="K65" s="1211">
        <v>0</v>
      </c>
      <c r="L65" s="1211"/>
      <c r="M65" s="1211">
        <f t="shared" si="1"/>
        <v>0</v>
      </c>
      <c r="N65" s="1211"/>
      <c r="O65" s="1211">
        <v>0</v>
      </c>
      <c r="P65" s="2914"/>
      <c r="Q65" s="2907"/>
    </row>
    <row r="66" spans="2:17" s="2894" customFormat="1" ht="15.5">
      <c r="B66" s="2902">
        <v>30151</v>
      </c>
      <c r="C66" s="2865"/>
      <c r="D66" s="2903" t="s">
        <v>618</v>
      </c>
      <c r="E66" s="2865"/>
      <c r="F66" s="1211">
        <v>0</v>
      </c>
      <c r="G66" s="1211">
        <v>0</v>
      </c>
      <c r="H66" s="1211"/>
      <c r="I66" s="1211">
        <v>0</v>
      </c>
      <c r="J66" s="1211"/>
      <c r="K66" s="1211">
        <v>0</v>
      </c>
      <c r="L66" s="1211"/>
      <c r="M66" s="1211">
        <f t="shared" si="1"/>
        <v>0</v>
      </c>
      <c r="N66" s="1211"/>
      <c r="O66" s="1211">
        <v>0</v>
      </c>
      <c r="P66" s="2914"/>
      <c r="Q66" s="2907"/>
    </row>
    <row r="67" spans="2:17" s="2894" customFormat="1" ht="15.5">
      <c r="B67" s="2902">
        <v>30152</v>
      </c>
      <c r="C67" s="2865"/>
      <c r="D67" s="2903" t="s">
        <v>619</v>
      </c>
      <c r="E67" s="2865"/>
      <c r="F67" s="1211">
        <v>0</v>
      </c>
      <c r="G67" s="1211">
        <v>0</v>
      </c>
      <c r="H67" s="1211"/>
      <c r="I67" s="1211">
        <v>0</v>
      </c>
      <c r="J67" s="1211"/>
      <c r="K67" s="1211">
        <v>0</v>
      </c>
      <c r="L67" s="1211"/>
      <c r="M67" s="1211">
        <f t="shared" si="1"/>
        <v>0</v>
      </c>
      <c r="N67" s="1211"/>
      <c r="O67" s="1211">
        <v>0</v>
      </c>
      <c r="P67" s="2914"/>
      <c r="Q67" s="2907"/>
    </row>
    <row r="68" spans="2:17" s="2894" customFormat="1" ht="15.5">
      <c r="B68" s="2902">
        <v>30153</v>
      </c>
      <c r="C68" s="2865"/>
      <c r="D68" s="2903" t="s">
        <v>620</v>
      </c>
      <c r="E68" s="2865"/>
      <c r="F68" s="1211">
        <v>0</v>
      </c>
      <c r="G68" s="1211">
        <v>0</v>
      </c>
      <c r="H68" s="1211"/>
      <c r="I68" s="1211">
        <v>0</v>
      </c>
      <c r="J68" s="1211"/>
      <c r="K68" s="1211">
        <v>0</v>
      </c>
      <c r="L68" s="1211"/>
      <c r="M68" s="1211">
        <f t="shared" si="1"/>
        <v>0</v>
      </c>
      <c r="N68" s="1211"/>
      <c r="O68" s="1211">
        <v>0</v>
      </c>
      <c r="P68" s="2914"/>
      <c r="Q68" s="2907"/>
    </row>
    <row r="69" spans="2:17" s="2894" customFormat="1" ht="15.5">
      <c r="B69" s="2902">
        <v>30154</v>
      </c>
      <c r="C69" s="2865"/>
      <c r="D69" s="2903" t="s">
        <v>621</v>
      </c>
      <c r="E69" s="2865"/>
      <c r="F69" s="1211">
        <v>0</v>
      </c>
      <c r="G69" s="1211">
        <v>0</v>
      </c>
      <c r="H69" s="1211"/>
      <c r="I69" s="1211">
        <v>0</v>
      </c>
      <c r="J69" s="1211"/>
      <c r="K69" s="1211">
        <v>0</v>
      </c>
      <c r="L69" s="1211"/>
      <c r="M69" s="1211">
        <f t="shared" si="1"/>
        <v>0</v>
      </c>
      <c r="N69" s="1211"/>
      <c r="O69" s="1211">
        <v>0</v>
      </c>
      <c r="P69" s="2914"/>
      <c r="Q69" s="2907"/>
    </row>
    <row r="70" spans="2:17" s="2894" customFormat="1" ht="15.5">
      <c r="B70" s="2902">
        <v>30351</v>
      </c>
      <c r="C70" s="2865"/>
      <c r="D70" s="2903" t="s">
        <v>622</v>
      </c>
      <c r="E70" s="2865"/>
      <c r="F70" s="1211">
        <v>72792259.140000001</v>
      </c>
      <c r="G70" s="1211">
        <v>64137330.119999997</v>
      </c>
      <c r="H70" s="1211"/>
      <c r="I70" s="1211">
        <v>64402407.960000001</v>
      </c>
      <c r="J70" s="1211"/>
      <c r="K70" s="1211">
        <v>70449897.420000002</v>
      </c>
      <c r="L70" s="1211"/>
      <c r="M70" s="1211">
        <f t="shared" si="1"/>
        <v>-35595927.810000002</v>
      </c>
      <c r="N70" s="1211"/>
      <c r="O70" s="1211">
        <v>34853969.609999999</v>
      </c>
      <c r="P70" s="2914"/>
      <c r="Q70" s="2907"/>
    </row>
    <row r="71" spans="2:17" s="2894" customFormat="1" ht="15.5">
      <c r="B71" s="2902">
        <v>30501</v>
      </c>
      <c r="C71" s="2865"/>
      <c r="D71" s="2903" t="s">
        <v>623</v>
      </c>
      <c r="E71" s="2865"/>
      <c r="F71" s="1211">
        <v>169.29</v>
      </c>
      <c r="G71" s="1211">
        <v>0</v>
      </c>
      <c r="H71" s="1211"/>
      <c r="I71" s="1211">
        <v>0</v>
      </c>
      <c r="J71" s="1211"/>
      <c r="K71" s="1211">
        <v>0</v>
      </c>
      <c r="L71" s="1211"/>
      <c r="M71" s="1211">
        <f t="shared" si="1"/>
        <v>0</v>
      </c>
      <c r="N71" s="1211"/>
      <c r="O71" s="1211">
        <v>0</v>
      </c>
      <c r="P71" s="2914"/>
      <c r="Q71" s="2907"/>
    </row>
    <row r="72" spans="2:17" s="2894" customFormat="1" ht="15.5">
      <c r="B72" s="2902">
        <v>30502</v>
      </c>
      <c r="C72" s="2865"/>
      <c r="D72" s="2903" t="s">
        <v>624</v>
      </c>
      <c r="E72" s="2865"/>
      <c r="F72" s="1211">
        <v>0</v>
      </c>
      <c r="G72" s="1211">
        <v>0</v>
      </c>
      <c r="H72" s="1211"/>
      <c r="I72" s="1211">
        <v>0</v>
      </c>
      <c r="J72" s="1211"/>
      <c r="K72" s="1211">
        <v>0</v>
      </c>
      <c r="L72" s="1211"/>
      <c r="M72" s="1211">
        <f t="shared" si="1"/>
        <v>0</v>
      </c>
      <c r="N72" s="1211"/>
      <c r="O72" s="1211">
        <v>0</v>
      </c>
      <c r="P72" s="2914"/>
      <c r="Q72" s="2907"/>
    </row>
    <row r="73" spans="2:17" s="2894" customFormat="1" ht="15.5">
      <c r="B73" s="2902">
        <v>30503</v>
      </c>
      <c r="C73" s="2865"/>
      <c r="D73" s="2903" t="s">
        <v>625</v>
      </c>
      <c r="E73" s="2865"/>
      <c r="F73" s="1211">
        <v>0</v>
      </c>
      <c r="G73" s="1211">
        <v>0</v>
      </c>
      <c r="H73" s="1211"/>
      <c r="I73" s="1211">
        <v>0</v>
      </c>
      <c r="J73" s="1211"/>
      <c r="K73" s="1211">
        <v>0</v>
      </c>
      <c r="L73" s="1211"/>
      <c r="M73" s="1211">
        <f t="shared" si="1"/>
        <v>0</v>
      </c>
      <c r="N73" s="1211"/>
      <c r="O73" s="1211">
        <v>0</v>
      </c>
      <c r="P73" s="2914"/>
      <c r="Q73" s="2907"/>
    </row>
    <row r="74" spans="2:17" s="2894" customFormat="1" ht="15.5">
      <c r="B74" s="2902">
        <v>30504</v>
      </c>
      <c r="C74" s="2865"/>
      <c r="D74" s="2915" t="s">
        <v>626</v>
      </c>
      <c r="E74" s="2865"/>
      <c r="F74" s="1211">
        <v>0</v>
      </c>
      <c r="G74" s="1211">
        <v>0</v>
      </c>
      <c r="H74" s="1211"/>
      <c r="I74" s="1211">
        <v>0</v>
      </c>
      <c r="J74" s="1211"/>
      <c r="K74" s="1211">
        <v>0</v>
      </c>
      <c r="L74" s="1211"/>
      <c r="M74" s="1211">
        <f t="shared" si="1"/>
        <v>0</v>
      </c>
      <c r="N74" s="1211"/>
      <c r="O74" s="1211">
        <v>0</v>
      </c>
      <c r="P74" s="2914"/>
      <c r="Q74" s="2907"/>
    </row>
    <row r="75" spans="2:17" s="2894" customFormat="1" ht="15.5">
      <c r="B75" s="2902">
        <v>31506</v>
      </c>
      <c r="C75" s="2916"/>
      <c r="D75" s="2917" t="s">
        <v>627</v>
      </c>
      <c r="E75" s="2918"/>
      <c r="F75" s="1211">
        <v>109849194.79000001</v>
      </c>
      <c r="G75" s="1211">
        <v>92674807.489999995</v>
      </c>
      <c r="H75" s="1211"/>
      <c r="I75" s="1211">
        <v>98228303.319999993</v>
      </c>
      <c r="J75" s="1211"/>
      <c r="K75" s="1211">
        <v>103476661.09</v>
      </c>
      <c r="L75" s="1211"/>
      <c r="M75" s="1211">
        <f t="shared" si="1"/>
        <v>-12686838.029999999</v>
      </c>
      <c r="N75" s="1211"/>
      <c r="O75" s="1211">
        <v>90789823.060000002</v>
      </c>
      <c r="P75" s="2914"/>
      <c r="Q75" s="2907"/>
    </row>
    <row r="76" spans="2:17" s="2894" customFormat="1" ht="15.5">
      <c r="B76" s="2902">
        <v>31701</v>
      </c>
      <c r="C76" s="2865"/>
      <c r="D76" s="2903" t="s">
        <v>628</v>
      </c>
      <c r="E76" s="2865"/>
      <c r="F76" s="1211">
        <v>7423246.6200000001</v>
      </c>
      <c r="G76" s="1211">
        <v>13168047.619999999</v>
      </c>
      <c r="H76" s="1211"/>
      <c r="I76" s="1211">
        <v>14936253.279999999</v>
      </c>
      <c r="J76" s="1211"/>
      <c r="K76" s="1211">
        <v>15758588.970000001</v>
      </c>
      <c r="L76" s="1211"/>
      <c r="M76" s="1211">
        <f t="shared" ref="M76:M83" si="2">ROUND(SUM(O76)-SUM(K76),2)</f>
        <v>1432514.31</v>
      </c>
      <c r="N76" s="1211"/>
      <c r="O76" s="1211">
        <v>17191103.280000001</v>
      </c>
      <c r="P76" s="2914"/>
      <c r="Q76" s="2907"/>
    </row>
    <row r="77" spans="2:17" s="2894" customFormat="1" ht="15.5">
      <c r="B77" s="2902">
        <v>31801</v>
      </c>
      <c r="C77" s="2865"/>
      <c r="D77" s="2903" t="s">
        <v>629</v>
      </c>
      <c r="E77" s="2865"/>
      <c r="F77" s="1211">
        <v>13150846.050000001</v>
      </c>
      <c r="G77" s="1211">
        <v>12941967.060000001</v>
      </c>
      <c r="H77" s="1211"/>
      <c r="I77" s="1211">
        <v>12941967.060000001</v>
      </c>
      <c r="J77" s="1211"/>
      <c r="K77" s="1211">
        <v>12941967.060000001</v>
      </c>
      <c r="L77" s="1211"/>
      <c r="M77" s="1211">
        <f t="shared" si="2"/>
        <v>0</v>
      </c>
      <c r="N77" s="1211"/>
      <c r="O77" s="1211">
        <v>12941967.060000001</v>
      </c>
      <c r="P77" s="2914"/>
      <c r="Q77" s="2907"/>
    </row>
    <row r="78" spans="2:17" s="2894" customFormat="1" ht="15.5">
      <c r="B78" s="2902">
        <v>31851</v>
      </c>
      <c r="C78" s="2865"/>
      <c r="D78" s="2915" t="s">
        <v>630</v>
      </c>
      <c r="E78" s="2865"/>
      <c r="F78" s="1211">
        <v>0</v>
      </c>
      <c r="G78" s="1211">
        <v>135008846.41</v>
      </c>
      <c r="H78" s="1211"/>
      <c r="I78" s="1211">
        <v>182373910.06</v>
      </c>
      <c r="J78" s="1211"/>
      <c r="K78" s="1211">
        <v>285465442.81999999</v>
      </c>
      <c r="L78" s="1211"/>
      <c r="M78" s="1211">
        <f t="shared" si="2"/>
        <v>14149559.74</v>
      </c>
      <c r="N78" s="1211"/>
      <c r="O78" s="1211">
        <v>299615002.56</v>
      </c>
      <c r="P78" s="2914"/>
      <c r="Q78" s="2907"/>
    </row>
    <row r="79" spans="2:17" s="2894" customFormat="1" ht="15.5">
      <c r="B79" s="2902">
        <v>31852</v>
      </c>
      <c r="C79" s="2865"/>
      <c r="D79" s="2903" t="s">
        <v>631</v>
      </c>
      <c r="E79" s="2865"/>
      <c r="F79" s="1211">
        <v>40679225.310000002</v>
      </c>
      <c r="G79" s="1211">
        <v>37999676.380000003</v>
      </c>
      <c r="H79" s="1211"/>
      <c r="I79" s="1211">
        <v>39958056.810000002</v>
      </c>
      <c r="J79" s="1211"/>
      <c r="K79" s="1211">
        <v>42074022.810000002</v>
      </c>
      <c r="L79" s="1211"/>
      <c r="M79" s="1211">
        <f t="shared" si="2"/>
        <v>2662636</v>
      </c>
      <c r="N79" s="1211"/>
      <c r="O79" s="1211">
        <v>44736658.810000002</v>
      </c>
      <c r="P79" s="2914"/>
      <c r="Q79" s="2907"/>
    </row>
    <row r="80" spans="2:17" s="2894" customFormat="1" ht="15.5">
      <c r="B80" s="2902">
        <v>31853</v>
      </c>
      <c r="C80" s="2865"/>
      <c r="D80" s="2915" t="s">
        <v>632</v>
      </c>
      <c r="E80" s="2865"/>
      <c r="F80" s="1211">
        <v>76297899.909999996</v>
      </c>
      <c r="G80" s="1211">
        <v>88489684.370000005</v>
      </c>
      <c r="H80" s="1211"/>
      <c r="I80" s="1211">
        <v>92239684.370000005</v>
      </c>
      <c r="J80" s="1211"/>
      <c r="K80" s="1211">
        <v>97039684.370000005</v>
      </c>
      <c r="L80" s="1211"/>
      <c r="M80" s="1211">
        <f t="shared" si="2"/>
        <v>7300000</v>
      </c>
      <c r="N80" s="1211"/>
      <c r="O80" s="1211">
        <v>104339684.37</v>
      </c>
      <c r="P80" s="2914"/>
      <c r="Q80" s="2907"/>
    </row>
    <row r="81" spans="2:17" s="2894" customFormat="1" ht="15.5">
      <c r="B81" s="2902">
        <v>31854</v>
      </c>
      <c r="C81" s="2865"/>
      <c r="D81" s="2903" t="s">
        <v>633</v>
      </c>
      <c r="E81" s="2865"/>
      <c r="F81" s="1211">
        <v>0</v>
      </c>
      <c r="G81" s="1211">
        <v>0</v>
      </c>
      <c r="H81" s="1211"/>
      <c r="I81" s="1211">
        <v>0</v>
      </c>
      <c r="J81" s="1211"/>
      <c r="K81" s="1211">
        <v>0</v>
      </c>
      <c r="L81" s="1211"/>
      <c r="M81" s="1211">
        <f t="shared" si="2"/>
        <v>0</v>
      </c>
      <c r="N81" s="1211"/>
      <c r="O81" s="1211">
        <v>0</v>
      </c>
      <c r="P81" s="2914"/>
      <c r="Q81" s="2907"/>
    </row>
    <row r="82" spans="2:17" s="2894" customFormat="1" ht="15.5">
      <c r="B82" s="2902">
        <v>31951</v>
      </c>
      <c r="C82" s="2865"/>
      <c r="D82" s="2915" t="s">
        <v>634</v>
      </c>
      <c r="E82" s="2865"/>
      <c r="F82" s="1211">
        <v>12348115.710000001</v>
      </c>
      <c r="G82" s="1211">
        <v>11969463.99</v>
      </c>
      <c r="H82" s="1211"/>
      <c r="I82" s="1211">
        <v>11969463.99</v>
      </c>
      <c r="J82" s="1211"/>
      <c r="K82" s="1211">
        <v>11969463.99</v>
      </c>
      <c r="L82" s="1211"/>
      <c r="M82" s="1211">
        <f t="shared" si="2"/>
        <v>-12984.22</v>
      </c>
      <c r="N82" s="1211"/>
      <c r="O82" s="1211">
        <v>11956479.77</v>
      </c>
      <c r="P82" s="2914"/>
      <c r="Q82" s="2907"/>
    </row>
    <row r="83" spans="2:17" s="2894" customFormat="1" ht="15.5">
      <c r="B83" s="2902">
        <v>32213</v>
      </c>
      <c r="C83" s="2865"/>
      <c r="D83" s="2903" t="s">
        <v>635</v>
      </c>
      <c r="E83" s="2865"/>
      <c r="F83" s="1211">
        <v>153750</v>
      </c>
      <c r="G83" s="1211">
        <v>153750</v>
      </c>
      <c r="H83" s="1211"/>
      <c r="I83" s="1211">
        <v>153750</v>
      </c>
      <c r="J83" s="1211"/>
      <c r="K83" s="1211">
        <v>153750</v>
      </c>
      <c r="L83" s="1211"/>
      <c r="M83" s="1211">
        <f t="shared" si="2"/>
        <v>0</v>
      </c>
      <c r="N83" s="1211"/>
      <c r="O83" s="1211">
        <v>153750</v>
      </c>
      <c r="P83" s="2914"/>
      <c r="Q83" s="2907"/>
    </row>
    <row r="84" spans="2:17" s="2894" customFormat="1" ht="15.5">
      <c r="B84" s="2902">
        <v>32214</v>
      </c>
      <c r="C84" s="2865"/>
      <c r="D84" s="2903" t="s">
        <v>1268</v>
      </c>
      <c r="E84" s="2865"/>
      <c r="F84" s="1211"/>
      <c r="G84" s="1211">
        <v>0</v>
      </c>
      <c r="H84" s="1211"/>
      <c r="I84" s="1211">
        <v>0</v>
      </c>
      <c r="J84" s="1211"/>
      <c r="K84" s="1211">
        <v>0</v>
      </c>
      <c r="L84" s="1211"/>
      <c r="M84" s="1211">
        <f t="shared" ref="M84" si="3">ROUND(SUM(O84)-SUM(K84),2)</f>
        <v>0</v>
      </c>
      <c r="N84" s="1211"/>
      <c r="O84" s="1211">
        <v>0</v>
      </c>
      <c r="P84" s="2914"/>
      <c r="Q84" s="2907"/>
    </row>
    <row r="85" spans="2:17" s="2894" customFormat="1" ht="15.5">
      <c r="B85" s="2902">
        <v>32215</v>
      </c>
      <c r="C85" s="2865"/>
      <c r="D85" s="2903" t="s">
        <v>1241</v>
      </c>
      <c r="E85" s="2865"/>
      <c r="F85" s="1211"/>
      <c r="G85" s="1211">
        <v>1915529.83</v>
      </c>
      <c r="H85" s="1211"/>
      <c r="I85" s="1211">
        <v>2682076.92</v>
      </c>
      <c r="J85" s="1211"/>
      <c r="K85" s="1211">
        <v>2883666.8</v>
      </c>
      <c r="L85" s="1211"/>
      <c r="M85" s="1211">
        <f>ROUND(SUM(O85)-SUM(K85),2)</f>
        <v>510583.49</v>
      </c>
      <c r="N85" s="1211"/>
      <c r="O85" s="1211">
        <v>3394250.29</v>
      </c>
      <c r="P85" s="2914"/>
      <c r="Q85" s="2907"/>
    </row>
    <row r="86" spans="2:17" s="2894" customFormat="1" ht="15.5">
      <c r="B86" s="2902">
        <v>32219</v>
      </c>
      <c r="C86" s="2865"/>
      <c r="D86" s="2903" t="s">
        <v>1300</v>
      </c>
      <c r="E86" s="2865"/>
      <c r="F86" s="1211"/>
      <c r="G86" s="1211">
        <v>0</v>
      </c>
      <c r="H86" s="1211"/>
      <c r="I86" s="1211">
        <v>0</v>
      </c>
      <c r="J86" s="1211"/>
      <c r="K86" s="1211">
        <v>0</v>
      </c>
      <c r="L86" s="1211"/>
      <c r="M86" s="1211">
        <f>ROUND(SUM(O86)-SUM(K86),2)</f>
        <v>0</v>
      </c>
      <c r="N86" s="1211"/>
      <c r="O86" s="1211">
        <v>0</v>
      </c>
      <c r="P86" s="2914"/>
      <c r="Q86" s="2907"/>
    </row>
    <row r="87" spans="2:17" s="2894" customFormat="1" ht="15.5">
      <c r="B87" s="2902">
        <v>32301</v>
      </c>
      <c r="C87" s="2865"/>
      <c r="D87" s="2915" t="s">
        <v>636</v>
      </c>
      <c r="E87" s="2918"/>
      <c r="F87" s="1211">
        <v>0</v>
      </c>
      <c r="G87" s="1211">
        <v>0</v>
      </c>
      <c r="H87" s="1211"/>
      <c r="I87" s="1211">
        <v>0</v>
      </c>
      <c r="J87" s="1211"/>
      <c r="K87" s="1211">
        <v>0</v>
      </c>
      <c r="L87" s="1211"/>
      <c r="M87" s="1211">
        <f t="shared" ref="M87:M101" si="4">ROUND(SUM(O87)-SUM(K87),2)</f>
        <v>0</v>
      </c>
      <c r="N87" s="1211"/>
      <c r="O87" s="1211">
        <v>0</v>
      </c>
      <c r="P87" s="2914"/>
      <c r="Q87" s="2907"/>
    </row>
    <row r="88" spans="2:17" s="2894" customFormat="1" ht="15.5">
      <c r="B88" s="2902">
        <v>32302</v>
      </c>
      <c r="C88" s="2865"/>
      <c r="D88" s="2915" t="s">
        <v>1007</v>
      </c>
      <c r="E88" s="2918"/>
      <c r="F88" s="1211">
        <v>0</v>
      </c>
      <c r="G88" s="1211">
        <v>0</v>
      </c>
      <c r="H88" s="1211"/>
      <c r="I88" s="1211">
        <v>0</v>
      </c>
      <c r="J88" s="1211"/>
      <c r="K88" s="1211">
        <v>0</v>
      </c>
      <c r="L88" s="1211"/>
      <c r="M88" s="1211">
        <f t="shared" si="4"/>
        <v>0</v>
      </c>
      <c r="N88" s="1211"/>
      <c r="O88" s="1211">
        <v>0</v>
      </c>
      <c r="P88" s="2914"/>
      <c r="Q88" s="2907"/>
    </row>
    <row r="89" spans="2:17" s="2894" customFormat="1" ht="15.5">
      <c r="B89" s="2902">
        <v>32303</v>
      </c>
      <c r="C89" s="2865"/>
      <c r="D89" s="2903" t="s">
        <v>637</v>
      </c>
      <c r="E89" s="2918"/>
      <c r="F89" s="1211">
        <v>87723047.260000005</v>
      </c>
      <c r="G89" s="1211">
        <v>82591601.439999998</v>
      </c>
      <c r="H89" s="1211"/>
      <c r="I89" s="1211">
        <v>70136299.129999995</v>
      </c>
      <c r="J89" s="1211"/>
      <c r="K89" s="1211">
        <v>69237204.510000005</v>
      </c>
      <c r="L89" s="1211"/>
      <c r="M89" s="1211">
        <f t="shared" si="4"/>
        <v>797403.5</v>
      </c>
      <c r="N89" s="1211"/>
      <c r="O89" s="1211">
        <v>70034608.010000005</v>
      </c>
      <c r="P89" s="2914"/>
      <c r="Q89" s="2907"/>
    </row>
    <row r="90" spans="2:17" s="2894" customFormat="1" ht="15.5">
      <c r="B90" s="2902">
        <v>32304</v>
      </c>
      <c r="C90" s="2865"/>
      <c r="D90" s="2903" t="s">
        <v>638</v>
      </c>
      <c r="E90" s="2918"/>
      <c r="F90" s="1211">
        <v>0</v>
      </c>
      <c r="G90" s="1211">
        <v>0</v>
      </c>
      <c r="H90" s="1211"/>
      <c r="I90" s="1211">
        <v>0</v>
      </c>
      <c r="J90" s="1211"/>
      <c r="K90" s="1211">
        <v>0</v>
      </c>
      <c r="L90" s="1211"/>
      <c r="M90" s="1211">
        <f t="shared" si="4"/>
        <v>0</v>
      </c>
      <c r="N90" s="1211"/>
      <c r="O90" s="1211">
        <v>0</v>
      </c>
      <c r="P90" s="2914"/>
      <c r="Q90" s="2907"/>
    </row>
    <row r="91" spans="2:17" s="2894" customFormat="1" ht="15.5">
      <c r="B91" s="2902">
        <v>32305</v>
      </c>
      <c r="C91" s="2865"/>
      <c r="D91" s="2903" t="s">
        <v>1008</v>
      </c>
      <c r="E91" s="2918"/>
      <c r="F91" s="1211">
        <v>172362230.61000001</v>
      </c>
      <c r="G91" s="1211">
        <v>176272809.91999999</v>
      </c>
      <c r="H91" s="1211"/>
      <c r="I91" s="1211">
        <v>180739076.13</v>
      </c>
      <c r="J91" s="1211"/>
      <c r="K91" s="1211">
        <v>182240076.13</v>
      </c>
      <c r="L91" s="1211"/>
      <c r="M91" s="1211">
        <f t="shared" si="4"/>
        <v>-611536.43999999994</v>
      </c>
      <c r="N91" s="1211"/>
      <c r="O91" s="1211">
        <v>181628539.69</v>
      </c>
      <c r="P91" s="2914"/>
      <c r="Q91" s="2907"/>
    </row>
    <row r="92" spans="2:17" s="2894" customFormat="1" ht="15.5">
      <c r="B92" s="2902">
        <v>32306</v>
      </c>
      <c r="C92" s="2865"/>
      <c r="D92" s="2915" t="s">
        <v>639</v>
      </c>
      <c r="E92" s="2918"/>
      <c r="F92" s="1211">
        <v>26767629.280000001</v>
      </c>
      <c r="G92" s="1211">
        <v>0</v>
      </c>
      <c r="H92" s="1211"/>
      <c r="I92" s="1211">
        <v>0</v>
      </c>
      <c r="J92" s="1211"/>
      <c r="K92" s="1211">
        <v>0</v>
      </c>
      <c r="L92" s="1211"/>
      <c r="M92" s="1211">
        <f t="shared" si="4"/>
        <v>0</v>
      </c>
      <c r="N92" s="1211"/>
      <c r="O92" s="1211">
        <v>0</v>
      </c>
      <c r="P92" s="2914"/>
      <c r="Q92" s="2907"/>
    </row>
    <row r="93" spans="2:17" s="2894" customFormat="1" ht="15.5">
      <c r="B93" s="2902">
        <v>32307</v>
      </c>
      <c r="C93" s="2865"/>
      <c r="D93" s="2915" t="s">
        <v>640</v>
      </c>
      <c r="E93" s="2918"/>
      <c r="F93" s="1211">
        <v>5430710.0300000003</v>
      </c>
      <c r="G93" s="1211">
        <v>7828273.3899999997</v>
      </c>
      <c r="H93" s="1211"/>
      <c r="I93" s="1211">
        <v>7828273.3899999997</v>
      </c>
      <c r="J93" s="1211"/>
      <c r="K93" s="1211">
        <v>7828273.3899999997</v>
      </c>
      <c r="L93" s="1211"/>
      <c r="M93" s="1211">
        <f t="shared" si="4"/>
        <v>0</v>
      </c>
      <c r="N93" s="1211"/>
      <c r="O93" s="1211">
        <v>7828273.3899999997</v>
      </c>
      <c r="P93" s="2914"/>
      <c r="Q93" s="2907"/>
    </row>
    <row r="94" spans="2:17" s="2894" customFormat="1" ht="15.5">
      <c r="B94" s="2902">
        <v>32308</v>
      </c>
      <c r="C94" s="2865"/>
      <c r="D94" s="2915" t="s">
        <v>641</v>
      </c>
      <c r="E94" s="2918"/>
      <c r="F94" s="1211">
        <v>539890.44999999995</v>
      </c>
      <c r="G94" s="1211">
        <v>1732406.2</v>
      </c>
      <c r="H94" s="1211"/>
      <c r="I94" s="1211">
        <v>1732406.2</v>
      </c>
      <c r="J94" s="1211"/>
      <c r="K94" s="1211">
        <v>1732406.2</v>
      </c>
      <c r="L94" s="1211"/>
      <c r="M94" s="1211">
        <f t="shared" si="4"/>
        <v>848815</v>
      </c>
      <c r="N94" s="1211"/>
      <c r="O94" s="1211">
        <v>2581221.2000000002</v>
      </c>
      <c r="P94" s="2914"/>
      <c r="Q94" s="2907"/>
    </row>
    <row r="95" spans="2:17" s="2894" customFormat="1" ht="15.5">
      <c r="B95" s="2902">
        <v>32309</v>
      </c>
      <c r="C95" s="2865"/>
      <c r="D95" s="2915" t="s">
        <v>642</v>
      </c>
      <c r="E95" s="2918"/>
      <c r="F95" s="1211">
        <v>104401100.42</v>
      </c>
      <c r="G95" s="1211">
        <v>97577181.060000002</v>
      </c>
      <c r="H95" s="1211"/>
      <c r="I95" s="1211">
        <v>105079828.73999999</v>
      </c>
      <c r="J95" s="1211"/>
      <c r="K95" s="1211">
        <v>116382293.79000001</v>
      </c>
      <c r="L95" s="1211"/>
      <c r="M95" s="1211">
        <f t="shared" si="4"/>
        <v>8670744.8300000001</v>
      </c>
      <c r="N95" s="1211"/>
      <c r="O95" s="1211">
        <v>125053038.62</v>
      </c>
      <c r="P95" s="2914"/>
      <c r="Q95" s="2907"/>
    </row>
    <row r="96" spans="2:17" s="2894" customFormat="1" ht="15.5">
      <c r="B96" s="2902">
        <v>32310</v>
      </c>
      <c r="C96" s="2865"/>
      <c r="D96" s="2915" t="s">
        <v>643</v>
      </c>
      <c r="E96" s="2918"/>
      <c r="F96" s="1211">
        <v>0</v>
      </c>
      <c r="G96" s="1211">
        <v>17831809.859999999</v>
      </c>
      <c r="H96" s="1211"/>
      <c r="I96" s="1211">
        <v>19107109.859999999</v>
      </c>
      <c r="J96" s="1211"/>
      <c r="K96" s="1211">
        <v>18171024.280000001</v>
      </c>
      <c r="L96" s="1211"/>
      <c r="M96" s="1211">
        <f t="shared" si="4"/>
        <v>1200000</v>
      </c>
      <c r="N96" s="1211"/>
      <c r="O96" s="1211">
        <v>19371024.280000001</v>
      </c>
      <c r="P96" s="2914"/>
      <c r="Q96" s="2907"/>
    </row>
    <row r="97" spans="2:17" s="2894" customFormat="1" ht="18">
      <c r="B97" s="2902">
        <v>32311</v>
      </c>
      <c r="C97" s="2865"/>
      <c r="D97" s="2919" t="s">
        <v>644</v>
      </c>
      <c r="E97" s="2918"/>
      <c r="F97" s="1211">
        <v>2486315.4700000002</v>
      </c>
      <c r="G97" s="1211">
        <v>1983616.94</v>
      </c>
      <c r="H97" s="1211"/>
      <c r="I97" s="1211">
        <v>2404768.4</v>
      </c>
      <c r="J97" s="1211"/>
      <c r="K97" s="1211">
        <v>2105820.1800000002</v>
      </c>
      <c r="L97" s="1211"/>
      <c r="M97" s="1211">
        <f t="shared" si="4"/>
        <v>378236.67</v>
      </c>
      <c r="N97" s="1211"/>
      <c r="O97" s="1211">
        <v>2484056.85</v>
      </c>
      <c r="P97" s="2914"/>
      <c r="Q97" s="2907"/>
    </row>
    <row r="98" spans="2:17" s="2894" customFormat="1" ht="15.5">
      <c r="B98" s="2902">
        <v>32351</v>
      </c>
      <c r="C98" s="2865"/>
      <c r="D98" s="2915" t="s">
        <v>645</v>
      </c>
      <c r="E98" s="2918"/>
      <c r="F98" s="1211">
        <v>11110.01</v>
      </c>
      <c r="G98" s="1211">
        <v>0</v>
      </c>
      <c r="H98" s="1211"/>
      <c r="I98" s="1211">
        <v>0</v>
      </c>
      <c r="J98" s="1211"/>
      <c r="K98" s="1211">
        <v>0</v>
      </c>
      <c r="L98" s="1211"/>
      <c r="M98" s="1211">
        <f t="shared" si="4"/>
        <v>0</v>
      </c>
      <c r="N98" s="1211"/>
      <c r="O98" s="1211">
        <v>0</v>
      </c>
      <c r="P98" s="2914"/>
      <c r="Q98" s="2907"/>
    </row>
    <row r="99" spans="2:17" s="2894" customFormat="1" ht="15.5">
      <c r="B99" s="2920">
        <v>32352</v>
      </c>
      <c r="C99" s="2921"/>
      <c r="D99" s="2922" t="s">
        <v>646</v>
      </c>
      <c r="E99" s="2923"/>
      <c r="F99" s="1211">
        <v>65245293.57</v>
      </c>
      <c r="G99" s="1211">
        <v>159272923.68000001</v>
      </c>
      <c r="H99" s="1211"/>
      <c r="I99" s="1211">
        <v>185043996.72999999</v>
      </c>
      <c r="J99" s="1211"/>
      <c r="K99" s="1211">
        <v>212506047.90000001</v>
      </c>
      <c r="L99" s="1211"/>
      <c r="M99" s="1211">
        <f t="shared" ref="M99" si="5">ROUND(SUM(O99)-SUM(K99),2)</f>
        <v>20471398.920000002</v>
      </c>
      <c r="N99" s="1211"/>
      <c r="O99" s="1211">
        <v>232977446.81999999</v>
      </c>
      <c r="P99" s="2924"/>
      <c r="Q99" s="2907"/>
    </row>
    <row r="100" spans="2:17" s="2894" customFormat="1" ht="15.5">
      <c r="B100" s="2920">
        <v>32353</v>
      </c>
      <c r="C100" s="2921"/>
      <c r="D100" s="2922" t="s">
        <v>1378</v>
      </c>
      <c r="E100" s="2923"/>
      <c r="F100" s="1211"/>
      <c r="G100" s="1211">
        <v>0</v>
      </c>
      <c r="H100" s="1211"/>
      <c r="I100" s="1211">
        <v>0</v>
      </c>
      <c r="J100" s="1211"/>
      <c r="K100" s="1211">
        <v>0.55000000000000004</v>
      </c>
      <c r="L100" s="1211"/>
      <c r="M100" s="1211">
        <f>ROUND(SUM(O100)-SUM(K100),2)</f>
        <v>0</v>
      </c>
      <c r="N100" s="1211"/>
      <c r="O100" s="1211">
        <v>0.55000000000000004</v>
      </c>
      <c r="P100" s="2924"/>
      <c r="Q100" s="2907"/>
    </row>
    <row r="101" spans="2:17" s="2894" customFormat="1" ht="15.5">
      <c r="B101" s="2902">
        <v>33001</v>
      </c>
      <c r="C101" s="2865"/>
      <c r="D101" s="2903" t="s">
        <v>647</v>
      </c>
      <c r="E101" s="2918"/>
      <c r="F101" s="1211">
        <v>10000000</v>
      </c>
      <c r="G101" s="1211">
        <v>53737776.119999997</v>
      </c>
      <c r="H101" s="1211"/>
      <c r="I101" s="1211">
        <v>54159323.630000003</v>
      </c>
      <c r="J101" s="1211"/>
      <c r="K101" s="1211">
        <v>54411469.090000004</v>
      </c>
      <c r="L101" s="1211"/>
      <c r="M101" s="1211">
        <f t="shared" si="4"/>
        <v>-813700.98</v>
      </c>
      <c r="N101" s="1211"/>
      <c r="O101" s="1211">
        <v>53597768.109999999</v>
      </c>
      <c r="P101" s="2914"/>
      <c r="Q101" s="2907"/>
    </row>
    <row r="102" spans="2:17" s="2894" customFormat="1" ht="16" thickBot="1">
      <c r="B102" s="2925"/>
      <c r="C102" s="2926"/>
      <c r="D102" s="2909" t="s">
        <v>648</v>
      </c>
      <c r="E102" s="2898"/>
      <c r="F102" s="2898"/>
      <c r="G102" s="1580">
        <f>ROUND(SUM(G14:G101),2)</f>
        <v>1194294132.8900001</v>
      </c>
      <c r="H102" s="2125"/>
      <c r="I102" s="1580">
        <f>ROUND(SUM(I14:I101),2)</f>
        <v>1330769614.8599999</v>
      </c>
      <c r="J102" s="2125"/>
      <c r="K102" s="1580">
        <f>ROUND(SUM(K14:K101),2)</f>
        <v>1670263036.02</v>
      </c>
      <c r="L102" s="2541"/>
      <c r="M102" s="1213">
        <f>ROUND(SUM(M14:M101),2)</f>
        <v>-124292797.91</v>
      </c>
      <c r="N102" s="2541"/>
      <c r="O102" s="1580">
        <f>ROUND(SUM(O14:O101),2)</f>
        <v>1545970238.1099999</v>
      </c>
      <c r="P102" s="2914"/>
      <c r="Q102" s="2907"/>
    </row>
    <row r="103" spans="2:17" s="2894" customFormat="1" ht="16" thickTop="1">
      <c r="B103" s="2927"/>
      <c r="C103" s="2927"/>
      <c r="D103" s="2928"/>
      <c r="E103" s="2901"/>
      <c r="F103" s="2901"/>
      <c r="G103" s="806"/>
      <c r="H103" s="807"/>
      <c r="I103" s="2929"/>
      <c r="J103" s="807"/>
      <c r="K103" s="2929"/>
      <c r="L103" s="807"/>
      <c r="M103" s="806"/>
      <c r="N103" s="807"/>
      <c r="O103" s="3634"/>
      <c r="P103" s="2930"/>
      <c r="Q103" s="2907"/>
    </row>
    <row r="104" spans="2:17" s="2894" customFormat="1" ht="15.5">
      <c r="B104" s="2895"/>
      <c r="C104" s="2926"/>
      <c r="D104" s="2931" t="s">
        <v>649</v>
      </c>
      <c r="E104" s="2932"/>
      <c r="F104" s="2932"/>
      <c r="G104" s="2933"/>
      <c r="H104" s="2933"/>
      <c r="I104" s="2934"/>
      <c r="J104" s="2933"/>
      <c r="K104" s="2934"/>
      <c r="L104" s="2933"/>
      <c r="M104" s="1485"/>
      <c r="N104" s="1485"/>
      <c r="O104" s="3635"/>
      <c r="P104" s="2901"/>
      <c r="Q104" s="2907"/>
    </row>
    <row r="105" spans="2:17" s="3092" customFormat="1" ht="15.5">
      <c r="B105" s="2902">
        <v>20401</v>
      </c>
      <c r="C105" s="3517"/>
      <c r="D105" s="2922" t="s">
        <v>1358</v>
      </c>
      <c r="E105" s="3518"/>
      <c r="F105" s="3518"/>
      <c r="G105" s="1211">
        <v>0</v>
      </c>
      <c r="H105" s="3113"/>
      <c r="I105" s="1211">
        <v>0</v>
      </c>
      <c r="J105" s="3113"/>
      <c r="K105" s="1211">
        <v>0</v>
      </c>
      <c r="L105" s="3113"/>
      <c r="M105" s="1211">
        <f t="shared" ref="M105:M167" si="6">ROUND(SUM(O105)-SUM(K105),2)</f>
        <v>0</v>
      </c>
      <c r="N105" s="3519"/>
      <c r="O105" s="1211">
        <v>0</v>
      </c>
      <c r="P105" s="3520"/>
      <c r="Q105" s="3091"/>
    </row>
    <row r="106" spans="2:17" s="2894" customFormat="1" ht="15.5">
      <c r="B106" s="2902">
        <v>20452</v>
      </c>
      <c r="C106" s="2895"/>
      <c r="D106" s="2903" t="s">
        <v>650</v>
      </c>
      <c r="E106" s="2529"/>
      <c r="F106" s="2895"/>
      <c r="G106" s="1211">
        <v>0</v>
      </c>
      <c r="H106" s="1211"/>
      <c r="I106" s="1211">
        <v>0</v>
      </c>
      <c r="J106" s="1211"/>
      <c r="K106" s="1211">
        <v>0</v>
      </c>
      <c r="L106" s="1211"/>
      <c r="M106" s="1211">
        <f t="shared" si="6"/>
        <v>0</v>
      </c>
      <c r="N106" s="1211"/>
      <c r="O106" s="1211">
        <v>0</v>
      </c>
      <c r="P106" s="2914"/>
      <c r="Q106" s="2907"/>
    </row>
    <row r="107" spans="2:17" s="2894" customFormat="1" ht="15.5">
      <c r="B107" s="2902">
        <v>20501</v>
      </c>
      <c r="C107" s="2935"/>
      <c r="D107" s="2903" t="s">
        <v>651</v>
      </c>
      <c r="E107" s="2936"/>
      <c r="F107" s="2936"/>
      <c r="G107" s="1211">
        <v>0</v>
      </c>
      <c r="H107" s="1211"/>
      <c r="I107" s="1211">
        <v>0</v>
      </c>
      <c r="J107" s="1211"/>
      <c r="K107" s="1211">
        <v>0</v>
      </c>
      <c r="L107" s="1211"/>
      <c r="M107" s="1211">
        <f t="shared" si="6"/>
        <v>0</v>
      </c>
      <c r="N107" s="1211"/>
      <c r="O107" s="1211">
        <v>0</v>
      </c>
      <c r="P107" s="2914"/>
      <c r="Q107" s="2907"/>
    </row>
    <row r="108" spans="2:17" s="2894" customFormat="1" ht="15.5">
      <c r="B108" s="2902">
        <v>20810</v>
      </c>
      <c r="C108" s="2916"/>
      <c r="D108" s="2937" t="s">
        <v>652</v>
      </c>
      <c r="E108" s="2918"/>
      <c r="F108" s="2918"/>
      <c r="G108" s="1211">
        <v>54766440.579999998</v>
      </c>
      <c r="H108" s="1211"/>
      <c r="I108" s="1211">
        <v>84283757.870000005</v>
      </c>
      <c r="J108" s="1211"/>
      <c r="K108" s="1211">
        <v>69887137.159999996</v>
      </c>
      <c r="L108" s="1211"/>
      <c r="M108" s="1211">
        <f t="shared" si="6"/>
        <v>-69887137.159999996</v>
      </c>
      <c r="N108" s="1211"/>
      <c r="O108" s="1211">
        <v>0</v>
      </c>
      <c r="P108" s="2155"/>
      <c r="Q108" s="2907"/>
    </row>
    <row r="109" spans="2:17" s="2894" customFormat="1" ht="15.5">
      <c r="B109" s="2902">
        <v>20818</v>
      </c>
      <c r="C109" s="2916"/>
      <c r="D109" s="2937" t="s">
        <v>653</v>
      </c>
      <c r="E109" s="2918"/>
      <c r="F109" s="2918"/>
      <c r="G109" s="1211">
        <v>0</v>
      </c>
      <c r="H109" s="1211"/>
      <c r="I109" s="1211">
        <v>0</v>
      </c>
      <c r="J109" s="1211"/>
      <c r="K109" s="1211">
        <v>277647.7</v>
      </c>
      <c r="L109" s="1211"/>
      <c r="M109" s="1211">
        <f t="shared" si="6"/>
        <v>10004400.25</v>
      </c>
      <c r="N109" s="1211"/>
      <c r="O109" s="1211">
        <v>10282047.949999999</v>
      </c>
      <c r="P109" s="2155"/>
      <c r="Q109" s="2907"/>
    </row>
    <row r="110" spans="2:17" s="2894" customFormat="1" ht="15.5">
      <c r="B110" s="2902">
        <v>20901</v>
      </c>
      <c r="C110" s="2916"/>
      <c r="D110" s="2937" t="s">
        <v>654</v>
      </c>
      <c r="E110" s="2918"/>
      <c r="F110" s="2918"/>
      <c r="G110" s="1211">
        <v>0</v>
      </c>
      <c r="H110" s="1211"/>
      <c r="I110" s="1211">
        <v>0</v>
      </c>
      <c r="J110" s="1211"/>
      <c r="K110" s="1211">
        <v>1562212831.9400001</v>
      </c>
      <c r="L110" s="1211"/>
      <c r="M110" s="1211">
        <f t="shared" si="6"/>
        <v>-149843724.61000001</v>
      </c>
      <c r="N110" s="1211"/>
      <c r="O110" s="1211">
        <v>1412369107.3299999</v>
      </c>
      <c r="P110" s="2155"/>
      <c r="Q110" s="2907"/>
    </row>
    <row r="111" spans="2:17" s="2894" customFormat="1" ht="15.5">
      <c r="B111" s="2902">
        <v>20904</v>
      </c>
      <c r="C111" s="2938"/>
      <c r="D111" s="2939" t="s">
        <v>655</v>
      </c>
      <c r="E111" s="2923"/>
      <c r="F111" s="2923"/>
      <c r="G111" s="1211">
        <v>0</v>
      </c>
      <c r="H111" s="1211"/>
      <c r="I111" s="1211">
        <v>0</v>
      </c>
      <c r="J111" s="1211"/>
      <c r="K111" s="1211">
        <v>79973663.25</v>
      </c>
      <c r="L111" s="1211"/>
      <c r="M111" s="1211">
        <f t="shared" si="6"/>
        <v>76131430.299999997</v>
      </c>
      <c r="N111" s="1211"/>
      <c r="O111" s="1211">
        <v>156105093.55000001</v>
      </c>
      <c r="P111" s="2155"/>
      <c r="Q111" s="2907"/>
    </row>
    <row r="112" spans="2:17" s="2894" customFormat="1" ht="15.5">
      <c r="B112" s="2902">
        <v>21001</v>
      </c>
      <c r="C112" s="2916"/>
      <c r="D112" s="2940" t="s">
        <v>656</v>
      </c>
      <c r="E112" s="2918"/>
      <c r="F112" s="2918"/>
      <c r="G112" s="1211">
        <v>0</v>
      </c>
      <c r="H112" s="1211"/>
      <c r="I112" s="1211">
        <v>0</v>
      </c>
      <c r="J112" s="1211"/>
      <c r="K112" s="1211">
        <v>0</v>
      </c>
      <c r="L112" s="1211"/>
      <c r="M112" s="1211">
        <f t="shared" si="6"/>
        <v>0</v>
      </c>
      <c r="N112" s="1211"/>
      <c r="O112" s="1211">
        <v>0</v>
      </c>
      <c r="P112" s="2155"/>
      <c r="Q112" s="2907"/>
    </row>
    <row r="113" spans="2:17" s="2894" customFormat="1" ht="15.5">
      <c r="B113" s="2902">
        <v>21002</v>
      </c>
      <c r="C113" s="2916"/>
      <c r="D113" s="2937" t="s">
        <v>1312</v>
      </c>
      <c r="E113" s="2918"/>
      <c r="F113" s="2918"/>
      <c r="G113" s="1211">
        <v>3605844.31</v>
      </c>
      <c r="H113" s="1211"/>
      <c r="I113" s="1211">
        <v>3679618.69</v>
      </c>
      <c r="J113" s="1211"/>
      <c r="K113" s="1211">
        <v>3747659.65</v>
      </c>
      <c r="L113" s="1211"/>
      <c r="M113" s="1211">
        <f t="shared" si="6"/>
        <v>51771.78</v>
      </c>
      <c r="N113" s="1211"/>
      <c r="O113" s="1211">
        <v>3799431.43</v>
      </c>
      <c r="P113" s="2155"/>
      <c r="Q113" s="2907"/>
    </row>
    <row r="114" spans="2:17" s="2894" customFormat="1" ht="15.5">
      <c r="B114" s="2902">
        <v>21061</v>
      </c>
      <c r="C114" s="2916"/>
      <c r="D114" s="2937" t="s">
        <v>657</v>
      </c>
      <c r="E114" s="2918"/>
      <c r="F114" s="2918"/>
      <c r="G114" s="1211">
        <v>0</v>
      </c>
      <c r="H114" s="1211"/>
      <c r="I114" s="1211">
        <v>0</v>
      </c>
      <c r="J114" s="1211"/>
      <c r="K114" s="1211">
        <v>0</v>
      </c>
      <c r="L114" s="1211"/>
      <c r="M114" s="1211">
        <f t="shared" si="6"/>
        <v>0</v>
      </c>
      <c r="N114" s="1211"/>
      <c r="O114" s="1211">
        <v>0</v>
      </c>
      <c r="P114" s="2155"/>
      <c r="Q114" s="2907"/>
    </row>
    <row r="115" spans="2:17" s="2894" customFormat="1" ht="15.5">
      <c r="B115" s="2902">
        <v>21064</v>
      </c>
      <c r="C115" s="2916"/>
      <c r="D115" s="2937" t="s">
        <v>1301</v>
      </c>
      <c r="E115" s="2918"/>
      <c r="F115" s="2918"/>
      <c r="G115" s="1211">
        <v>1672099.99</v>
      </c>
      <c r="H115" s="1211"/>
      <c r="I115" s="1211">
        <v>1672099.99</v>
      </c>
      <c r="J115" s="1211"/>
      <c r="K115" s="1211">
        <v>1672099.99</v>
      </c>
      <c r="L115" s="1211"/>
      <c r="M115" s="1211">
        <f t="shared" ref="M115" si="7">ROUND(SUM(O115)-SUM(K115),2)</f>
        <v>0</v>
      </c>
      <c r="N115" s="1211"/>
      <c r="O115" s="1211">
        <v>1672099.99</v>
      </c>
      <c r="P115" s="2155"/>
      <c r="Q115" s="2907"/>
    </row>
    <row r="116" spans="2:17" s="2894" customFormat="1" ht="15.5">
      <c r="B116" s="2902">
        <v>21065</v>
      </c>
      <c r="C116" s="2916"/>
      <c r="D116" s="2937" t="s">
        <v>658</v>
      </c>
      <c r="E116" s="2918"/>
      <c r="F116" s="2918"/>
      <c r="G116" s="1211">
        <v>2544578.0099999998</v>
      </c>
      <c r="H116" s="1211"/>
      <c r="I116" s="1211">
        <v>3211820.14</v>
      </c>
      <c r="J116" s="1211"/>
      <c r="K116" s="1211">
        <v>4193299.47</v>
      </c>
      <c r="L116" s="1211"/>
      <c r="M116" s="1211">
        <f t="shared" si="6"/>
        <v>-2523823.4900000002</v>
      </c>
      <c r="N116" s="1211"/>
      <c r="O116" s="1211">
        <v>1669475.98</v>
      </c>
      <c r="P116" s="2155"/>
      <c r="Q116" s="2907"/>
    </row>
    <row r="117" spans="2:17" s="2894" customFormat="1" ht="15.5">
      <c r="B117" s="2902">
        <v>21066</v>
      </c>
      <c r="C117" s="2916"/>
      <c r="D117" s="2917" t="s">
        <v>659</v>
      </c>
      <c r="E117" s="2918"/>
      <c r="F117" s="2918"/>
      <c r="G117" s="1211">
        <v>4099364.93</v>
      </c>
      <c r="H117" s="1211"/>
      <c r="I117" s="1211">
        <v>4256939.8099999996</v>
      </c>
      <c r="J117" s="1211"/>
      <c r="K117" s="1211">
        <v>3778420.46</v>
      </c>
      <c r="L117" s="1211"/>
      <c r="M117" s="1211">
        <f t="shared" si="6"/>
        <v>165030.53</v>
      </c>
      <c r="N117" s="1211"/>
      <c r="O117" s="1211">
        <v>3943450.99</v>
      </c>
      <c r="P117" s="2155"/>
      <c r="Q117" s="2907"/>
    </row>
    <row r="118" spans="2:17" s="2894" customFormat="1" ht="15.5">
      <c r="B118" s="2902">
        <v>21067</v>
      </c>
      <c r="C118" s="2916"/>
      <c r="D118" s="2917" t="s">
        <v>660</v>
      </c>
      <c r="E118" s="2918"/>
      <c r="F118" s="2918"/>
      <c r="G118" s="1211">
        <v>0</v>
      </c>
      <c r="H118" s="1211"/>
      <c r="I118" s="1211">
        <v>0</v>
      </c>
      <c r="J118" s="1211"/>
      <c r="K118" s="1211">
        <v>0</v>
      </c>
      <c r="L118" s="1211"/>
      <c r="M118" s="1211">
        <f t="shared" si="6"/>
        <v>0</v>
      </c>
      <c r="N118" s="1211"/>
      <c r="O118" s="1211">
        <v>0</v>
      </c>
      <c r="P118" s="2155"/>
      <c r="Q118" s="2907"/>
    </row>
    <row r="119" spans="2:17" s="2894" customFormat="1" ht="15.5">
      <c r="B119" s="2902">
        <v>21077</v>
      </c>
      <c r="C119" s="2916"/>
      <c r="D119" s="2937" t="s">
        <v>661</v>
      </c>
      <c r="E119" s="2918"/>
      <c r="F119" s="2918"/>
      <c r="G119" s="1211">
        <v>0</v>
      </c>
      <c r="H119" s="1211"/>
      <c r="I119" s="1211">
        <v>0</v>
      </c>
      <c r="J119" s="1211"/>
      <c r="K119" s="1211">
        <v>0</v>
      </c>
      <c r="L119" s="1211"/>
      <c r="M119" s="1211">
        <f t="shared" si="6"/>
        <v>0</v>
      </c>
      <c r="N119" s="1211"/>
      <c r="O119" s="1211">
        <v>0</v>
      </c>
      <c r="P119" s="2155"/>
      <c r="Q119" s="2907"/>
    </row>
    <row r="120" spans="2:17" s="2894" customFormat="1" ht="15.5">
      <c r="B120" s="2902">
        <v>21081</v>
      </c>
      <c r="C120" s="2916"/>
      <c r="D120" s="2917" t="s">
        <v>662</v>
      </c>
      <c r="E120" s="2918"/>
      <c r="F120" s="2918"/>
      <c r="G120" s="1211">
        <v>65652808.840000004</v>
      </c>
      <c r="H120" s="1211"/>
      <c r="I120" s="1211">
        <v>65386949.810000002</v>
      </c>
      <c r="J120" s="1211"/>
      <c r="K120" s="1211">
        <v>66000252.829999998</v>
      </c>
      <c r="L120" s="1211"/>
      <c r="M120" s="1211">
        <f t="shared" si="6"/>
        <v>-5703545.6600000001</v>
      </c>
      <c r="N120" s="1211"/>
      <c r="O120" s="1211">
        <v>60296707.170000002</v>
      </c>
      <c r="P120" s="2155"/>
      <c r="Q120" s="2907"/>
    </row>
    <row r="121" spans="2:17" s="2894" customFormat="1" ht="15.5">
      <c r="B121" s="2902">
        <v>21082</v>
      </c>
      <c r="C121" s="2916"/>
      <c r="D121" s="2937" t="s">
        <v>663</v>
      </c>
      <c r="E121" s="2918"/>
      <c r="F121" s="2918"/>
      <c r="G121" s="1211">
        <v>14397873.369999999</v>
      </c>
      <c r="H121" s="1211"/>
      <c r="I121" s="1211">
        <v>14551154.810000001</v>
      </c>
      <c r="J121" s="1211"/>
      <c r="K121" s="1211">
        <v>14524726.57</v>
      </c>
      <c r="L121" s="1211"/>
      <c r="M121" s="1211">
        <f t="shared" si="6"/>
        <v>-258794.21</v>
      </c>
      <c r="N121" s="1211"/>
      <c r="O121" s="1211">
        <v>14265932.359999999</v>
      </c>
      <c r="P121" s="2155"/>
      <c r="Q121" s="2907"/>
    </row>
    <row r="122" spans="2:17" s="2894" customFormat="1" ht="15.5">
      <c r="B122" s="2902">
        <v>21084</v>
      </c>
      <c r="C122" s="2916"/>
      <c r="D122" s="2937" t="s">
        <v>664</v>
      </c>
      <c r="E122" s="2918"/>
      <c r="F122" s="2918"/>
      <c r="G122" s="1211">
        <v>0</v>
      </c>
      <c r="H122" s="1211"/>
      <c r="I122" s="1211">
        <v>0</v>
      </c>
      <c r="J122" s="1211"/>
      <c r="K122" s="1211">
        <v>0</v>
      </c>
      <c r="L122" s="1211"/>
      <c r="M122" s="1211">
        <f t="shared" si="6"/>
        <v>0</v>
      </c>
      <c r="N122" s="1211"/>
      <c r="O122" s="1211">
        <v>0</v>
      </c>
      <c r="P122" s="2155"/>
      <c r="Q122" s="2907"/>
    </row>
    <row r="123" spans="2:17" s="2894" customFormat="1" ht="15.5">
      <c r="B123" s="2902">
        <v>21087</v>
      </c>
      <c r="C123" s="2916"/>
      <c r="D123" s="2937" t="s">
        <v>665</v>
      </c>
      <c r="E123" s="2918"/>
      <c r="F123" s="2918"/>
      <c r="G123" s="1211">
        <v>0</v>
      </c>
      <c r="H123" s="1211"/>
      <c r="I123" s="1211">
        <v>0</v>
      </c>
      <c r="J123" s="1211"/>
      <c r="K123" s="1211">
        <v>0</v>
      </c>
      <c r="L123" s="1211"/>
      <c r="M123" s="1211">
        <f t="shared" si="6"/>
        <v>0</v>
      </c>
      <c r="N123" s="1211"/>
      <c r="O123" s="1211">
        <v>0</v>
      </c>
      <c r="P123" s="2155"/>
      <c r="Q123" s="2907"/>
    </row>
    <row r="124" spans="2:17" s="2894" customFormat="1" ht="15.5">
      <c r="B124" s="2902">
        <v>21201</v>
      </c>
      <c r="C124" s="2916"/>
      <c r="D124" s="2937" t="s">
        <v>666</v>
      </c>
      <c r="E124" s="2918"/>
      <c r="F124" s="2918"/>
      <c r="G124" s="1211">
        <v>0</v>
      </c>
      <c r="H124" s="1211"/>
      <c r="I124" s="1211">
        <v>0</v>
      </c>
      <c r="J124" s="1211"/>
      <c r="K124" s="1211">
        <v>17340.72</v>
      </c>
      <c r="L124" s="1211"/>
      <c r="M124" s="1211">
        <f t="shared" si="6"/>
        <v>-17340.72</v>
      </c>
      <c r="N124" s="1211"/>
      <c r="O124" s="1211">
        <v>0</v>
      </c>
      <c r="P124" s="2155"/>
      <c r="Q124" s="2907"/>
    </row>
    <row r="125" spans="2:17" s="2894" customFormat="1" ht="15.5">
      <c r="B125" s="2902">
        <v>21202</v>
      </c>
      <c r="C125" s="2916"/>
      <c r="D125" s="2937" t="s">
        <v>667</v>
      </c>
      <c r="E125" s="2918"/>
      <c r="F125" s="2918"/>
      <c r="G125" s="1211">
        <v>0</v>
      </c>
      <c r="H125" s="1211"/>
      <c r="I125" s="1211">
        <v>0</v>
      </c>
      <c r="J125" s="1211"/>
      <c r="K125" s="1211">
        <v>3555.33</v>
      </c>
      <c r="L125" s="1211"/>
      <c r="M125" s="1211">
        <f t="shared" si="6"/>
        <v>-3555.33</v>
      </c>
      <c r="N125" s="1211"/>
      <c r="O125" s="1211">
        <v>0</v>
      </c>
      <c r="P125" s="2155"/>
      <c r="Q125" s="2907"/>
    </row>
    <row r="126" spans="2:17" s="2894" customFormat="1" ht="15.5">
      <c r="B126" s="2902">
        <v>21203</v>
      </c>
      <c r="C126" s="2916"/>
      <c r="D126" s="2937" t="s">
        <v>668</v>
      </c>
      <c r="E126" s="2918"/>
      <c r="F126" s="2918"/>
      <c r="G126" s="1211">
        <v>95.0300000000002</v>
      </c>
      <c r="H126" s="1211"/>
      <c r="I126" s="1211">
        <v>0</v>
      </c>
      <c r="J126" s="1211"/>
      <c r="K126" s="1211">
        <v>451031.84</v>
      </c>
      <c r="L126" s="1211"/>
      <c r="M126" s="1211">
        <f t="shared" si="6"/>
        <v>-451031.84</v>
      </c>
      <c r="N126" s="1211"/>
      <c r="O126" s="1211">
        <v>0</v>
      </c>
      <c r="P126" s="2155"/>
      <c r="Q126" s="2907"/>
    </row>
    <row r="127" spans="2:17" s="2894" customFormat="1" ht="15.5">
      <c r="B127" s="2902">
        <v>21204</v>
      </c>
      <c r="C127" s="2916"/>
      <c r="D127" s="2937" t="s">
        <v>669</v>
      </c>
      <c r="E127" s="2918"/>
      <c r="F127" s="2918"/>
      <c r="G127" s="1211">
        <v>0</v>
      </c>
      <c r="H127" s="1211"/>
      <c r="I127" s="1211">
        <v>0</v>
      </c>
      <c r="J127" s="1211"/>
      <c r="K127" s="1211">
        <v>0</v>
      </c>
      <c r="L127" s="1211"/>
      <c r="M127" s="1211">
        <f t="shared" si="6"/>
        <v>0</v>
      </c>
      <c r="N127" s="1211"/>
      <c r="O127" s="1211">
        <v>0</v>
      </c>
      <c r="P127" s="2155"/>
      <c r="Q127" s="2907"/>
    </row>
    <row r="128" spans="2:17" s="2894" customFormat="1" ht="15.5">
      <c r="B128" s="2902">
        <v>21205</v>
      </c>
      <c r="C128" s="2916"/>
      <c r="D128" s="2937" t="s">
        <v>670</v>
      </c>
      <c r="E128" s="2918"/>
      <c r="F128" s="2918"/>
      <c r="G128" s="1211">
        <v>0</v>
      </c>
      <c r="H128" s="1211"/>
      <c r="I128" s="1211">
        <v>0</v>
      </c>
      <c r="J128" s="1211"/>
      <c r="K128" s="1211">
        <v>0</v>
      </c>
      <c r="L128" s="1211"/>
      <c r="M128" s="1211">
        <f t="shared" si="6"/>
        <v>0</v>
      </c>
      <c r="N128" s="1211"/>
      <c r="O128" s="1211">
        <v>0</v>
      </c>
      <c r="P128" s="2155"/>
      <c r="Q128" s="2907"/>
    </row>
    <row r="129" spans="2:17" s="2894" customFormat="1" ht="15.5">
      <c r="B129" s="2920">
        <v>21401</v>
      </c>
      <c r="C129" s="2938"/>
      <c r="D129" s="2941" t="s">
        <v>671</v>
      </c>
      <c r="E129" s="2923"/>
      <c r="F129" s="2923"/>
      <c r="G129" s="1211">
        <v>0</v>
      </c>
      <c r="H129" s="1211"/>
      <c r="I129" s="1211">
        <v>0</v>
      </c>
      <c r="J129" s="1211"/>
      <c r="K129" s="1211">
        <v>0</v>
      </c>
      <c r="L129" s="1211"/>
      <c r="M129" s="1211">
        <f t="shared" si="6"/>
        <v>0</v>
      </c>
      <c r="N129" s="1211"/>
      <c r="O129" s="1211">
        <v>0</v>
      </c>
      <c r="P129" s="2155"/>
      <c r="Q129" s="2907"/>
    </row>
    <row r="130" spans="2:17" s="2894" customFormat="1" ht="15.5">
      <c r="B130" s="2920">
        <v>21402</v>
      </c>
      <c r="C130" s="2938"/>
      <c r="D130" s="2941" t="s">
        <v>672</v>
      </c>
      <c r="E130" s="2923"/>
      <c r="F130" s="2923"/>
      <c r="G130" s="1211">
        <v>0</v>
      </c>
      <c r="H130" s="1211"/>
      <c r="I130" s="1211">
        <v>0</v>
      </c>
      <c r="J130" s="1211"/>
      <c r="K130" s="1211">
        <v>0</v>
      </c>
      <c r="L130" s="1211"/>
      <c r="M130" s="1211">
        <f t="shared" si="6"/>
        <v>0</v>
      </c>
      <c r="N130" s="1211"/>
      <c r="O130" s="1211">
        <v>0</v>
      </c>
      <c r="P130" s="2155"/>
      <c r="Q130" s="2907"/>
    </row>
    <row r="131" spans="2:17" s="2894" customFormat="1" ht="15.5">
      <c r="B131" s="2902">
        <v>21451</v>
      </c>
      <c r="C131" s="2916"/>
      <c r="D131" s="2917" t="s">
        <v>673</v>
      </c>
      <c r="E131" s="2918"/>
      <c r="F131" s="2918"/>
      <c r="G131" s="1211">
        <v>33477460.789999999</v>
      </c>
      <c r="H131" s="1211"/>
      <c r="I131" s="1211">
        <v>34006513.899999999</v>
      </c>
      <c r="J131" s="1211"/>
      <c r="K131" s="1211">
        <v>33983508.329999998</v>
      </c>
      <c r="L131" s="1211"/>
      <c r="M131" s="1211">
        <f t="shared" si="6"/>
        <v>-1995959.8</v>
      </c>
      <c r="N131" s="1211"/>
      <c r="O131" s="1211">
        <v>31987548.530000001</v>
      </c>
      <c r="P131" s="2155"/>
      <c r="Q131" s="2907"/>
    </row>
    <row r="132" spans="2:17" s="2894" customFormat="1" ht="15.5">
      <c r="B132" s="2902">
        <v>21452</v>
      </c>
      <c r="C132" s="2916"/>
      <c r="D132" s="2937" t="s">
        <v>674</v>
      </c>
      <c r="E132" s="2918"/>
      <c r="F132" s="2918"/>
      <c r="G132" s="1211">
        <v>2330414.87</v>
      </c>
      <c r="H132" s="1211"/>
      <c r="I132" s="1211">
        <v>946982.11</v>
      </c>
      <c r="J132" s="1211"/>
      <c r="K132" s="1211">
        <v>221275.54</v>
      </c>
      <c r="L132" s="1211"/>
      <c r="M132" s="1211">
        <f t="shared" si="6"/>
        <v>-221275.54</v>
      </c>
      <c r="N132" s="1211"/>
      <c r="O132" s="1211">
        <v>0</v>
      </c>
      <c r="P132" s="2155"/>
      <c r="Q132" s="2907"/>
    </row>
    <row r="133" spans="2:17" s="2894" customFormat="1" ht="15.5">
      <c r="B133" s="2902">
        <v>21902</v>
      </c>
      <c r="C133" s="2916"/>
      <c r="D133" s="2917" t="s">
        <v>1242</v>
      </c>
      <c r="E133" s="2918"/>
      <c r="F133" s="2918"/>
      <c r="G133" s="1211">
        <v>0</v>
      </c>
      <c r="H133" s="1211"/>
      <c r="I133" s="1211">
        <v>0</v>
      </c>
      <c r="J133" s="1211"/>
      <c r="K133" s="1211">
        <v>0</v>
      </c>
      <c r="L133" s="1211"/>
      <c r="M133" s="1211">
        <f t="shared" si="6"/>
        <v>0</v>
      </c>
      <c r="N133" s="1211"/>
      <c r="O133" s="1211">
        <v>0</v>
      </c>
      <c r="P133" s="2155"/>
      <c r="Q133" s="2907"/>
    </row>
    <row r="134" spans="2:17" s="2894" customFormat="1" ht="15.5">
      <c r="B134" s="2902">
        <v>21905</v>
      </c>
      <c r="C134" s="2916"/>
      <c r="D134" s="3103" t="s">
        <v>1245</v>
      </c>
      <c r="E134" s="2918"/>
      <c r="F134" s="2918"/>
      <c r="G134" s="1211">
        <v>7003953.5599999996</v>
      </c>
      <c r="H134" s="1211"/>
      <c r="I134" s="1211">
        <v>6067878.2800000003</v>
      </c>
      <c r="J134" s="1211"/>
      <c r="K134" s="1211">
        <v>11541462.390000001</v>
      </c>
      <c r="L134" s="1211"/>
      <c r="M134" s="1211">
        <f t="shared" si="6"/>
        <v>-4913421.46</v>
      </c>
      <c r="N134" s="1211"/>
      <c r="O134" s="1211">
        <v>6628040.9299999997</v>
      </c>
      <c r="P134" s="2155"/>
      <c r="Q134" s="2907"/>
    </row>
    <row r="135" spans="2:17" s="2894" customFormat="1" ht="15.5">
      <c r="B135" s="2902">
        <v>21907</v>
      </c>
      <c r="C135" s="2916"/>
      <c r="D135" s="2937" t="s">
        <v>675</v>
      </c>
      <c r="E135" s="2918"/>
      <c r="F135" s="2918"/>
      <c r="G135" s="1211">
        <v>0</v>
      </c>
      <c r="H135" s="1211"/>
      <c r="I135" s="1211">
        <v>0</v>
      </c>
      <c r="J135" s="1211"/>
      <c r="K135" s="1211">
        <v>0</v>
      </c>
      <c r="L135" s="1211"/>
      <c r="M135" s="1211">
        <f t="shared" si="6"/>
        <v>0</v>
      </c>
      <c r="N135" s="1211"/>
      <c r="O135" s="1211">
        <v>0</v>
      </c>
      <c r="P135" s="2155"/>
      <c r="Q135" s="2907"/>
    </row>
    <row r="136" spans="2:17" s="2894" customFormat="1" ht="15.5">
      <c r="B136" s="2902">
        <v>21909</v>
      </c>
      <c r="C136" s="2916"/>
      <c r="D136" s="2937" t="s">
        <v>676</v>
      </c>
      <c r="E136" s="2918"/>
      <c r="F136" s="2918"/>
      <c r="G136" s="1211">
        <v>0</v>
      </c>
      <c r="H136" s="1211"/>
      <c r="I136" s="1211">
        <v>0</v>
      </c>
      <c r="J136" s="1211"/>
      <c r="K136" s="1211">
        <v>0</v>
      </c>
      <c r="L136" s="1211"/>
      <c r="M136" s="1211">
        <f t="shared" si="6"/>
        <v>0</v>
      </c>
      <c r="N136" s="1211"/>
      <c r="O136" s="1211">
        <v>0</v>
      </c>
      <c r="P136" s="2155"/>
      <c r="Q136" s="2907"/>
    </row>
    <row r="137" spans="2:17" s="2894" customFormat="1" ht="15.5">
      <c r="B137" s="2902">
        <v>21911</v>
      </c>
      <c r="C137" s="2916"/>
      <c r="D137" s="2937" t="s">
        <v>677</v>
      </c>
      <c r="E137" s="2918"/>
      <c r="F137" s="2918"/>
      <c r="G137" s="1211">
        <v>202852.5</v>
      </c>
      <c r="H137" s="1211"/>
      <c r="I137" s="1211">
        <v>368167.98</v>
      </c>
      <c r="J137" s="1211"/>
      <c r="K137" s="1211">
        <v>609859.59</v>
      </c>
      <c r="L137" s="1211"/>
      <c r="M137" s="1211">
        <f t="shared" si="6"/>
        <v>-382543.55</v>
      </c>
      <c r="N137" s="1211"/>
      <c r="O137" s="1211">
        <v>227316.04</v>
      </c>
      <c r="P137" s="2155"/>
      <c r="Q137" s="2907"/>
    </row>
    <row r="138" spans="2:17" s="2894" customFormat="1" ht="15.5">
      <c r="B138" s="2902">
        <v>21912</v>
      </c>
      <c r="C138" s="2916"/>
      <c r="D138" s="2917" t="s">
        <v>678</v>
      </c>
      <c r="E138" s="2918"/>
      <c r="F138" s="2918"/>
      <c r="G138" s="1211">
        <v>2028062.32</v>
      </c>
      <c r="H138" s="1211"/>
      <c r="I138" s="1211">
        <v>1885102.73</v>
      </c>
      <c r="J138" s="1211"/>
      <c r="K138" s="1211">
        <v>1992255.27</v>
      </c>
      <c r="L138" s="1211"/>
      <c r="M138" s="1211">
        <f t="shared" si="6"/>
        <v>335586.92</v>
      </c>
      <c r="N138" s="1211"/>
      <c r="O138" s="1211">
        <v>2327842.19</v>
      </c>
      <c r="P138" s="2155"/>
      <c r="Q138" s="2907"/>
    </row>
    <row r="139" spans="2:17" s="2894" customFormat="1" ht="15.5">
      <c r="B139" s="2902">
        <v>21937</v>
      </c>
      <c r="C139" s="2916"/>
      <c r="D139" s="2937" t="s">
        <v>679</v>
      </c>
      <c r="E139" s="2918"/>
      <c r="F139" s="2918"/>
      <c r="G139" s="1211">
        <v>196888.87</v>
      </c>
      <c r="H139" s="1211"/>
      <c r="I139" s="1211">
        <v>90178.97</v>
      </c>
      <c r="J139" s="1211"/>
      <c r="K139" s="1211">
        <v>5713145.5300000003</v>
      </c>
      <c r="L139" s="1211"/>
      <c r="M139" s="1211">
        <f t="shared" si="6"/>
        <v>-4871262.1500000004</v>
      </c>
      <c r="N139" s="1211"/>
      <c r="O139" s="1211">
        <v>841883.38</v>
      </c>
      <c r="P139" s="2155"/>
      <c r="Q139" s="2907"/>
    </row>
    <row r="140" spans="2:17" s="2894" customFormat="1" ht="15.5">
      <c r="B140" s="2902">
        <v>21945</v>
      </c>
      <c r="C140" s="2916"/>
      <c r="D140" s="2917" t="s">
        <v>680</v>
      </c>
      <c r="E140" s="2918"/>
      <c r="F140" s="2918"/>
      <c r="G140" s="1211">
        <v>0</v>
      </c>
      <c r="H140" s="1211"/>
      <c r="I140" s="1211">
        <v>0</v>
      </c>
      <c r="J140" s="1211"/>
      <c r="K140" s="1211">
        <v>0</v>
      </c>
      <c r="L140" s="1211"/>
      <c r="M140" s="1211">
        <f t="shared" si="6"/>
        <v>0</v>
      </c>
      <c r="N140" s="1211"/>
      <c r="O140" s="1211">
        <v>0</v>
      </c>
      <c r="P140" s="2155"/>
      <c r="Q140" s="2907"/>
    </row>
    <row r="141" spans="2:17" s="2894" customFormat="1" ht="15.5">
      <c r="B141" s="2902">
        <v>21959</v>
      </c>
      <c r="C141" s="2916"/>
      <c r="D141" s="2937" t="s">
        <v>681</v>
      </c>
      <c r="E141" s="2918"/>
      <c r="F141" s="2918"/>
      <c r="G141" s="1211">
        <v>0</v>
      </c>
      <c r="H141" s="1211"/>
      <c r="I141" s="1211">
        <v>0</v>
      </c>
      <c r="J141" s="1211"/>
      <c r="K141" s="1211">
        <v>0</v>
      </c>
      <c r="L141" s="1211"/>
      <c r="M141" s="1211">
        <f t="shared" si="6"/>
        <v>0</v>
      </c>
      <c r="N141" s="1211"/>
      <c r="O141" s="1211">
        <v>0</v>
      </c>
      <c r="P141" s="2155"/>
      <c r="Q141" s="2907"/>
    </row>
    <row r="142" spans="2:17" s="3092" customFormat="1" ht="15.5">
      <c r="B142" s="2920">
        <v>21961</v>
      </c>
      <c r="C142" s="2938"/>
      <c r="D142" s="2939" t="s">
        <v>1359</v>
      </c>
      <c r="E142" s="2923"/>
      <c r="F142" s="2923"/>
      <c r="G142" s="1211">
        <v>647700.57999999996</v>
      </c>
      <c r="H142" s="1211"/>
      <c r="I142" s="1211">
        <v>659525.07999999996</v>
      </c>
      <c r="J142" s="1211"/>
      <c r="K142" s="1211">
        <v>685911.18</v>
      </c>
      <c r="L142" s="1211"/>
      <c r="M142" s="1211">
        <f t="shared" si="6"/>
        <v>-98586.67</v>
      </c>
      <c r="N142" s="1211"/>
      <c r="O142" s="1211">
        <v>587324.51</v>
      </c>
      <c r="P142" s="2155"/>
      <c r="Q142" s="3091"/>
    </row>
    <row r="143" spans="2:17" s="2894" customFormat="1" ht="15.5">
      <c r="B143" s="2902">
        <v>21962</v>
      </c>
      <c r="C143" s="2916"/>
      <c r="D143" s="2937" t="s">
        <v>682</v>
      </c>
      <c r="E143" s="2918"/>
      <c r="F143" s="2918"/>
      <c r="G143" s="1211">
        <v>11661405.33</v>
      </c>
      <c r="H143" s="1211"/>
      <c r="I143" s="1211">
        <v>11883640.369999999</v>
      </c>
      <c r="J143" s="1211"/>
      <c r="K143" s="1211">
        <v>14018024.779999999</v>
      </c>
      <c r="L143" s="1211"/>
      <c r="M143" s="1211">
        <f t="shared" si="6"/>
        <v>-1755472.75</v>
      </c>
      <c r="N143" s="1211"/>
      <c r="O143" s="1211">
        <v>12262552.029999999</v>
      </c>
      <c r="P143" s="2155"/>
      <c r="Q143" s="2907"/>
    </row>
    <row r="144" spans="2:17" s="2894" customFormat="1" ht="15.5">
      <c r="B144" s="2902">
        <v>21978</v>
      </c>
      <c r="C144" s="2916"/>
      <c r="D144" s="2917" t="s">
        <v>683</v>
      </c>
      <c r="E144" s="2918"/>
      <c r="F144" s="2918"/>
      <c r="G144" s="1211">
        <v>0</v>
      </c>
      <c r="H144" s="1211"/>
      <c r="I144" s="1211">
        <v>0</v>
      </c>
      <c r="J144" s="1211"/>
      <c r="K144" s="1211">
        <v>0</v>
      </c>
      <c r="L144" s="1211"/>
      <c r="M144" s="1211">
        <f t="shared" si="6"/>
        <v>0</v>
      </c>
      <c r="N144" s="1211"/>
      <c r="O144" s="1211">
        <v>0</v>
      </c>
      <c r="P144" s="2155"/>
      <c r="Q144" s="2907"/>
    </row>
    <row r="145" spans="2:17" s="2894" customFormat="1" ht="15.5">
      <c r="B145" s="2902">
        <v>21979</v>
      </c>
      <c r="C145" s="2916"/>
      <c r="D145" s="2917" t="s">
        <v>684</v>
      </c>
      <c r="E145" s="2918"/>
      <c r="F145" s="2918"/>
      <c r="G145" s="1211">
        <v>0</v>
      </c>
      <c r="H145" s="1211"/>
      <c r="I145" s="1211">
        <v>0</v>
      </c>
      <c r="J145" s="1211"/>
      <c r="K145" s="1211">
        <v>0</v>
      </c>
      <c r="L145" s="1211"/>
      <c r="M145" s="1211">
        <f t="shared" si="6"/>
        <v>0</v>
      </c>
      <c r="N145" s="1211"/>
      <c r="O145" s="1211">
        <v>0</v>
      </c>
      <c r="P145" s="2155"/>
      <c r="Q145" s="2907"/>
    </row>
    <row r="146" spans="2:17" s="2894" customFormat="1" ht="15.5">
      <c r="B146" s="2902">
        <v>21989</v>
      </c>
      <c r="C146" s="2916"/>
      <c r="D146" s="2917" t="s">
        <v>685</v>
      </c>
      <c r="E146" s="2918"/>
      <c r="F146" s="2918"/>
      <c r="G146" s="1211">
        <v>0</v>
      </c>
      <c r="H146" s="1211"/>
      <c r="I146" s="1211">
        <v>0</v>
      </c>
      <c r="J146" s="1211"/>
      <c r="K146" s="1211">
        <v>0</v>
      </c>
      <c r="L146" s="1211"/>
      <c r="M146" s="1211">
        <f t="shared" si="6"/>
        <v>0</v>
      </c>
      <c r="N146" s="1211"/>
      <c r="O146" s="1211">
        <v>0</v>
      </c>
      <c r="P146" s="2155"/>
      <c r="Q146" s="2907"/>
    </row>
    <row r="147" spans="2:17" s="2894" customFormat="1" ht="15.5">
      <c r="B147" s="2902">
        <v>22003</v>
      </c>
      <c r="C147" s="2916"/>
      <c r="D147" s="2917" t="s">
        <v>686</v>
      </c>
      <c r="E147" s="2918"/>
      <c r="F147" s="2918"/>
      <c r="G147" s="1211">
        <v>0</v>
      </c>
      <c r="H147" s="1211"/>
      <c r="I147" s="1211">
        <v>0</v>
      </c>
      <c r="J147" s="1211"/>
      <c r="K147" s="1211">
        <v>0</v>
      </c>
      <c r="L147" s="1211"/>
      <c r="M147" s="1211">
        <f t="shared" si="6"/>
        <v>0</v>
      </c>
      <c r="N147" s="1211"/>
      <c r="O147" s="1211">
        <v>0</v>
      </c>
      <c r="P147" s="2155"/>
      <c r="Q147" s="2907"/>
    </row>
    <row r="148" spans="2:17" s="2894" customFormat="1" ht="15.5">
      <c r="B148" s="2902">
        <v>22004</v>
      </c>
      <c r="C148" s="2916"/>
      <c r="D148" s="2937" t="s">
        <v>687</v>
      </c>
      <c r="E148" s="2918"/>
      <c r="F148" s="2918"/>
      <c r="G148" s="1211">
        <v>0</v>
      </c>
      <c r="H148" s="1211"/>
      <c r="I148" s="1211">
        <v>0</v>
      </c>
      <c r="J148" s="1211"/>
      <c r="K148" s="1211">
        <v>0</v>
      </c>
      <c r="L148" s="1211"/>
      <c r="M148" s="1211">
        <f t="shared" si="6"/>
        <v>0</v>
      </c>
      <c r="N148" s="1211"/>
      <c r="O148" s="1211">
        <v>0</v>
      </c>
      <c r="P148" s="2155"/>
      <c r="Q148" s="2907"/>
    </row>
    <row r="149" spans="2:17" s="2894" customFormat="1" ht="15.5">
      <c r="B149" s="2902">
        <v>22006</v>
      </c>
      <c r="C149" s="2916"/>
      <c r="D149" s="2917" t="s">
        <v>688</v>
      </c>
      <c r="E149" s="2918"/>
      <c r="F149" s="2918"/>
      <c r="G149" s="1211">
        <v>0</v>
      </c>
      <c r="H149" s="1211"/>
      <c r="I149" s="1211">
        <v>0</v>
      </c>
      <c r="J149" s="1211"/>
      <c r="K149" s="1211">
        <v>0</v>
      </c>
      <c r="L149" s="1211"/>
      <c r="M149" s="1211">
        <f t="shared" si="6"/>
        <v>0</v>
      </c>
      <c r="N149" s="1211"/>
      <c r="O149" s="1211">
        <v>0</v>
      </c>
      <c r="P149" s="2155"/>
      <c r="Q149" s="2907"/>
    </row>
    <row r="150" spans="2:17" s="2894" customFormat="1" ht="15.5">
      <c r="B150" s="2902">
        <v>22007</v>
      </c>
      <c r="C150" s="2916"/>
      <c r="D150" s="2937" t="s">
        <v>689</v>
      </c>
      <c r="E150" s="2918"/>
      <c r="F150" s="2918"/>
      <c r="G150" s="1211">
        <v>0</v>
      </c>
      <c r="H150" s="1211"/>
      <c r="I150" s="1211">
        <v>0</v>
      </c>
      <c r="J150" s="1211"/>
      <c r="K150" s="1211">
        <v>0</v>
      </c>
      <c r="L150" s="1211"/>
      <c r="M150" s="1211">
        <f t="shared" si="6"/>
        <v>0</v>
      </c>
      <c r="N150" s="1211"/>
      <c r="O150" s="1211">
        <v>0</v>
      </c>
      <c r="P150" s="2155"/>
      <c r="Q150" s="2907"/>
    </row>
    <row r="151" spans="2:17" s="2894" customFormat="1" ht="15.5">
      <c r="B151" s="2902">
        <v>22008</v>
      </c>
      <c r="C151" s="2916"/>
      <c r="D151" s="2937" t="s">
        <v>1302</v>
      </c>
      <c r="E151" s="2918"/>
      <c r="F151" s="2918"/>
      <c r="G151" s="1211">
        <v>0</v>
      </c>
      <c r="H151" s="1211"/>
      <c r="I151" s="1211">
        <v>0</v>
      </c>
      <c r="J151" s="1211"/>
      <c r="K151" s="1211">
        <v>0</v>
      </c>
      <c r="L151" s="1211"/>
      <c r="M151" s="1211">
        <f t="shared" ref="M151" si="8">ROUND(SUM(O151)-SUM(K151),2)</f>
        <v>0</v>
      </c>
      <c r="N151" s="1211"/>
      <c r="O151" s="1211">
        <v>0</v>
      </c>
      <c r="P151" s="2155"/>
      <c r="Q151" s="2907"/>
    </row>
    <row r="152" spans="2:17" s="2894" customFormat="1" ht="15.5">
      <c r="B152" s="2902">
        <v>22009</v>
      </c>
      <c r="C152" s="2916"/>
      <c r="D152" s="2937" t="s">
        <v>690</v>
      </c>
      <c r="E152" s="2918"/>
      <c r="F152" s="2918"/>
      <c r="G152" s="1211">
        <v>40558.870000000003</v>
      </c>
      <c r="H152" s="1211"/>
      <c r="I152" s="1211">
        <v>43090.63</v>
      </c>
      <c r="J152" s="1211"/>
      <c r="K152" s="1211">
        <v>47455.78</v>
      </c>
      <c r="L152" s="1211"/>
      <c r="M152" s="1211">
        <f t="shared" si="6"/>
        <v>-8704.4</v>
      </c>
      <c r="N152" s="1211"/>
      <c r="O152" s="1211">
        <v>38751.379999999997</v>
      </c>
      <c r="P152" s="2155"/>
      <c r="Q152" s="2907"/>
    </row>
    <row r="153" spans="2:17" s="3092" customFormat="1" ht="15.5">
      <c r="B153" s="2920">
        <v>22017</v>
      </c>
      <c r="C153" s="2938"/>
      <c r="D153" s="2939" t="s">
        <v>1360</v>
      </c>
      <c r="E153" s="2923"/>
      <c r="F153" s="2923"/>
      <c r="G153" s="1211">
        <v>0</v>
      </c>
      <c r="H153" s="1211"/>
      <c r="I153" s="1211">
        <v>0</v>
      </c>
      <c r="J153" s="1211"/>
      <c r="K153" s="1211">
        <v>0</v>
      </c>
      <c r="L153" s="1211"/>
      <c r="M153" s="1211">
        <f t="shared" si="6"/>
        <v>0</v>
      </c>
      <c r="N153" s="1211"/>
      <c r="O153" s="1211">
        <v>0</v>
      </c>
      <c r="P153" s="2155"/>
      <c r="Q153" s="3091"/>
    </row>
    <row r="154" spans="2:17" s="2894" customFormat="1" ht="15.5">
      <c r="B154" s="2902">
        <v>22032</v>
      </c>
      <c r="C154" s="2916"/>
      <c r="D154" s="2937" t="s">
        <v>691</v>
      </c>
      <c r="E154" s="2918"/>
      <c r="F154" s="2918"/>
      <c r="G154" s="1211">
        <v>9243397.8800000008</v>
      </c>
      <c r="H154" s="1211"/>
      <c r="I154" s="1211">
        <v>10053270.59</v>
      </c>
      <c r="J154" s="1211"/>
      <c r="K154" s="1211">
        <v>7895881.4699999997</v>
      </c>
      <c r="L154" s="1211"/>
      <c r="M154" s="1211">
        <f t="shared" si="6"/>
        <v>672850.36</v>
      </c>
      <c r="N154" s="1211"/>
      <c r="O154" s="1211">
        <v>8568731.8300000001</v>
      </c>
      <c r="P154" s="2155"/>
      <c r="Q154" s="2907"/>
    </row>
    <row r="155" spans="2:17" s="2894" customFormat="1" ht="15.5">
      <c r="B155" s="2902">
        <v>22034</v>
      </c>
      <c r="C155" s="2916"/>
      <c r="D155" s="2937" t="s">
        <v>692</v>
      </c>
      <c r="E155" s="2918"/>
      <c r="F155" s="2918"/>
      <c r="G155" s="1211">
        <v>0</v>
      </c>
      <c r="H155" s="1211"/>
      <c r="I155" s="1211">
        <v>0</v>
      </c>
      <c r="J155" s="1211"/>
      <c r="K155" s="1211">
        <v>0</v>
      </c>
      <c r="L155" s="1211"/>
      <c r="M155" s="1211">
        <f t="shared" si="6"/>
        <v>0</v>
      </c>
      <c r="N155" s="1211"/>
      <c r="O155" s="1211">
        <v>0</v>
      </c>
      <c r="P155" s="2155"/>
      <c r="Q155" s="2907"/>
    </row>
    <row r="156" spans="2:17" s="2894" customFormat="1" ht="15.5">
      <c r="B156" s="2902">
        <v>22036</v>
      </c>
      <c r="C156" s="2916"/>
      <c r="D156" s="2937" t="s">
        <v>693</v>
      </c>
      <c r="E156" s="2918"/>
      <c r="F156" s="2918"/>
      <c r="G156" s="1211">
        <v>0</v>
      </c>
      <c r="H156" s="1211"/>
      <c r="I156" s="1211">
        <v>0</v>
      </c>
      <c r="J156" s="1211"/>
      <c r="K156" s="1211">
        <v>0</v>
      </c>
      <c r="L156" s="1211"/>
      <c r="M156" s="1211">
        <f t="shared" si="6"/>
        <v>0</v>
      </c>
      <c r="N156" s="1211"/>
      <c r="O156" s="1211">
        <v>0</v>
      </c>
      <c r="P156" s="2155"/>
      <c r="Q156" s="2907"/>
    </row>
    <row r="157" spans="2:17" s="2894" customFormat="1" ht="15.5">
      <c r="B157" s="2902">
        <v>22039</v>
      </c>
      <c r="C157" s="2916"/>
      <c r="D157" s="2937" t="s">
        <v>694</v>
      </c>
      <c r="E157" s="2918"/>
      <c r="F157" s="2918"/>
      <c r="G157" s="1211">
        <v>268954.28000000003</v>
      </c>
      <c r="H157" s="1211"/>
      <c r="I157" s="1211">
        <v>555728.17000000004</v>
      </c>
      <c r="J157" s="1211"/>
      <c r="K157" s="1211">
        <v>928264.63</v>
      </c>
      <c r="L157" s="1211"/>
      <c r="M157" s="1211">
        <f t="shared" si="6"/>
        <v>-668578.52</v>
      </c>
      <c r="N157" s="1211"/>
      <c r="O157" s="1211">
        <v>259686.11</v>
      </c>
      <c r="P157" s="2155"/>
      <c r="Q157" s="2907"/>
    </row>
    <row r="158" spans="2:17" s="2894" customFormat="1" ht="15.5">
      <c r="B158" s="2902">
        <v>22046</v>
      </c>
      <c r="C158" s="2916"/>
      <c r="D158" s="2937" t="s">
        <v>695</v>
      </c>
      <c r="E158" s="2918"/>
      <c r="F158" s="2918"/>
      <c r="G158" s="1211">
        <v>94851180.939999998</v>
      </c>
      <c r="H158" s="1211"/>
      <c r="I158" s="1211">
        <v>92899966.989999995</v>
      </c>
      <c r="J158" s="1211"/>
      <c r="K158" s="1211">
        <v>93807558.709999993</v>
      </c>
      <c r="L158" s="1211"/>
      <c r="M158" s="1211">
        <f t="shared" si="6"/>
        <v>953889.07</v>
      </c>
      <c r="N158" s="1211"/>
      <c r="O158" s="1211">
        <v>94761447.780000001</v>
      </c>
      <c r="P158" s="2155"/>
      <c r="Q158" s="2907"/>
    </row>
    <row r="159" spans="2:17" s="2894" customFormat="1" ht="15.5">
      <c r="B159" s="2902">
        <v>22053</v>
      </c>
      <c r="C159" s="2916"/>
      <c r="D159" s="2937" t="s">
        <v>696</v>
      </c>
      <c r="E159" s="2918"/>
      <c r="F159" s="2918"/>
      <c r="G159" s="1211">
        <v>3830663.92</v>
      </c>
      <c r="H159" s="1211"/>
      <c r="I159" s="1211">
        <v>4557350.1100000003</v>
      </c>
      <c r="J159" s="1211"/>
      <c r="K159" s="1211">
        <v>3307030.74</v>
      </c>
      <c r="L159" s="1211"/>
      <c r="M159" s="1211">
        <f t="shared" si="6"/>
        <v>410926.63</v>
      </c>
      <c r="N159" s="1211"/>
      <c r="O159" s="1211">
        <v>3717957.37</v>
      </c>
      <c r="P159" s="2155"/>
      <c r="Q159" s="2907"/>
    </row>
    <row r="160" spans="2:17" s="2894" customFormat="1" ht="15.5">
      <c r="B160" s="2902">
        <v>22054</v>
      </c>
      <c r="C160" s="2916"/>
      <c r="D160" s="2937" t="s">
        <v>697</v>
      </c>
      <c r="E160" s="2918"/>
      <c r="F160" s="2918"/>
      <c r="G160" s="1211">
        <v>1227999.6299999999</v>
      </c>
      <c r="H160" s="1211"/>
      <c r="I160" s="1211">
        <v>1018972.6</v>
      </c>
      <c r="J160" s="1211"/>
      <c r="K160" s="1211">
        <v>951946.85</v>
      </c>
      <c r="L160" s="1211"/>
      <c r="M160" s="1211">
        <f t="shared" si="6"/>
        <v>-49108.24</v>
      </c>
      <c r="N160" s="1211"/>
      <c r="O160" s="1211">
        <v>902838.61</v>
      </c>
      <c r="P160" s="2155"/>
      <c r="Q160" s="2907"/>
    </row>
    <row r="161" spans="2:17" s="2894" customFormat="1" ht="15.5">
      <c r="B161" s="2902">
        <v>22055</v>
      </c>
      <c r="C161" s="2916"/>
      <c r="D161" s="2937" t="s">
        <v>698</v>
      </c>
      <c r="E161" s="2918"/>
      <c r="F161" s="2918"/>
      <c r="G161" s="1211">
        <v>20677781.170000002</v>
      </c>
      <c r="H161" s="1211"/>
      <c r="I161" s="1211">
        <v>23606581.030000001</v>
      </c>
      <c r="J161" s="1211"/>
      <c r="K161" s="1211">
        <v>27496671.52</v>
      </c>
      <c r="L161" s="1211"/>
      <c r="M161" s="1211">
        <f t="shared" si="6"/>
        <v>3520103.1</v>
      </c>
      <c r="N161" s="1211"/>
      <c r="O161" s="1211">
        <v>31016774.620000001</v>
      </c>
      <c r="P161" s="2155"/>
      <c r="Q161" s="2907"/>
    </row>
    <row r="162" spans="2:17" s="2894" customFormat="1" ht="15.5">
      <c r="B162" s="2902">
        <v>22056</v>
      </c>
      <c r="C162" s="2916"/>
      <c r="D162" s="2937" t="s">
        <v>699</v>
      </c>
      <c r="E162" s="2918"/>
      <c r="F162" s="2918"/>
      <c r="G162" s="1211">
        <v>639956.47</v>
      </c>
      <c r="H162" s="1211"/>
      <c r="I162" s="1211">
        <v>854157.69</v>
      </c>
      <c r="J162" s="1211"/>
      <c r="K162" s="1211">
        <v>1004479.83</v>
      </c>
      <c r="L162" s="1211"/>
      <c r="M162" s="1211">
        <f t="shared" si="6"/>
        <v>116474.91</v>
      </c>
      <c r="N162" s="1211"/>
      <c r="O162" s="1211">
        <v>1120954.74</v>
      </c>
      <c r="P162" s="2155"/>
      <c r="Q162" s="2907"/>
    </row>
    <row r="163" spans="2:17" s="2894" customFormat="1" ht="15.5">
      <c r="B163" s="2902">
        <v>22062</v>
      </c>
      <c r="C163" s="2916"/>
      <c r="D163" s="2937" t="s">
        <v>700</v>
      </c>
      <c r="E163" s="2918"/>
      <c r="F163" s="2918"/>
      <c r="G163" s="1211">
        <v>0</v>
      </c>
      <c r="H163" s="1211"/>
      <c r="I163" s="1211">
        <v>0</v>
      </c>
      <c r="J163" s="1211"/>
      <c r="K163" s="1211">
        <v>0</v>
      </c>
      <c r="L163" s="1211"/>
      <c r="M163" s="1211">
        <f t="shared" si="6"/>
        <v>0</v>
      </c>
      <c r="N163" s="1211"/>
      <c r="O163" s="1211">
        <v>0</v>
      </c>
      <c r="P163" s="2155"/>
      <c r="Q163" s="2907"/>
    </row>
    <row r="164" spans="2:17" s="2894" customFormat="1" ht="15.5">
      <c r="B164" s="2902">
        <v>22063</v>
      </c>
      <c r="C164" s="2916"/>
      <c r="D164" s="2937" t="s">
        <v>701</v>
      </c>
      <c r="E164" s="2918"/>
      <c r="F164" s="2918"/>
      <c r="G164" s="1211">
        <v>8155159.9000000004</v>
      </c>
      <c r="H164" s="1211"/>
      <c r="I164" s="1211">
        <v>6506966.3099999996</v>
      </c>
      <c r="J164" s="1211"/>
      <c r="K164" s="1211">
        <v>5954486.2199999997</v>
      </c>
      <c r="L164" s="1211"/>
      <c r="M164" s="1211">
        <f t="shared" si="6"/>
        <v>-463843.18</v>
      </c>
      <c r="N164" s="1211"/>
      <c r="O164" s="1211">
        <v>5490643.04</v>
      </c>
      <c r="P164" s="2155"/>
      <c r="Q164" s="2907"/>
    </row>
    <row r="165" spans="2:17" s="2894" customFormat="1" ht="15.5">
      <c r="B165" s="2902">
        <v>22078</v>
      </c>
      <c r="C165" s="2916"/>
      <c r="D165" s="2937" t="s">
        <v>702</v>
      </c>
      <c r="E165" s="2918"/>
      <c r="F165" s="2918"/>
      <c r="G165" s="1211">
        <v>0</v>
      </c>
      <c r="H165" s="1211"/>
      <c r="I165" s="1211">
        <v>0</v>
      </c>
      <c r="J165" s="1211"/>
      <c r="K165" s="1211">
        <v>0</v>
      </c>
      <c r="L165" s="1211"/>
      <c r="M165" s="1211">
        <f t="shared" si="6"/>
        <v>0</v>
      </c>
      <c r="N165" s="1211"/>
      <c r="O165" s="1211">
        <v>0</v>
      </c>
      <c r="P165" s="2155"/>
      <c r="Q165" s="2907"/>
    </row>
    <row r="166" spans="2:17" s="2894" customFormat="1" ht="15.5">
      <c r="B166" s="2902">
        <v>22085</v>
      </c>
      <c r="C166" s="2916"/>
      <c r="D166" s="2937" t="s">
        <v>703</v>
      </c>
      <c r="E166" s="2918"/>
      <c r="F166" s="2918"/>
      <c r="G166" s="1211">
        <v>16125064.82</v>
      </c>
      <c r="H166" s="1211"/>
      <c r="I166" s="1211">
        <v>16430442.220000001</v>
      </c>
      <c r="J166" s="1211"/>
      <c r="K166" s="1211">
        <v>16644492.310000001</v>
      </c>
      <c r="L166" s="1211"/>
      <c r="M166" s="1211">
        <f>ROUND(SUM(O166)-SUM(K166),2)</f>
        <v>-15063226.34</v>
      </c>
      <c r="N166" s="1211"/>
      <c r="O166" s="1211">
        <v>1581265.97</v>
      </c>
      <c r="P166" s="2155"/>
      <c r="Q166" s="2907"/>
    </row>
    <row r="167" spans="2:17" s="2894" customFormat="1" ht="15.5">
      <c r="B167" s="2902">
        <v>22090</v>
      </c>
      <c r="C167" s="2916"/>
      <c r="D167" s="2937" t="s">
        <v>704</v>
      </c>
      <c r="E167" s="2918"/>
      <c r="F167" s="2918"/>
      <c r="G167" s="1211">
        <v>0</v>
      </c>
      <c r="H167" s="1211"/>
      <c r="I167" s="1211">
        <v>0</v>
      </c>
      <c r="J167" s="1211"/>
      <c r="K167" s="1211">
        <v>0</v>
      </c>
      <c r="L167" s="1211"/>
      <c r="M167" s="1211">
        <f t="shared" si="6"/>
        <v>0</v>
      </c>
      <c r="N167" s="1211"/>
      <c r="O167" s="1211">
        <v>0</v>
      </c>
      <c r="P167" s="2155"/>
      <c r="Q167" s="2907"/>
    </row>
    <row r="168" spans="2:17" s="2894" customFormat="1" ht="15.5">
      <c r="B168" s="2902">
        <v>22100</v>
      </c>
      <c r="C168" s="2916"/>
      <c r="D168" s="2937" t="s">
        <v>705</v>
      </c>
      <c r="E168" s="2918"/>
      <c r="F168" s="2918"/>
      <c r="G168" s="1211">
        <v>9073223.0099999998</v>
      </c>
      <c r="H168" s="1211"/>
      <c r="I168" s="1211">
        <v>9652893.5199999996</v>
      </c>
      <c r="J168" s="1211"/>
      <c r="K168" s="1211">
        <v>9759624.0800000001</v>
      </c>
      <c r="L168" s="1211"/>
      <c r="M168" s="1211">
        <f t="shared" ref="M168:M184" si="9">ROUND(SUM(O168)-SUM(K168),2)</f>
        <v>714731.2</v>
      </c>
      <c r="N168" s="1211"/>
      <c r="O168" s="1211">
        <v>10474355.279999999</v>
      </c>
      <c r="P168" s="2155"/>
      <c r="Q168" s="2907"/>
    </row>
    <row r="169" spans="2:17" s="2894" customFormat="1" ht="15.5">
      <c r="B169" s="2902">
        <v>22130</v>
      </c>
      <c r="C169" s="2916"/>
      <c r="D169" s="2917" t="s">
        <v>706</v>
      </c>
      <c r="E169" s="2918"/>
      <c r="F169" s="2918"/>
      <c r="G169" s="1211">
        <v>0</v>
      </c>
      <c r="H169" s="1211"/>
      <c r="I169" s="1211">
        <v>0</v>
      </c>
      <c r="J169" s="1211"/>
      <c r="K169" s="1211">
        <v>0</v>
      </c>
      <c r="L169" s="1211"/>
      <c r="M169" s="1211">
        <f t="shared" si="9"/>
        <v>0</v>
      </c>
      <c r="N169" s="1211"/>
      <c r="O169" s="1211">
        <v>0</v>
      </c>
      <c r="P169" s="2155"/>
      <c r="Q169" s="2907"/>
    </row>
    <row r="170" spans="2:17" s="2894" customFormat="1" ht="15.5">
      <c r="B170" s="2902">
        <v>22135</v>
      </c>
      <c r="C170" s="2916"/>
      <c r="D170" s="2917" t="s">
        <v>707</v>
      </c>
      <c r="E170" s="2918"/>
      <c r="F170" s="2918"/>
      <c r="G170" s="1211">
        <v>0</v>
      </c>
      <c r="H170" s="1211"/>
      <c r="I170" s="1211">
        <v>0</v>
      </c>
      <c r="J170" s="1211"/>
      <c r="K170" s="1211">
        <v>0</v>
      </c>
      <c r="L170" s="1211"/>
      <c r="M170" s="1211">
        <f t="shared" si="9"/>
        <v>0</v>
      </c>
      <c r="N170" s="1211"/>
      <c r="O170" s="1211">
        <v>0</v>
      </c>
      <c r="P170" s="2155"/>
      <c r="Q170" s="2907"/>
    </row>
    <row r="171" spans="2:17" s="2894" customFormat="1" ht="15.5">
      <c r="B171" s="2902">
        <v>22144</v>
      </c>
      <c r="C171" s="2916"/>
      <c r="D171" s="2937" t="s">
        <v>708</v>
      </c>
      <c r="E171" s="2918"/>
      <c r="F171" s="2918"/>
      <c r="G171" s="1211">
        <v>0</v>
      </c>
      <c r="H171" s="1211"/>
      <c r="I171" s="1211">
        <v>0</v>
      </c>
      <c r="J171" s="1211"/>
      <c r="K171" s="1211">
        <v>0</v>
      </c>
      <c r="L171" s="1211"/>
      <c r="M171" s="1211">
        <f t="shared" si="9"/>
        <v>264654.69</v>
      </c>
      <c r="N171" s="1211"/>
      <c r="O171" s="1211">
        <v>264654.69</v>
      </c>
      <c r="P171" s="2155"/>
      <c r="Q171" s="2907"/>
    </row>
    <row r="172" spans="2:17" s="2894" customFormat="1" ht="15.5">
      <c r="B172" s="2902">
        <v>22151</v>
      </c>
      <c r="C172" s="2916"/>
      <c r="D172" s="2917" t="s">
        <v>709</v>
      </c>
      <c r="E172" s="2918"/>
      <c r="F172" s="2918"/>
      <c r="G172" s="1211">
        <v>186214.42</v>
      </c>
      <c r="H172" s="1211"/>
      <c r="I172" s="1211">
        <v>238166.66</v>
      </c>
      <c r="J172" s="1211"/>
      <c r="K172" s="1211">
        <v>124151.33</v>
      </c>
      <c r="L172" s="1211"/>
      <c r="M172" s="1211">
        <f t="shared" si="9"/>
        <v>51952.24</v>
      </c>
      <c r="N172" s="1211"/>
      <c r="O172" s="1211">
        <v>176103.57</v>
      </c>
      <c r="P172" s="2155"/>
      <c r="Q172" s="2907"/>
    </row>
    <row r="173" spans="2:17" s="2894" customFormat="1" ht="15.5">
      <c r="B173" s="2902">
        <v>22156</v>
      </c>
      <c r="C173" s="2916"/>
      <c r="D173" s="2917" t="s">
        <v>710</v>
      </c>
      <c r="E173" s="2918"/>
      <c r="F173" s="2918"/>
      <c r="G173" s="1211">
        <v>0</v>
      </c>
      <c r="H173" s="1211"/>
      <c r="I173" s="1211">
        <v>0</v>
      </c>
      <c r="J173" s="1211"/>
      <c r="K173" s="1211">
        <v>591253.80000000005</v>
      </c>
      <c r="L173" s="1211"/>
      <c r="M173" s="1211">
        <f t="shared" si="9"/>
        <v>3662025.27</v>
      </c>
      <c r="N173" s="1211"/>
      <c r="O173" s="1211">
        <v>4253279.07</v>
      </c>
      <c r="P173" s="2155"/>
      <c r="Q173" s="2907"/>
    </row>
    <row r="174" spans="2:17" s="2894" customFormat="1" ht="15.5">
      <c r="B174" s="2902">
        <v>22158</v>
      </c>
      <c r="C174" s="2916"/>
      <c r="D174" s="2937" t="s">
        <v>711</v>
      </c>
      <c r="E174" s="2918"/>
      <c r="F174" s="2918"/>
      <c r="G174" s="1211">
        <v>0</v>
      </c>
      <c r="H174" s="1211"/>
      <c r="I174" s="1211">
        <v>0</v>
      </c>
      <c r="J174" s="1211"/>
      <c r="K174" s="1211">
        <v>0</v>
      </c>
      <c r="L174" s="1211"/>
      <c r="M174" s="1211">
        <f t="shared" si="9"/>
        <v>0</v>
      </c>
      <c r="N174" s="1211"/>
      <c r="O174" s="1211">
        <v>0</v>
      </c>
      <c r="P174" s="2155"/>
      <c r="Q174" s="2907"/>
    </row>
    <row r="175" spans="2:17" s="2894" customFormat="1" ht="15.5">
      <c r="B175" s="2902">
        <v>22168</v>
      </c>
      <c r="C175" s="2916"/>
      <c r="D175" s="2937" t="s">
        <v>712</v>
      </c>
      <c r="E175" s="2918"/>
      <c r="F175" s="2918"/>
      <c r="G175" s="1211">
        <v>0</v>
      </c>
      <c r="H175" s="1211"/>
      <c r="I175" s="1211">
        <v>0</v>
      </c>
      <c r="J175" s="1211"/>
      <c r="K175" s="1211">
        <v>0</v>
      </c>
      <c r="L175" s="1211"/>
      <c r="M175" s="1211">
        <f t="shared" si="9"/>
        <v>0</v>
      </c>
      <c r="N175" s="1211"/>
      <c r="O175" s="1211">
        <v>0</v>
      </c>
      <c r="P175" s="2155"/>
      <c r="Q175" s="2907"/>
    </row>
    <row r="176" spans="2:17" s="3092" customFormat="1" ht="15.5">
      <c r="B176" s="2920">
        <v>22240</v>
      </c>
      <c r="C176" s="2938"/>
      <c r="D176" s="2939" t="s">
        <v>1361</v>
      </c>
      <c r="E176" s="2923"/>
      <c r="F176" s="2923"/>
      <c r="G176" s="1211">
        <v>984850.06</v>
      </c>
      <c r="H176" s="1211"/>
      <c r="I176" s="1211">
        <v>1083976.25</v>
      </c>
      <c r="J176" s="1211"/>
      <c r="K176" s="1211">
        <v>1185090.73</v>
      </c>
      <c r="L176" s="1211"/>
      <c r="M176" s="1211">
        <f t="shared" si="9"/>
        <v>84744.49</v>
      </c>
      <c r="N176" s="1211"/>
      <c r="O176" s="1211">
        <v>1269835.22</v>
      </c>
      <c r="P176" s="2155"/>
      <c r="Q176" s="3091"/>
    </row>
    <row r="177" spans="2:18" s="2894" customFormat="1" ht="15.5">
      <c r="B177" s="2902">
        <v>22654</v>
      </c>
      <c r="C177" s="2916"/>
      <c r="D177" s="2917" t="s">
        <v>713</v>
      </c>
      <c r="E177" s="2918"/>
      <c r="F177" s="2918"/>
      <c r="G177" s="1211">
        <v>20659528.609999999</v>
      </c>
      <c r="H177" s="1211"/>
      <c r="I177" s="1211">
        <v>20662290.359999999</v>
      </c>
      <c r="J177" s="1211"/>
      <c r="K177" s="1211">
        <v>20664809.170000002</v>
      </c>
      <c r="L177" s="1211"/>
      <c r="M177" s="1211">
        <f t="shared" si="9"/>
        <v>2238.12</v>
      </c>
      <c r="N177" s="1211"/>
      <c r="O177" s="1211">
        <v>20667047.289999999</v>
      </c>
      <c r="P177" s="2155"/>
      <c r="Q177" s="2907"/>
    </row>
    <row r="178" spans="2:18" s="2894" customFormat="1" ht="15.5">
      <c r="B178" s="2902">
        <v>22751</v>
      </c>
      <c r="C178" s="2916"/>
      <c r="D178" s="2917" t="s">
        <v>1259</v>
      </c>
      <c r="E178" s="2918"/>
      <c r="F178" s="2918"/>
      <c r="G178" s="1211">
        <v>247138.52</v>
      </c>
      <c r="H178" s="1211"/>
      <c r="I178" s="1211">
        <v>0</v>
      </c>
      <c r="J178" s="1211"/>
      <c r="K178" s="1211">
        <v>0</v>
      </c>
      <c r="L178" s="1211"/>
      <c r="M178" s="1211">
        <f>ROUND(SUM(O178)-SUM(K178),2)</f>
        <v>0</v>
      </c>
      <c r="N178" s="1211"/>
      <c r="O178" s="1211">
        <v>0</v>
      </c>
      <c r="P178" s="2155"/>
      <c r="Q178" s="2907"/>
    </row>
    <row r="179" spans="2:18" s="2894" customFormat="1" ht="15.5">
      <c r="B179" s="2902">
        <v>22802</v>
      </c>
      <c r="C179" s="2916"/>
      <c r="D179" s="2937" t="s">
        <v>714</v>
      </c>
      <c r="E179" s="2918"/>
      <c r="F179" s="2918"/>
      <c r="G179" s="1211">
        <v>0</v>
      </c>
      <c r="H179" s="1211"/>
      <c r="I179" s="1211">
        <v>0</v>
      </c>
      <c r="J179" s="1211"/>
      <c r="K179" s="1211">
        <v>0</v>
      </c>
      <c r="L179" s="1211"/>
      <c r="M179" s="1211">
        <f t="shared" si="9"/>
        <v>0</v>
      </c>
      <c r="N179" s="1211"/>
      <c r="O179" s="1211">
        <v>0</v>
      </c>
      <c r="P179" s="2155"/>
      <c r="Q179" s="2907"/>
    </row>
    <row r="180" spans="2:18" s="2894" customFormat="1" ht="15.5">
      <c r="B180" s="2902">
        <v>23001</v>
      </c>
      <c r="C180" s="2916"/>
      <c r="D180" s="2917" t="s">
        <v>715</v>
      </c>
      <c r="E180" s="2918"/>
      <c r="F180" s="2918"/>
      <c r="G180" s="1211">
        <v>15366088.880000001</v>
      </c>
      <c r="H180" s="1211"/>
      <c r="I180" s="1211">
        <v>15631992.02</v>
      </c>
      <c r="J180" s="1211"/>
      <c r="K180" s="1211">
        <v>15895636.27</v>
      </c>
      <c r="L180" s="1211"/>
      <c r="M180" s="1211">
        <f t="shared" si="9"/>
        <v>145606.42000000001</v>
      </c>
      <c r="N180" s="1211"/>
      <c r="O180" s="1211">
        <v>16041242.689999999</v>
      </c>
      <c r="P180" s="2155"/>
      <c r="Q180" s="2907"/>
    </row>
    <row r="181" spans="2:18" s="2894" customFormat="1" ht="15.5">
      <c r="B181" s="2902">
        <v>23102</v>
      </c>
      <c r="C181" s="2916"/>
      <c r="D181" s="2937" t="s">
        <v>716</v>
      </c>
      <c r="E181" s="2918"/>
      <c r="F181" s="2918"/>
      <c r="G181" s="1211">
        <v>5350949.7</v>
      </c>
      <c r="H181" s="1211"/>
      <c r="I181" s="1211">
        <v>5350949.7</v>
      </c>
      <c r="J181" s="1211"/>
      <c r="K181" s="1211">
        <v>5350949.7</v>
      </c>
      <c r="L181" s="1211"/>
      <c r="M181" s="1211">
        <f t="shared" si="9"/>
        <v>0</v>
      </c>
      <c r="N181" s="1211"/>
      <c r="O181" s="1211">
        <v>5350949.7</v>
      </c>
      <c r="P181" s="2155"/>
      <c r="Q181" s="2907"/>
    </row>
    <row r="182" spans="2:18" s="2894" customFormat="1" ht="15.5">
      <c r="B182" s="2902">
        <v>23151</v>
      </c>
      <c r="C182" s="2916"/>
      <c r="D182" s="2917" t="s">
        <v>717</v>
      </c>
      <c r="E182" s="2918"/>
      <c r="F182" s="2918"/>
      <c r="G182" s="1211">
        <v>38503815.68</v>
      </c>
      <c r="H182" s="1211"/>
      <c r="I182" s="1211">
        <v>40779914.979999997</v>
      </c>
      <c r="J182" s="1211"/>
      <c r="K182" s="1211">
        <v>43872916</v>
      </c>
      <c r="L182" s="1211"/>
      <c r="M182" s="1211">
        <f t="shared" si="9"/>
        <v>2221314.0099999998</v>
      </c>
      <c r="N182" s="1211"/>
      <c r="O182" s="1211">
        <v>46094230.009999998</v>
      </c>
      <c r="P182" s="2155"/>
      <c r="Q182" s="2907"/>
    </row>
    <row r="183" spans="2:18" s="2894" customFormat="1" ht="15.5">
      <c r="B183" s="2942">
        <v>23701</v>
      </c>
      <c r="C183" s="2916"/>
      <c r="D183" s="2917" t="s">
        <v>939</v>
      </c>
      <c r="E183" s="2918"/>
      <c r="F183" s="2918"/>
      <c r="G183" s="1211">
        <v>0</v>
      </c>
      <c r="H183" s="1211"/>
      <c r="I183" s="1211">
        <v>0</v>
      </c>
      <c r="J183" s="1211"/>
      <c r="K183" s="1211">
        <v>0</v>
      </c>
      <c r="L183" s="1211"/>
      <c r="M183" s="1211">
        <f t="shared" si="9"/>
        <v>0</v>
      </c>
      <c r="N183" s="1211"/>
      <c r="O183" s="1211">
        <v>0</v>
      </c>
      <c r="P183" s="2155"/>
      <c r="Q183" s="2907"/>
    </row>
    <row r="184" spans="2:18" s="2894" customFormat="1" ht="15.5">
      <c r="B184" s="2942">
        <v>23702</v>
      </c>
      <c r="C184" s="2916"/>
      <c r="D184" s="2937" t="s">
        <v>940</v>
      </c>
      <c r="E184" s="2918"/>
      <c r="F184" s="2918"/>
      <c r="G184" s="1211">
        <v>19423617.530000001</v>
      </c>
      <c r="H184" s="1211"/>
      <c r="I184" s="1211">
        <v>19727468.18</v>
      </c>
      <c r="J184" s="1211"/>
      <c r="K184" s="1211">
        <v>20189828.449999999</v>
      </c>
      <c r="L184" s="1211"/>
      <c r="M184" s="1211">
        <f t="shared" si="9"/>
        <v>319295.52</v>
      </c>
      <c r="N184" s="1211"/>
      <c r="O184" s="1211">
        <v>20509123.969999999</v>
      </c>
      <c r="P184" s="2155"/>
      <c r="Q184" s="2907"/>
    </row>
    <row r="185" spans="2:18" s="2894" customFormat="1" ht="15.5">
      <c r="B185" s="2942">
        <v>23801</v>
      </c>
      <c r="C185" s="2916"/>
      <c r="D185" s="2937" t="s">
        <v>1269</v>
      </c>
      <c r="E185" s="2918"/>
      <c r="F185" s="2918"/>
      <c r="G185" s="1211">
        <v>0</v>
      </c>
      <c r="H185" s="1211"/>
      <c r="I185" s="1211">
        <v>0</v>
      </c>
      <c r="J185" s="1211"/>
      <c r="K185" s="1211">
        <v>0</v>
      </c>
      <c r="L185" s="1211"/>
      <c r="M185" s="1211">
        <f t="shared" ref="M185" si="10">ROUND(SUM(O185)-SUM(K185),2)</f>
        <v>0</v>
      </c>
      <c r="N185" s="1211"/>
      <c r="O185" s="1211">
        <v>0</v>
      </c>
      <c r="P185" s="2914"/>
      <c r="Q185" s="2907"/>
    </row>
    <row r="186" spans="2:18" s="2894" customFormat="1" ht="15.5">
      <c r="B186" s="2942">
        <v>23806</v>
      </c>
      <c r="C186" s="2916"/>
      <c r="D186" s="2937" t="s">
        <v>1303</v>
      </c>
      <c r="E186" s="2918"/>
      <c r="F186" s="2918"/>
      <c r="G186" s="1211">
        <v>0</v>
      </c>
      <c r="H186" s="1211"/>
      <c r="I186" s="1211">
        <v>0</v>
      </c>
      <c r="J186" s="1211"/>
      <c r="K186" s="1211">
        <v>0</v>
      </c>
      <c r="L186" s="1211"/>
      <c r="M186" s="1211">
        <f t="shared" ref="M186:M187" si="11">ROUND(SUM(O186)-SUM(K186),2)</f>
        <v>0</v>
      </c>
      <c r="N186" s="1211"/>
      <c r="O186" s="1211">
        <v>0</v>
      </c>
      <c r="P186" s="2914"/>
      <c r="Q186" s="2907"/>
    </row>
    <row r="187" spans="2:18" s="2894" customFormat="1" ht="15.5">
      <c r="B187" s="2942">
        <v>24951</v>
      </c>
      <c r="C187" s="2916"/>
      <c r="D187" s="2937" t="s">
        <v>1304</v>
      </c>
      <c r="E187" s="2918"/>
      <c r="F187" s="2918"/>
      <c r="G187" s="1211">
        <v>34948.58</v>
      </c>
      <c r="H187" s="1211"/>
      <c r="I187" s="1211">
        <v>34948.58</v>
      </c>
      <c r="J187" s="1211"/>
      <c r="K187" s="1211">
        <v>50169.33</v>
      </c>
      <c r="L187" s="1211"/>
      <c r="M187" s="1211">
        <f t="shared" si="11"/>
        <v>9925.4599999999991</v>
      </c>
      <c r="N187" s="1211"/>
      <c r="O187" s="1211">
        <v>60094.79</v>
      </c>
      <c r="P187" s="2914"/>
      <c r="Q187" s="2907"/>
    </row>
    <row r="188" spans="2:18" s="2894" customFormat="1" ht="16" thickBot="1">
      <c r="B188" s="2925"/>
      <c r="C188" s="2896"/>
      <c r="D188" s="2909" t="s">
        <v>718</v>
      </c>
      <c r="E188" s="2898"/>
      <c r="F188" s="2898"/>
      <c r="G188" s="1580">
        <f>ROUND(SUM(G105:G187),2)</f>
        <v>469178936.75</v>
      </c>
      <c r="H188" s="1468"/>
      <c r="I188" s="1580">
        <f>ROUND(SUM(I105:I187),2)</f>
        <v>502639457.13</v>
      </c>
      <c r="J188" s="2125"/>
      <c r="K188" s="1580">
        <f>ROUND(SUM(K105:K187),2)</f>
        <v>2151227806.4400001</v>
      </c>
      <c r="L188" s="2529"/>
      <c r="M188" s="1580">
        <f>ROUND(SUM(M105:M187),2)</f>
        <v>-159341984.34999999</v>
      </c>
      <c r="N188" s="2529"/>
      <c r="O188" s="1580">
        <f>ROUND(SUM(O105:O187),2)</f>
        <v>1991885822.0899999</v>
      </c>
      <c r="P188" s="2914"/>
      <c r="Q188" s="2907"/>
    </row>
    <row r="189" spans="2:18" s="2894" customFormat="1" ht="16" thickTop="1">
      <c r="B189" s="2943"/>
      <c r="C189" s="2927"/>
      <c r="D189" s="2944"/>
      <c r="E189" s="2916"/>
      <c r="F189" s="2916"/>
      <c r="G189" s="1211"/>
      <c r="H189" s="3113"/>
      <c r="I189" s="2155"/>
      <c r="J189" s="3113"/>
      <c r="K189" s="2155"/>
      <c r="L189" s="3113"/>
      <c r="M189" s="1211"/>
      <c r="N189" s="3113"/>
      <c r="O189" s="2155"/>
      <c r="P189" s="2914"/>
      <c r="Q189" s="2907"/>
    </row>
    <row r="190" spans="2:18" s="2894" customFormat="1" ht="15.5">
      <c r="B190" s="2943"/>
      <c r="C190" s="2896"/>
      <c r="D190" s="2909" t="s">
        <v>719</v>
      </c>
      <c r="E190" s="2898"/>
      <c r="F190" s="2898"/>
      <c r="G190" s="1211"/>
      <c r="H190" s="3113"/>
      <c r="I190" s="2155"/>
      <c r="J190" s="3113"/>
      <c r="K190" s="2155"/>
      <c r="L190" s="3113"/>
      <c r="M190" s="1212"/>
      <c r="N190" s="3519"/>
      <c r="O190" s="2155"/>
      <c r="P190" s="2914"/>
      <c r="Q190" s="3091"/>
      <c r="R190" s="3092"/>
    </row>
    <row r="191" spans="2:18" s="3092" customFormat="1" ht="15.5">
      <c r="B191" s="2950" t="s">
        <v>720</v>
      </c>
      <c r="C191" s="3114"/>
      <c r="D191" s="2941" t="s">
        <v>721</v>
      </c>
      <c r="E191" s="3090"/>
      <c r="F191" s="3090"/>
      <c r="G191" s="3611">
        <v>4861559.5599999996</v>
      </c>
      <c r="H191" s="1211"/>
      <c r="I191" s="3611">
        <v>118710736.93000001</v>
      </c>
      <c r="J191" s="1211"/>
      <c r="K191" s="3611">
        <v>4451739.4800000004</v>
      </c>
      <c r="L191" s="1211"/>
      <c r="M191" s="1211">
        <f t="shared" ref="M191:M196" si="12">ROUND(SUM(O191)-SUM(K191),2)</f>
        <v>-332778.09999999998</v>
      </c>
      <c r="N191" s="1211"/>
      <c r="O191" s="3611">
        <v>4118961.38</v>
      </c>
      <c r="P191" s="2914"/>
      <c r="Q191" s="3091"/>
    </row>
    <row r="192" spans="2:18" s="3092" customFormat="1" ht="15.5">
      <c r="B192" s="2950" t="s">
        <v>722</v>
      </c>
      <c r="C192" s="3114"/>
      <c r="D192" s="2941" t="s">
        <v>723</v>
      </c>
      <c r="E192" s="3090"/>
      <c r="F192" s="3090"/>
      <c r="G192" s="3611">
        <v>120502674.3</v>
      </c>
      <c r="H192" s="1211"/>
      <c r="I192" s="3611">
        <v>185715291.63</v>
      </c>
      <c r="J192" s="1211"/>
      <c r="K192" s="3611">
        <v>2748340824.8099999</v>
      </c>
      <c r="L192" s="1211"/>
      <c r="M192" s="1211">
        <f t="shared" si="12"/>
        <v>-2516938845.9099998</v>
      </c>
      <c r="N192" s="1211"/>
      <c r="O192" s="3611">
        <v>231401978.90000001</v>
      </c>
      <c r="P192" s="2914"/>
      <c r="Q192" s="3091"/>
    </row>
    <row r="193" spans="2:18" s="3092" customFormat="1" ht="15.5">
      <c r="B193" s="2950" t="s">
        <v>724</v>
      </c>
      <c r="C193" s="3114"/>
      <c r="D193" s="2939" t="s">
        <v>725</v>
      </c>
      <c r="E193" s="3090"/>
      <c r="F193" s="3090"/>
      <c r="G193" s="3611">
        <v>29827487.57</v>
      </c>
      <c r="H193" s="1211"/>
      <c r="I193" s="3611">
        <v>101592275.68000001</v>
      </c>
      <c r="J193" s="1211"/>
      <c r="K193" s="3611">
        <v>18968485.010000002</v>
      </c>
      <c r="L193" s="1211"/>
      <c r="M193" s="1211">
        <f t="shared" si="12"/>
        <v>16375985.67</v>
      </c>
      <c r="N193" s="1211"/>
      <c r="O193" s="3611">
        <v>35344470.68</v>
      </c>
      <c r="P193" s="2914"/>
      <c r="Q193" s="3091"/>
    </row>
    <row r="194" spans="2:18" s="3092" customFormat="1" ht="15.5">
      <c r="B194" s="2950" t="s">
        <v>1270</v>
      </c>
      <c r="C194" s="3114"/>
      <c r="D194" s="2939" t="s">
        <v>1271</v>
      </c>
      <c r="E194" s="3090"/>
      <c r="F194" s="3090"/>
      <c r="G194" s="3611">
        <v>0</v>
      </c>
      <c r="H194" s="1211"/>
      <c r="I194" s="3611">
        <v>0</v>
      </c>
      <c r="J194" s="1211"/>
      <c r="K194" s="3611">
        <v>0</v>
      </c>
      <c r="L194" s="1211"/>
      <c r="M194" s="1211">
        <f t="shared" si="12"/>
        <v>0</v>
      </c>
      <c r="N194" s="1211"/>
      <c r="O194" s="3611">
        <v>0</v>
      </c>
      <c r="P194" s="2914"/>
      <c r="Q194" s="3091"/>
    </row>
    <row r="195" spans="2:18" s="3092" customFormat="1" ht="15.5">
      <c r="B195" s="2950" t="s">
        <v>726</v>
      </c>
      <c r="C195" s="2939"/>
      <c r="D195" s="2941" t="s">
        <v>727</v>
      </c>
      <c r="E195" s="3090"/>
      <c r="F195" s="3090"/>
      <c r="G195" s="3611">
        <v>682171490.89999998</v>
      </c>
      <c r="H195" s="1211"/>
      <c r="I195" s="3611">
        <v>467988759.37</v>
      </c>
      <c r="J195" s="1211"/>
      <c r="K195" s="3611">
        <v>483311461.01999998</v>
      </c>
      <c r="L195" s="1211"/>
      <c r="M195" s="1211">
        <f t="shared" si="12"/>
        <v>68718456.299999997</v>
      </c>
      <c r="N195" s="1211"/>
      <c r="O195" s="3611">
        <v>552029917.32000005</v>
      </c>
      <c r="P195" s="2914"/>
      <c r="Q195" s="3091"/>
    </row>
    <row r="196" spans="2:18" s="3092" customFormat="1" ht="15.5">
      <c r="B196" s="2920">
        <v>31351</v>
      </c>
      <c r="C196" s="2939"/>
      <c r="D196" s="2941" t="s">
        <v>728</v>
      </c>
      <c r="E196" s="3090"/>
      <c r="F196" s="3090"/>
      <c r="G196" s="1211">
        <v>8753932.6600000001</v>
      </c>
      <c r="H196" s="1211">
        <v>0</v>
      </c>
      <c r="I196" s="1211">
        <v>8753932.6600000001</v>
      </c>
      <c r="J196" s="1211">
        <v>0</v>
      </c>
      <c r="K196" s="1211">
        <v>8753932.6600000001</v>
      </c>
      <c r="L196" s="1211"/>
      <c r="M196" s="1211">
        <f t="shared" si="12"/>
        <v>0</v>
      </c>
      <c r="N196" s="1211"/>
      <c r="O196" s="1211">
        <v>8753932.6600000001</v>
      </c>
      <c r="P196" s="2930"/>
      <c r="Q196" s="3091"/>
    </row>
    <row r="197" spans="2:18" s="3092" customFormat="1" ht="15.5">
      <c r="B197" s="2835">
        <v>31354</v>
      </c>
      <c r="C197" s="3093"/>
      <c r="D197" s="2922" t="s">
        <v>729</v>
      </c>
      <c r="E197" s="3090"/>
      <c r="F197" s="3090"/>
      <c r="G197" s="1211">
        <v>447377872.94999999</v>
      </c>
      <c r="H197" s="1211"/>
      <c r="I197" s="1211">
        <v>418981740.11000001</v>
      </c>
      <c r="J197" s="1211">
        <v>0</v>
      </c>
      <c r="K197" s="1211">
        <v>441892716.97000003</v>
      </c>
      <c r="L197" s="1211"/>
      <c r="M197" s="1211">
        <f>ROUND(SUM(O197)-SUM(K197),2)</f>
        <v>-9468636.9600000009</v>
      </c>
      <c r="N197" s="1211"/>
      <c r="O197" s="1211">
        <v>432424080.00999999</v>
      </c>
      <c r="P197" s="2945"/>
      <c r="Q197" s="3091"/>
    </row>
    <row r="198" spans="2:18" s="3092" customFormat="1" ht="15.5">
      <c r="B198" s="3094" t="s">
        <v>730</v>
      </c>
      <c r="C198" s="2938"/>
      <c r="D198" s="2941" t="s">
        <v>731</v>
      </c>
      <c r="E198" s="3090"/>
      <c r="F198" s="3090"/>
      <c r="G198" s="1211">
        <v>115023670.81</v>
      </c>
      <c r="H198" s="1211"/>
      <c r="I198" s="1211">
        <v>117669446.06999999</v>
      </c>
      <c r="J198" s="1211"/>
      <c r="K198" s="1211">
        <v>132492097.37</v>
      </c>
      <c r="L198" s="1211"/>
      <c r="M198" s="1211">
        <f>ROUND(SUM(O198)-SUM(K198),2)</f>
        <v>-4502034.3600000003</v>
      </c>
      <c r="N198" s="1211"/>
      <c r="O198" s="1211">
        <v>127990063.01000001</v>
      </c>
      <c r="P198" s="3095"/>
      <c r="Q198" s="3091"/>
    </row>
    <row r="199" spans="2:18" s="3092" customFormat="1" ht="15.5">
      <c r="B199" s="2948" t="s">
        <v>941</v>
      </c>
      <c r="C199" s="2938"/>
      <c r="D199" s="2941" t="s">
        <v>942</v>
      </c>
      <c r="E199" s="2949"/>
      <c r="F199" s="2949"/>
      <c r="G199" s="1211">
        <v>33519545.800000001</v>
      </c>
      <c r="H199" s="1211"/>
      <c r="I199" s="1211">
        <v>31789946.690000001</v>
      </c>
      <c r="J199" s="1211"/>
      <c r="K199" s="1211">
        <v>59955005.259999998</v>
      </c>
      <c r="L199" s="1211"/>
      <c r="M199" s="1211">
        <f>ROUND(SUM(O199)-SUM(K199),2)</f>
        <v>16388532.41</v>
      </c>
      <c r="N199" s="1211"/>
      <c r="O199" s="1211">
        <v>76343537.670000002</v>
      </c>
      <c r="P199" s="2950"/>
      <c r="Q199" s="3091"/>
    </row>
    <row r="200" spans="2:18" s="3092" customFormat="1" ht="15.5">
      <c r="B200" s="2951">
        <v>25950</v>
      </c>
      <c r="C200" s="2938"/>
      <c r="D200" s="2941" t="s">
        <v>732</v>
      </c>
      <c r="E200" s="2952"/>
      <c r="F200" s="2952"/>
      <c r="G200" s="1211">
        <v>416583.5</v>
      </c>
      <c r="H200" s="1211">
        <v>0</v>
      </c>
      <c r="I200" s="1211">
        <v>450110</v>
      </c>
      <c r="J200" s="1211">
        <v>0</v>
      </c>
      <c r="K200" s="1211">
        <v>517598</v>
      </c>
      <c r="L200" s="1211"/>
      <c r="M200" s="1211">
        <f>ROUND(SUM(O200)-SUM(K200),2)</f>
        <v>-140506</v>
      </c>
      <c r="N200" s="1211"/>
      <c r="O200" s="1211">
        <v>377092</v>
      </c>
      <c r="P200" s="2950"/>
      <c r="Q200" s="3091"/>
    </row>
    <row r="201" spans="2:18" s="3092" customFormat="1" ht="15.5">
      <c r="B201" s="2948" t="s">
        <v>1243</v>
      </c>
      <c r="C201" s="2938"/>
      <c r="D201" s="2939" t="s">
        <v>943</v>
      </c>
      <c r="E201" s="2949"/>
      <c r="F201" s="2949"/>
      <c r="G201" s="1211">
        <v>12725671.699999999</v>
      </c>
      <c r="H201" s="1211"/>
      <c r="I201" s="2155">
        <v>234476.17</v>
      </c>
      <c r="J201" s="1211"/>
      <c r="K201" s="2155">
        <v>926035.18</v>
      </c>
      <c r="L201" s="1211"/>
      <c r="M201" s="1211">
        <f t="shared" ref="M201" si="13">ROUND(SUM(O201)-SUM(K201),2)</f>
        <v>5357751.2699999996</v>
      </c>
      <c r="N201" s="1211"/>
      <c r="O201" s="2155">
        <v>6283786.4500000002</v>
      </c>
      <c r="P201" s="2950"/>
      <c r="Q201" s="3091"/>
    </row>
    <row r="202" spans="2:18" s="2894" customFormat="1" ht="16" thickBot="1">
      <c r="B202" s="2953"/>
      <c r="C202" s="2910"/>
      <c r="D202" s="2909" t="s">
        <v>733</v>
      </c>
      <c r="E202" s="2911"/>
      <c r="F202" s="2911"/>
      <c r="G202" s="1580">
        <f>ROUND(SUM(G191:G201),2)</f>
        <v>1455180489.75</v>
      </c>
      <c r="H202" s="2125"/>
      <c r="I202" s="1580">
        <f>ROUND(SUM(I191:I201),2)</f>
        <v>1451886715.3099999</v>
      </c>
      <c r="J202" s="2125"/>
      <c r="K202" s="1580">
        <f>ROUND(SUM(K191:K201),2)</f>
        <v>3899609895.7600002</v>
      </c>
      <c r="L202" s="2541"/>
      <c r="M202" s="1213">
        <f>ROUND(SUM(M191:M201),2)</f>
        <v>-2424542075.6799998</v>
      </c>
      <c r="N202" s="2541"/>
      <c r="O202" s="1580">
        <f>ROUND(SUM(O191:O201),2)</f>
        <v>1475067820.0799999</v>
      </c>
      <c r="P202" s="2945" t="s">
        <v>113</v>
      </c>
      <c r="Q202" s="3091"/>
      <c r="R202" s="3092"/>
    </row>
    <row r="203" spans="2:18" s="2894" customFormat="1" ht="16" thickTop="1">
      <c r="B203" s="2925"/>
      <c r="C203" s="2910"/>
      <c r="D203" s="2923"/>
      <c r="E203" s="2911"/>
      <c r="F203" s="2911"/>
      <c r="G203" s="1212"/>
      <c r="H203" s="3519"/>
      <c r="I203" s="2954"/>
      <c r="J203" s="3519"/>
      <c r="K203" s="2954"/>
      <c r="L203" s="3519"/>
      <c r="M203" s="1212"/>
      <c r="N203" s="3519"/>
      <c r="O203" s="2954"/>
      <c r="P203" s="3094"/>
      <c r="Q203" s="3091"/>
      <c r="R203" s="3092"/>
    </row>
    <row r="204" spans="2:18" s="2894" customFormat="1" ht="15.5">
      <c r="B204" s="2943"/>
      <c r="C204" s="2910"/>
      <c r="D204" s="2897" t="s">
        <v>734</v>
      </c>
      <c r="E204" s="2911"/>
      <c r="F204" s="2911"/>
      <c r="G204" s="1211"/>
      <c r="H204" s="2933"/>
      <c r="I204" s="2155"/>
      <c r="J204" s="2933"/>
      <c r="K204" s="2155"/>
      <c r="L204" s="2933"/>
      <c r="M204" s="1212"/>
      <c r="N204" s="1485"/>
      <c r="O204" s="2155"/>
      <c r="P204" s="2955"/>
      <c r="Q204" s="2907"/>
    </row>
    <row r="205" spans="2:18" s="2894" customFormat="1" ht="15.5">
      <c r="B205" s="2920">
        <v>60201</v>
      </c>
      <c r="C205" s="2896"/>
      <c r="D205" s="2917" t="s">
        <v>735</v>
      </c>
      <c r="E205" s="2911"/>
      <c r="F205" s="2911"/>
      <c r="G205" s="1211">
        <v>0</v>
      </c>
      <c r="H205" s="1211"/>
      <c r="I205" s="1211">
        <v>0</v>
      </c>
      <c r="J205" s="1211"/>
      <c r="K205" s="1211">
        <v>0</v>
      </c>
      <c r="L205" s="1211"/>
      <c r="M205" s="1211">
        <f>ROUND(SUM(O205)-SUM(K205),2)</f>
        <v>0</v>
      </c>
      <c r="N205" s="1211"/>
      <c r="O205" s="1211">
        <v>0</v>
      </c>
      <c r="P205" s="2955"/>
      <c r="Q205" s="2907"/>
    </row>
    <row r="206" spans="2:18" s="2894" customFormat="1" ht="15.5">
      <c r="B206" s="2902">
        <v>60901</v>
      </c>
      <c r="C206" s="2916"/>
      <c r="D206" s="2937" t="s">
        <v>965</v>
      </c>
      <c r="E206" s="2918"/>
      <c r="F206" s="2918"/>
      <c r="G206" s="1211">
        <v>0</v>
      </c>
      <c r="H206" s="1211"/>
      <c r="I206" s="1211">
        <v>0</v>
      </c>
      <c r="J206" s="1211"/>
      <c r="K206" s="1211">
        <v>0</v>
      </c>
      <c r="L206" s="1211"/>
      <c r="M206" s="1211">
        <f>ROUND(SUM(O206)-SUM(K206),2)</f>
        <v>0</v>
      </c>
      <c r="N206" s="1211"/>
      <c r="O206" s="1211">
        <v>0</v>
      </c>
      <c r="P206" s="2955"/>
      <c r="Q206" s="2907"/>
    </row>
    <row r="207" spans="2:18" s="2894" customFormat="1" ht="16" thickBot="1">
      <c r="B207" s="2942"/>
      <c r="C207" s="2896"/>
      <c r="D207" s="2897" t="s">
        <v>736</v>
      </c>
      <c r="E207" s="2911"/>
      <c r="F207" s="2911"/>
      <c r="G207" s="1580">
        <f>ROUND(SUM(G205:G206),2)</f>
        <v>0</v>
      </c>
      <c r="H207" s="1468"/>
      <c r="I207" s="1583">
        <f>ROUND(SUM(I205:I206),2)</f>
        <v>0</v>
      </c>
      <c r="J207" s="1468"/>
      <c r="K207" s="1583">
        <f>ROUND(SUM(K205:K206),2)</f>
        <v>0</v>
      </c>
      <c r="L207" s="1468"/>
      <c r="M207" s="1213">
        <f>ROUND(SUM(M205:M206),2)</f>
        <v>0</v>
      </c>
      <c r="N207" s="1468"/>
      <c r="O207" s="1583">
        <f>ROUND(SUM(O205:O206),2)</f>
        <v>0</v>
      </c>
      <c r="P207" s="2914"/>
      <c r="Q207" s="2907"/>
    </row>
    <row r="208" spans="2:18" s="2894" customFormat="1" ht="16" thickTop="1">
      <c r="B208" s="2942"/>
      <c r="C208" s="2956"/>
      <c r="D208" s="2956"/>
      <c r="E208" s="2957"/>
      <c r="F208" s="2957"/>
      <c r="G208" s="1211"/>
      <c r="H208" s="2933"/>
      <c r="I208" s="2155"/>
      <c r="J208" s="2933"/>
      <c r="K208" s="2155"/>
      <c r="L208" s="2933"/>
      <c r="M208" s="1211"/>
      <c r="N208" s="2933"/>
      <c r="O208" s="2155"/>
      <c r="P208" s="2908"/>
      <c r="Q208" s="2907"/>
    </row>
    <row r="209" spans="2:17" s="2894" customFormat="1" ht="15.5">
      <c r="B209" s="2942"/>
      <c r="C209" s="2926"/>
      <c r="D209" s="2897" t="s">
        <v>737</v>
      </c>
      <c r="E209" s="2932"/>
      <c r="F209" s="2932"/>
      <c r="G209" s="1211"/>
      <c r="H209" s="2933"/>
      <c r="I209" s="2155"/>
      <c r="J209" s="2933"/>
      <c r="K209" s="2155"/>
      <c r="L209" s="2933"/>
      <c r="M209" s="1214"/>
      <c r="N209" s="2958"/>
      <c r="O209" s="2155"/>
      <c r="P209" s="2946"/>
      <c r="Q209" s="2907"/>
    </row>
    <row r="210" spans="2:17" s="2894" customFormat="1" ht="15.5">
      <c r="B210" s="2902">
        <v>50318</v>
      </c>
      <c r="C210" s="2927"/>
      <c r="D210" s="2939" t="s">
        <v>738</v>
      </c>
      <c r="E210" s="2901"/>
      <c r="F210" s="2901"/>
      <c r="G210" s="1211">
        <v>586266.5</v>
      </c>
      <c r="H210" s="1211"/>
      <c r="I210" s="1211">
        <v>648917.48</v>
      </c>
      <c r="J210" s="1211"/>
      <c r="K210" s="1211">
        <v>713220.32</v>
      </c>
      <c r="L210" s="1211"/>
      <c r="M210" s="1211">
        <f>ROUND(SUM(O210)-SUM(K210),2)</f>
        <v>41590.83</v>
      </c>
      <c r="N210" s="1211"/>
      <c r="O210" s="1211">
        <v>754811.15</v>
      </c>
      <c r="P210" s="2955"/>
      <c r="Q210" s="2907"/>
    </row>
    <row r="211" spans="2:17" s="2894" customFormat="1" ht="15.5">
      <c r="B211" s="2902">
        <v>50327</v>
      </c>
      <c r="C211" s="2927"/>
      <c r="D211" s="2939" t="s">
        <v>1255</v>
      </c>
      <c r="E211" s="2901"/>
      <c r="F211" s="2901"/>
      <c r="G211" s="1211">
        <v>228262.18</v>
      </c>
      <c r="H211" s="1211"/>
      <c r="I211" s="1211">
        <v>240989.79</v>
      </c>
      <c r="J211" s="1211"/>
      <c r="K211" s="1211">
        <v>254229.78</v>
      </c>
      <c r="L211" s="1211"/>
      <c r="M211" s="1211">
        <f>ROUND(SUM(O211)-SUM(K211),2)</f>
        <v>2240.33</v>
      </c>
      <c r="N211" s="1211"/>
      <c r="O211" s="1211">
        <v>256470.11</v>
      </c>
      <c r="P211" s="2955"/>
      <c r="Q211" s="2907"/>
    </row>
    <row r="212" spans="2:17" s="2894" customFormat="1" ht="16" thickBot="1">
      <c r="B212" s="2959"/>
      <c r="C212" s="2896"/>
      <c r="D212" s="2909" t="s">
        <v>739</v>
      </c>
      <c r="E212" s="2898"/>
      <c r="F212" s="2898"/>
      <c r="G212" s="1580">
        <f>ROUND(SUM(G210:G211),2)</f>
        <v>814528.68</v>
      </c>
      <c r="H212" s="1468"/>
      <c r="I212" s="2960">
        <f>ROUND(SUM(I210:I211),2)</f>
        <v>889907.27</v>
      </c>
      <c r="J212" s="1468"/>
      <c r="K212" s="2960">
        <f>ROUND(SUM(K210:K211),2)</f>
        <v>967450.1</v>
      </c>
      <c r="L212" s="1468"/>
      <c r="M212" s="1486">
        <f>ROUND(SUM(M210:M211),2)</f>
        <v>43831.16</v>
      </c>
      <c r="N212" s="1468"/>
      <c r="O212" s="3636">
        <f>ROUND(SUM(O210:O211),2)</f>
        <v>1011281.26</v>
      </c>
      <c r="P212" s="2930"/>
      <c r="Q212" s="2907"/>
    </row>
    <row r="213" spans="2:17" s="2894" customFormat="1" ht="16" thickTop="1">
      <c r="B213" s="2927"/>
      <c r="C213" s="2927"/>
      <c r="D213" s="2961"/>
      <c r="E213" s="2901"/>
      <c r="F213" s="2901"/>
      <c r="G213" s="1487"/>
      <c r="H213" s="1487"/>
      <c r="I213" s="2962"/>
      <c r="J213" s="1487"/>
      <c r="K213" s="2962"/>
      <c r="L213" s="1487"/>
      <c r="M213" s="1487"/>
      <c r="N213" s="1487"/>
      <c r="O213" s="2155"/>
      <c r="P213" s="2953"/>
      <c r="Q213" s="2907"/>
    </row>
    <row r="214" spans="2:17" s="2894" customFormat="1" ht="15.5">
      <c r="B214" s="2895"/>
      <c r="C214" s="2896"/>
      <c r="D214" s="2897" t="s">
        <v>220</v>
      </c>
      <c r="E214" s="2898"/>
      <c r="F214" s="2898"/>
      <c r="G214" s="2933"/>
      <c r="H214" s="2933"/>
      <c r="I214" s="2934"/>
      <c r="J214" s="2933"/>
      <c r="K214" s="2934"/>
      <c r="L214" s="2933"/>
      <c r="M214" s="1485"/>
      <c r="N214" s="1485"/>
      <c r="O214" s="3635"/>
      <c r="P214" s="2901"/>
      <c r="Q214" s="2907"/>
    </row>
    <row r="215" spans="2:17" s="2894" customFormat="1" ht="15.5">
      <c r="B215" s="2902">
        <v>55001</v>
      </c>
      <c r="C215" s="2927"/>
      <c r="D215" s="2939" t="s">
        <v>740</v>
      </c>
      <c r="E215" s="2901"/>
      <c r="F215" s="2901"/>
      <c r="G215" s="1211">
        <v>0</v>
      </c>
      <c r="H215" s="1211"/>
      <c r="I215" s="1211">
        <v>0</v>
      </c>
      <c r="J215" s="1211"/>
      <c r="K215" s="1211">
        <v>0</v>
      </c>
      <c r="L215" s="1211"/>
      <c r="M215" s="1211">
        <f t="shared" ref="M215:M257" si="14">ROUND(SUM(O215)-SUM(K215),2)</f>
        <v>0</v>
      </c>
      <c r="N215" s="1211"/>
      <c r="O215" s="1211">
        <v>0</v>
      </c>
      <c r="P215" s="2924"/>
      <c r="Q215" s="2907"/>
    </row>
    <row r="216" spans="2:17" s="2894" customFormat="1" ht="15.5">
      <c r="B216" s="2902">
        <v>55002</v>
      </c>
      <c r="C216" s="2916"/>
      <c r="D216" s="2937" t="s">
        <v>741</v>
      </c>
      <c r="E216" s="2918"/>
      <c r="F216" s="2918"/>
      <c r="G216" s="1211">
        <v>0</v>
      </c>
      <c r="H216" s="1211"/>
      <c r="I216" s="1211">
        <v>0</v>
      </c>
      <c r="J216" s="1211"/>
      <c r="K216" s="1211">
        <v>0</v>
      </c>
      <c r="L216" s="1211"/>
      <c r="M216" s="1211">
        <f t="shared" si="14"/>
        <v>0</v>
      </c>
      <c r="N216" s="1211"/>
      <c r="O216" s="1211">
        <v>0</v>
      </c>
      <c r="P216" s="2914"/>
      <c r="Q216" s="2907"/>
    </row>
    <row r="217" spans="2:17" s="2894" customFormat="1" ht="15.5">
      <c r="B217" s="2902">
        <v>55003</v>
      </c>
      <c r="C217" s="2916"/>
      <c r="D217" s="2939" t="s">
        <v>742</v>
      </c>
      <c r="E217" s="2918"/>
      <c r="F217" s="2918"/>
      <c r="G217" s="1211">
        <v>1446232.57</v>
      </c>
      <c r="H217" s="1211"/>
      <c r="I217" s="1211">
        <v>1442837.96</v>
      </c>
      <c r="J217" s="1211"/>
      <c r="K217" s="1211">
        <v>1394497.72</v>
      </c>
      <c r="L217" s="1211"/>
      <c r="M217" s="1211">
        <f t="shared" si="14"/>
        <v>-83778.2</v>
      </c>
      <c r="N217" s="1211"/>
      <c r="O217" s="1211">
        <v>1310719.52</v>
      </c>
      <c r="P217" s="2914"/>
      <c r="Q217" s="2907"/>
    </row>
    <row r="218" spans="2:17" s="2894" customFormat="1" ht="15.5">
      <c r="B218" s="2902">
        <v>55004</v>
      </c>
      <c r="C218" s="2938"/>
      <c r="D218" s="2963" t="s">
        <v>743</v>
      </c>
      <c r="E218" s="2923"/>
      <c r="F218" s="2923"/>
      <c r="G218" s="1211">
        <v>0</v>
      </c>
      <c r="H218" s="1211"/>
      <c r="I218" s="1211">
        <v>0</v>
      </c>
      <c r="J218" s="1211"/>
      <c r="K218" s="1211">
        <v>0</v>
      </c>
      <c r="L218" s="1211"/>
      <c r="M218" s="1211">
        <f t="shared" si="14"/>
        <v>0</v>
      </c>
      <c r="N218" s="1211"/>
      <c r="O218" s="1211">
        <v>0</v>
      </c>
      <c r="P218" s="2914"/>
      <c r="Q218" s="2907"/>
    </row>
    <row r="219" spans="2:17" s="2894" customFormat="1" ht="15.5">
      <c r="B219" s="2902">
        <v>55005</v>
      </c>
      <c r="C219" s="2916"/>
      <c r="D219" s="2939" t="s">
        <v>744</v>
      </c>
      <c r="E219" s="2918"/>
      <c r="F219" s="2918"/>
      <c r="G219" s="1211">
        <v>0</v>
      </c>
      <c r="H219" s="1211"/>
      <c r="I219" s="1211">
        <v>0</v>
      </c>
      <c r="J219" s="1211"/>
      <c r="K219" s="1211">
        <v>0</v>
      </c>
      <c r="L219" s="1211"/>
      <c r="M219" s="1211">
        <f t="shared" si="14"/>
        <v>0</v>
      </c>
      <c r="N219" s="1211"/>
      <c r="O219" s="1211">
        <v>0</v>
      </c>
      <c r="P219" s="2914"/>
      <c r="Q219" s="2907"/>
    </row>
    <row r="220" spans="2:17" s="2894" customFormat="1" ht="15.5">
      <c r="B220" s="2902">
        <v>55006</v>
      </c>
      <c r="C220" s="2938"/>
      <c r="D220" s="2939" t="s">
        <v>745</v>
      </c>
      <c r="E220" s="2923"/>
      <c r="F220" s="2923"/>
      <c r="G220" s="1211">
        <v>0</v>
      </c>
      <c r="H220" s="1211"/>
      <c r="I220" s="1211">
        <v>0</v>
      </c>
      <c r="J220" s="1211"/>
      <c r="K220" s="1211">
        <v>0</v>
      </c>
      <c r="L220" s="1211"/>
      <c r="M220" s="1211">
        <f t="shared" si="14"/>
        <v>0</v>
      </c>
      <c r="N220" s="1211"/>
      <c r="O220" s="1211">
        <v>0</v>
      </c>
      <c r="P220" s="2914"/>
      <c r="Q220" s="2907"/>
    </row>
    <row r="221" spans="2:17" s="2894" customFormat="1" ht="15.5">
      <c r="B221" s="2902">
        <v>55007</v>
      </c>
      <c r="C221" s="2935"/>
      <c r="D221" s="2903" t="s">
        <v>746</v>
      </c>
      <c r="E221" s="2936"/>
      <c r="F221" s="2936"/>
      <c r="G221" s="1211">
        <v>2891489.38</v>
      </c>
      <c r="H221" s="1211"/>
      <c r="I221" s="1211">
        <v>2314098.7000000002</v>
      </c>
      <c r="J221" s="1211"/>
      <c r="K221" s="1211">
        <v>2368688.7200000002</v>
      </c>
      <c r="L221" s="1211"/>
      <c r="M221" s="1211">
        <f t="shared" si="14"/>
        <v>57789.08</v>
      </c>
      <c r="N221" s="1211"/>
      <c r="O221" s="1211">
        <v>2426477.7999999998</v>
      </c>
      <c r="P221" s="2924"/>
      <c r="Q221" s="2907"/>
    </row>
    <row r="222" spans="2:17" s="2894" customFormat="1" ht="15.5">
      <c r="B222" s="2902">
        <v>55008</v>
      </c>
      <c r="C222" s="2916"/>
      <c r="D222" s="2941" t="s">
        <v>747</v>
      </c>
      <c r="E222" s="2918"/>
      <c r="F222" s="2918"/>
      <c r="G222" s="1211">
        <v>13357977.470000001</v>
      </c>
      <c r="H222" s="1211"/>
      <c r="I222" s="1211">
        <v>15387079.380000001</v>
      </c>
      <c r="J222" s="1211"/>
      <c r="K222" s="1211">
        <v>16165549.76</v>
      </c>
      <c r="L222" s="1211"/>
      <c r="M222" s="1211">
        <f t="shared" si="14"/>
        <v>-211136.64000000001</v>
      </c>
      <c r="N222" s="1211"/>
      <c r="O222" s="1211">
        <v>15954413.119999999</v>
      </c>
      <c r="P222" s="2930"/>
      <c r="Q222" s="2907"/>
    </row>
    <row r="223" spans="2:17" s="2894" customFormat="1" ht="15.5">
      <c r="B223" s="2856">
        <v>55009</v>
      </c>
      <c r="C223" s="2935"/>
      <c r="D223" s="2903" t="s">
        <v>748</v>
      </c>
      <c r="E223" s="2936"/>
      <c r="F223" s="2936"/>
      <c r="G223" s="1211">
        <v>0</v>
      </c>
      <c r="H223" s="1211"/>
      <c r="I223" s="1211">
        <v>0</v>
      </c>
      <c r="J223" s="1211"/>
      <c r="K223" s="1211">
        <v>0</v>
      </c>
      <c r="L223" s="1211"/>
      <c r="M223" s="1211">
        <f t="shared" si="14"/>
        <v>0</v>
      </c>
      <c r="N223" s="1211"/>
      <c r="O223" s="1211">
        <v>0</v>
      </c>
      <c r="P223" s="2901"/>
      <c r="Q223" s="2907"/>
    </row>
    <row r="224" spans="2:17" s="2894" customFormat="1" ht="15.5">
      <c r="B224" s="2856">
        <v>55010</v>
      </c>
      <c r="C224" s="2916"/>
      <c r="D224" s="2939" t="s">
        <v>966</v>
      </c>
      <c r="E224" s="2918"/>
      <c r="F224" s="2918"/>
      <c r="G224" s="1211">
        <v>16784151.780000001</v>
      </c>
      <c r="H224" s="1211"/>
      <c r="I224" s="1211">
        <v>15127023.470000001</v>
      </c>
      <c r="J224" s="1211"/>
      <c r="K224" s="1211">
        <v>15655355.27</v>
      </c>
      <c r="L224" s="1211"/>
      <c r="M224" s="1211">
        <f t="shared" si="14"/>
        <v>1005546.81</v>
      </c>
      <c r="N224" s="1211"/>
      <c r="O224" s="1211">
        <v>16660902.08</v>
      </c>
      <c r="P224" s="2901"/>
      <c r="Q224" s="2907"/>
    </row>
    <row r="225" spans="2:17" s="2894" customFormat="1" ht="15.5">
      <c r="B225" s="2902">
        <v>55011</v>
      </c>
      <c r="C225" s="2935"/>
      <c r="D225" s="2903" t="s">
        <v>749</v>
      </c>
      <c r="E225" s="2936"/>
      <c r="F225" s="2936"/>
      <c r="G225" s="1211">
        <v>4577187.96</v>
      </c>
      <c r="H225" s="1211"/>
      <c r="I225" s="1211">
        <v>7590357.3399999999</v>
      </c>
      <c r="J225" s="1211"/>
      <c r="K225" s="1211">
        <v>7450496.6399999997</v>
      </c>
      <c r="L225" s="1211"/>
      <c r="M225" s="1211">
        <f t="shared" si="14"/>
        <v>-1100064.8600000001</v>
      </c>
      <c r="N225" s="1211"/>
      <c r="O225" s="1211">
        <v>6350431.7800000003</v>
      </c>
      <c r="P225" s="2914"/>
      <c r="Q225" s="2907"/>
    </row>
    <row r="226" spans="2:17" s="2894" customFormat="1" ht="15.5">
      <c r="B226" s="2902">
        <v>55012</v>
      </c>
      <c r="C226" s="2916"/>
      <c r="D226" s="2917" t="s">
        <v>750</v>
      </c>
      <c r="E226" s="2918"/>
      <c r="F226" s="2918"/>
      <c r="G226" s="1211">
        <v>207459.3</v>
      </c>
      <c r="H226" s="1211"/>
      <c r="I226" s="1211">
        <v>188661.3</v>
      </c>
      <c r="J226" s="1211"/>
      <c r="K226" s="1211">
        <v>180435.3</v>
      </c>
      <c r="L226" s="1211"/>
      <c r="M226" s="1211">
        <f t="shared" si="14"/>
        <v>-11596</v>
      </c>
      <c r="N226" s="1211"/>
      <c r="O226" s="1211">
        <v>168839.3</v>
      </c>
      <c r="P226" s="2914"/>
      <c r="Q226" s="2907"/>
    </row>
    <row r="227" spans="2:17" s="2894" customFormat="1" ht="15.5">
      <c r="B227" s="2902">
        <v>55013</v>
      </c>
      <c r="C227" s="2916"/>
      <c r="D227" s="2937" t="s">
        <v>751</v>
      </c>
      <c r="E227" s="2918"/>
      <c r="F227" s="2918"/>
      <c r="G227" s="1211">
        <v>0</v>
      </c>
      <c r="H227" s="1211"/>
      <c r="I227" s="1211">
        <v>0</v>
      </c>
      <c r="J227" s="1211"/>
      <c r="K227" s="1211">
        <v>0</v>
      </c>
      <c r="L227" s="1211"/>
      <c r="M227" s="1211">
        <f t="shared" si="14"/>
        <v>0</v>
      </c>
      <c r="N227" s="1211"/>
      <c r="O227" s="1211">
        <v>0</v>
      </c>
      <c r="P227" s="2914"/>
      <c r="Q227" s="2907"/>
    </row>
    <row r="228" spans="2:17" s="2894" customFormat="1" ht="15.5">
      <c r="B228" s="2902">
        <v>55014</v>
      </c>
      <c r="C228" s="2916"/>
      <c r="D228" s="2917" t="s">
        <v>752</v>
      </c>
      <c r="E228" s="2918"/>
      <c r="F228" s="2918"/>
      <c r="G228" s="1211">
        <v>0</v>
      </c>
      <c r="H228" s="1211"/>
      <c r="I228" s="1211">
        <v>0</v>
      </c>
      <c r="J228" s="1211"/>
      <c r="K228" s="1211">
        <v>0</v>
      </c>
      <c r="L228" s="1211"/>
      <c r="M228" s="1211">
        <f t="shared" si="14"/>
        <v>0</v>
      </c>
      <c r="N228" s="1211"/>
      <c r="O228" s="1211">
        <v>0</v>
      </c>
      <c r="P228" s="2914"/>
      <c r="Q228" s="2907"/>
    </row>
    <row r="229" spans="2:17" s="2894" customFormat="1" ht="15.5">
      <c r="B229" s="2902">
        <v>55015</v>
      </c>
      <c r="C229" s="2916"/>
      <c r="D229" s="2937" t="s">
        <v>753</v>
      </c>
      <c r="E229" s="2918"/>
      <c r="F229" s="2918"/>
      <c r="G229" s="1211">
        <v>0</v>
      </c>
      <c r="H229" s="1211"/>
      <c r="I229" s="1211">
        <v>0</v>
      </c>
      <c r="J229" s="1211"/>
      <c r="K229" s="1211">
        <v>0</v>
      </c>
      <c r="L229" s="1211"/>
      <c r="M229" s="1211">
        <f t="shared" si="14"/>
        <v>0</v>
      </c>
      <c r="N229" s="1211"/>
      <c r="O229" s="1211">
        <v>0</v>
      </c>
      <c r="P229" s="2914"/>
      <c r="Q229" s="2907"/>
    </row>
    <row r="230" spans="2:17" s="2894" customFormat="1" ht="15.5">
      <c r="B230" s="2902">
        <v>55016</v>
      </c>
      <c r="C230" s="2916"/>
      <c r="D230" s="2937" t="s">
        <v>754</v>
      </c>
      <c r="E230" s="2918"/>
      <c r="F230" s="2918"/>
      <c r="G230" s="1211">
        <v>1514610.99</v>
      </c>
      <c r="H230" s="1211"/>
      <c r="I230" s="1211">
        <v>1521357.13</v>
      </c>
      <c r="J230" s="1211"/>
      <c r="K230" s="1211">
        <v>1588350.5</v>
      </c>
      <c r="L230" s="1211"/>
      <c r="M230" s="1211">
        <f t="shared" si="14"/>
        <v>-77182.2</v>
      </c>
      <c r="N230" s="1211"/>
      <c r="O230" s="1211">
        <v>1511168.3</v>
      </c>
      <c r="P230" s="2914"/>
      <c r="Q230" s="2907"/>
    </row>
    <row r="231" spans="2:17" s="2894" customFormat="1" ht="15.5">
      <c r="B231" s="2902">
        <v>55017</v>
      </c>
      <c r="C231" s="2916"/>
      <c r="D231" s="2937" t="s">
        <v>755</v>
      </c>
      <c r="E231" s="2918"/>
      <c r="F231" s="2918"/>
      <c r="G231" s="1211">
        <v>662969.71</v>
      </c>
      <c r="H231" s="1211"/>
      <c r="I231" s="1211">
        <v>521118.5</v>
      </c>
      <c r="J231" s="1211"/>
      <c r="K231" s="1211">
        <v>502274.59</v>
      </c>
      <c r="L231" s="1211"/>
      <c r="M231" s="1211">
        <f t="shared" si="14"/>
        <v>-18849.060000000001</v>
      </c>
      <c r="N231" s="1211"/>
      <c r="O231" s="1211">
        <v>483425.53</v>
      </c>
      <c r="P231" s="2914"/>
      <c r="Q231" s="2907"/>
    </row>
    <row r="232" spans="2:17" s="2894" customFormat="1" ht="15.5">
      <c r="B232" s="2902">
        <v>55018</v>
      </c>
      <c r="C232" s="2916"/>
      <c r="D232" s="2937" t="s">
        <v>756</v>
      </c>
      <c r="E232" s="2918"/>
      <c r="F232" s="2918"/>
      <c r="G232" s="1211">
        <v>0</v>
      </c>
      <c r="H232" s="1211"/>
      <c r="I232" s="1211">
        <v>0</v>
      </c>
      <c r="J232" s="1211"/>
      <c r="K232" s="1211">
        <v>0</v>
      </c>
      <c r="L232" s="1211"/>
      <c r="M232" s="1211">
        <f t="shared" si="14"/>
        <v>0</v>
      </c>
      <c r="N232" s="1211"/>
      <c r="O232" s="1211">
        <v>0</v>
      </c>
      <c r="P232" s="2914"/>
      <c r="Q232" s="2907"/>
    </row>
    <row r="233" spans="2:17" s="2894" customFormat="1" ht="15.5">
      <c r="B233" s="2902">
        <v>55019</v>
      </c>
      <c r="C233" s="2916"/>
      <c r="D233" s="2937" t="s">
        <v>757</v>
      </c>
      <c r="E233" s="2918"/>
      <c r="F233" s="2918"/>
      <c r="G233" s="1211">
        <v>0</v>
      </c>
      <c r="H233" s="1211"/>
      <c r="I233" s="1211">
        <v>0</v>
      </c>
      <c r="J233" s="1211"/>
      <c r="K233" s="1211">
        <v>0</v>
      </c>
      <c r="L233" s="1211"/>
      <c r="M233" s="1211">
        <f t="shared" si="14"/>
        <v>0</v>
      </c>
      <c r="N233" s="1211"/>
      <c r="O233" s="1211">
        <v>0</v>
      </c>
      <c r="P233" s="2914"/>
      <c r="Q233" s="2907"/>
    </row>
    <row r="234" spans="2:17" s="2894" customFormat="1" ht="15.5">
      <c r="B234" s="2902">
        <v>55020</v>
      </c>
      <c r="C234" s="2916"/>
      <c r="D234" s="2937" t="s">
        <v>758</v>
      </c>
      <c r="E234" s="2918"/>
      <c r="F234" s="2918"/>
      <c r="G234" s="1211">
        <v>73597486.689999998</v>
      </c>
      <c r="H234" s="1211"/>
      <c r="I234" s="1211">
        <v>76569652.790000007</v>
      </c>
      <c r="J234" s="1211"/>
      <c r="K234" s="1211">
        <v>81282398.640000001</v>
      </c>
      <c r="L234" s="1211"/>
      <c r="M234" s="1211">
        <f t="shared" si="14"/>
        <v>785542.64</v>
      </c>
      <c r="N234" s="1211"/>
      <c r="O234" s="1211">
        <v>82067941.280000001</v>
      </c>
      <c r="P234" s="2914"/>
      <c r="Q234" s="2907"/>
    </row>
    <row r="235" spans="2:17" s="2894" customFormat="1" ht="15.5">
      <c r="B235" s="2902">
        <v>55021</v>
      </c>
      <c r="C235" s="2916"/>
      <c r="D235" s="2937" t="s">
        <v>759</v>
      </c>
      <c r="E235" s="2918"/>
      <c r="F235" s="2918"/>
      <c r="G235" s="1211">
        <v>9055539.6999999993</v>
      </c>
      <c r="H235" s="1211"/>
      <c r="I235" s="1211">
        <v>9439780.8499999996</v>
      </c>
      <c r="J235" s="1211"/>
      <c r="K235" s="1211">
        <v>9953930.3699999992</v>
      </c>
      <c r="L235" s="1211"/>
      <c r="M235" s="1211">
        <f t="shared" si="14"/>
        <v>394509</v>
      </c>
      <c r="N235" s="1211"/>
      <c r="O235" s="1211">
        <v>10348439.369999999</v>
      </c>
      <c r="P235" s="2914"/>
      <c r="Q235" s="2907"/>
    </row>
    <row r="236" spans="2:17" s="2894" customFormat="1" ht="15.5">
      <c r="B236" s="2902">
        <v>55022</v>
      </c>
      <c r="C236" s="2916"/>
      <c r="D236" s="2917" t="s">
        <v>760</v>
      </c>
      <c r="E236" s="2918"/>
      <c r="F236" s="2918"/>
      <c r="G236" s="1211">
        <v>12933909.6</v>
      </c>
      <c r="H236" s="1211"/>
      <c r="I236" s="1211">
        <v>14919494.119999999</v>
      </c>
      <c r="J236" s="1211"/>
      <c r="K236" s="1211">
        <v>18026847.719999999</v>
      </c>
      <c r="L236" s="1211"/>
      <c r="M236" s="1211">
        <f t="shared" si="14"/>
        <v>1987764.82</v>
      </c>
      <c r="N236" s="1211"/>
      <c r="O236" s="1211">
        <v>20014612.539999999</v>
      </c>
      <c r="P236" s="2914"/>
      <c r="Q236" s="2907"/>
    </row>
    <row r="237" spans="2:17" s="2894" customFormat="1" ht="15.5">
      <c r="B237" s="2902">
        <v>55052</v>
      </c>
      <c r="C237" s="2916"/>
      <c r="D237" s="2917" t="s">
        <v>761</v>
      </c>
      <c r="E237" s="2918"/>
      <c r="F237" s="2918"/>
      <c r="G237" s="1211">
        <v>73519.17</v>
      </c>
      <c r="H237" s="1211"/>
      <c r="I237" s="1211">
        <v>0</v>
      </c>
      <c r="J237" s="1211"/>
      <c r="K237" s="1211">
        <v>0</v>
      </c>
      <c r="L237" s="1211"/>
      <c r="M237" s="1211">
        <f t="shared" si="14"/>
        <v>0</v>
      </c>
      <c r="N237" s="1211"/>
      <c r="O237" s="1211">
        <v>0</v>
      </c>
      <c r="P237" s="2914"/>
      <c r="Q237" s="2907"/>
    </row>
    <row r="238" spans="2:17" s="2894" customFormat="1" ht="15.5">
      <c r="B238" s="2902">
        <v>55053</v>
      </c>
      <c r="C238" s="2916"/>
      <c r="D238" s="2937" t="s">
        <v>762</v>
      </c>
      <c r="E238" s="2918"/>
      <c r="F238" s="2918"/>
      <c r="G238" s="1211">
        <v>0</v>
      </c>
      <c r="H238" s="1211"/>
      <c r="I238" s="1211">
        <v>0</v>
      </c>
      <c r="J238" s="1211"/>
      <c r="K238" s="1211">
        <v>0</v>
      </c>
      <c r="L238" s="1211"/>
      <c r="M238" s="1211">
        <f t="shared" si="14"/>
        <v>0</v>
      </c>
      <c r="N238" s="1211"/>
      <c r="O238" s="1211">
        <v>0</v>
      </c>
      <c r="P238" s="2914"/>
      <c r="Q238" s="2907"/>
    </row>
    <row r="239" spans="2:17" s="2894" customFormat="1" ht="15.5">
      <c r="B239" s="2902">
        <v>55056</v>
      </c>
      <c r="C239" s="2916"/>
      <c r="D239" s="2937" t="s">
        <v>763</v>
      </c>
      <c r="E239" s="2918"/>
      <c r="F239" s="2918"/>
      <c r="G239" s="1211">
        <v>0</v>
      </c>
      <c r="H239" s="1211"/>
      <c r="I239" s="1211">
        <v>0</v>
      </c>
      <c r="J239" s="1211"/>
      <c r="K239" s="1211">
        <v>0</v>
      </c>
      <c r="L239" s="1211"/>
      <c r="M239" s="1211">
        <f t="shared" si="14"/>
        <v>0</v>
      </c>
      <c r="N239" s="1211"/>
      <c r="O239" s="1211">
        <v>0</v>
      </c>
      <c r="P239" s="2914"/>
      <c r="Q239" s="2907"/>
    </row>
    <row r="240" spans="2:17" s="2894" customFormat="1" ht="15.5">
      <c r="B240" s="2902">
        <v>55057</v>
      </c>
      <c r="C240" s="2916"/>
      <c r="D240" s="2937" t="s">
        <v>764</v>
      </c>
      <c r="E240" s="2918"/>
      <c r="F240" s="2918"/>
      <c r="G240" s="1211">
        <v>18460.34</v>
      </c>
      <c r="H240" s="1211"/>
      <c r="I240" s="1211">
        <v>0</v>
      </c>
      <c r="J240" s="1211"/>
      <c r="K240" s="1211">
        <v>475146.08</v>
      </c>
      <c r="L240" s="1211"/>
      <c r="M240" s="1211">
        <f t="shared" si="14"/>
        <v>-341452.73</v>
      </c>
      <c r="N240" s="1211"/>
      <c r="O240" s="1211">
        <v>133693.35</v>
      </c>
      <c r="P240" s="2914"/>
      <c r="Q240" s="2907"/>
    </row>
    <row r="241" spans="2:17" s="2894" customFormat="1" ht="15.5">
      <c r="B241" s="2902">
        <v>55058</v>
      </c>
      <c r="C241" s="2916"/>
      <c r="D241" s="2937" t="s">
        <v>765</v>
      </c>
      <c r="E241" s="2918"/>
      <c r="F241" s="2918"/>
      <c r="G241" s="1211">
        <v>1674062.39</v>
      </c>
      <c r="H241" s="1211"/>
      <c r="I241" s="1211">
        <v>2087246.37</v>
      </c>
      <c r="J241" s="1211"/>
      <c r="K241" s="1211">
        <v>2433275.59</v>
      </c>
      <c r="L241" s="1211"/>
      <c r="M241" s="1211">
        <f t="shared" si="14"/>
        <v>179238.37</v>
      </c>
      <c r="N241" s="1211"/>
      <c r="O241" s="1211">
        <v>2612513.96</v>
      </c>
      <c r="P241" s="2914"/>
      <c r="Q241" s="2907"/>
    </row>
    <row r="242" spans="2:17" s="2894" customFormat="1" ht="15.5">
      <c r="B242" s="2902">
        <v>55059</v>
      </c>
      <c r="C242" s="2916"/>
      <c r="D242" s="2939" t="s">
        <v>1258</v>
      </c>
      <c r="E242" s="2918"/>
      <c r="F242" s="2918"/>
      <c r="G242" s="1211">
        <v>11275561.470000001</v>
      </c>
      <c r="H242" s="1211"/>
      <c r="I242" s="1211">
        <v>11251663.720000001</v>
      </c>
      <c r="J242" s="1211"/>
      <c r="K242" s="1211">
        <v>11338641.98</v>
      </c>
      <c r="L242" s="1211"/>
      <c r="M242" s="1211">
        <f t="shared" ref="M242" si="15">ROUND(SUM(O242)-SUM(K242),2)</f>
        <v>-264245.21999999997</v>
      </c>
      <c r="N242" s="1211"/>
      <c r="O242" s="1211">
        <v>11074396.76</v>
      </c>
      <c r="P242" s="2914"/>
      <c r="Q242" s="2907"/>
    </row>
    <row r="243" spans="2:17" s="2894" customFormat="1" ht="15.5">
      <c r="B243" s="2902">
        <v>55060</v>
      </c>
      <c r="C243" s="2916"/>
      <c r="D243" s="2917" t="s">
        <v>766</v>
      </c>
      <c r="E243" s="2918"/>
      <c r="F243" s="2918"/>
      <c r="G243" s="1211">
        <v>5319415.9400000004</v>
      </c>
      <c r="H243" s="1211"/>
      <c r="I243" s="1211">
        <v>7185342.6399999997</v>
      </c>
      <c r="J243" s="1211"/>
      <c r="K243" s="1211">
        <v>4903094.05</v>
      </c>
      <c r="L243" s="1211"/>
      <c r="M243" s="1211">
        <f t="shared" si="14"/>
        <v>-367596.01</v>
      </c>
      <c r="N243" s="1211"/>
      <c r="O243" s="1211">
        <v>4535498.04</v>
      </c>
      <c r="P243" s="2914"/>
      <c r="Q243" s="2907"/>
    </row>
    <row r="244" spans="2:17" s="2894" customFormat="1" ht="15.5">
      <c r="B244" s="2902">
        <v>55061</v>
      </c>
      <c r="C244" s="2916"/>
      <c r="D244" s="2917" t="s">
        <v>767</v>
      </c>
      <c r="E244" s="2918"/>
      <c r="F244" s="2918"/>
      <c r="G244" s="1211">
        <v>1445258.44</v>
      </c>
      <c r="H244" s="1211"/>
      <c r="I244" s="1211">
        <v>1445258.44</v>
      </c>
      <c r="J244" s="1211"/>
      <c r="K244" s="1211">
        <v>1246980.3400000001</v>
      </c>
      <c r="L244" s="1211"/>
      <c r="M244" s="1211">
        <f t="shared" si="14"/>
        <v>0</v>
      </c>
      <c r="N244" s="1211"/>
      <c r="O244" s="1211">
        <v>1246980.3400000001</v>
      </c>
      <c r="P244" s="2914"/>
      <c r="Q244" s="2907"/>
    </row>
    <row r="245" spans="2:17" s="2894" customFormat="1" ht="15.5">
      <c r="B245" s="2902">
        <v>55062</v>
      </c>
      <c r="C245" s="2916"/>
      <c r="D245" s="2937" t="s">
        <v>768</v>
      </c>
      <c r="E245" s="2918"/>
      <c r="F245" s="2918"/>
      <c r="G245" s="1211">
        <v>43326143.009999998</v>
      </c>
      <c r="H245" s="1211"/>
      <c r="I245" s="1211">
        <v>49321855.090000004</v>
      </c>
      <c r="J245" s="1211"/>
      <c r="K245" s="1211">
        <v>49321855.090000004</v>
      </c>
      <c r="L245" s="1211"/>
      <c r="M245" s="1211">
        <f t="shared" si="14"/>
        <v>-491037.75</v>
      </c>
      <c r="N245" s="1211"/>
      <c r="O245" s="1211">
        <v>48830817.340000004</v>
      </c>
      <c r="P245" s="2914"/>
      <c r="Q245" s="2907"/>
    </row>
    <row r="246" spans="2:17" s="2894" customFormat="1" ht="15.5">
      <c r="B246" s="2902">
        <v>55066</v>
      </c>
      <c r="C246" s="2916"/>
      <c r="D246" s="2937" t="s">
        <v>769</v>
      </c>
      <c r="E246" s="2918"/>
      <c r="F246" s="2918"/>
      <c r="G246" s="1211">
        <v>1261584.27</v>
      </c>
      <c r="H246" s="1211"/>
      <c r="I246" s="1211">
        <v>1261584.27</v>
      </c>
      <c r="J246" s="1211"/>
      <c r="K246" s="1211">
        <v>1261584.27</v>
      </c>
      <c r="L246" s="1211"/>
      <c r="M246" s="1211">
        <f t="shared" si="14"/>
        <v>0</v>
      </c>
      <c r="N246" s="1211"/>
      <c r="O246" s="1211">
        <v>1261584.27</v>
      </c>
      <c r="P246" s="2914"/>
      <c r="Q246" s="2907"/>
    </row>
    <row r="247" spans="2:17" s="2894" customFormat="1" ht="15.5">
      <c r="B247" s="2902">
        <v>55067</v>
      </c>
      <c r="C247" s="2916"/>
      <c r="D247" s="2937" t="s">
        <v>770</v>
      </c>
      <c r="E247" s="2918"/>
      <c r="F247" s="2918"/>
      <c r="G247" s="1211">
        <v>170986.11</v>
      </c>
      <c r="H247" s="1211"/>
      <c r="I247" s="1211">
        <v>166342.91</v>
      </c>
      <c r="J247" s="1211"/>
      <c r="K247" s="1211">
        <v>182141.33</v>
      </c>
      <c r="L247" s="1211"/>
      <c r="M247" s="1211">
        <f t="shared" si="14"/>
        <v>24871.64</v>
      </c>
      <c r="N247" s="1211"/>
      <c r="O247" s="1211">
        <v>207012.97</v>
      </c>
      <c r="P247" s="2914"/>
      <c r="Q247" s="2907"/>
    </row>
    <row r="248" spans="2:17" s="2894" customFormat="1" ht="15.5">
      <c r="B248" s="2902">
        <v>55069</v>
      </c>
      <c r="C248" s="2916"/>
      <c r="D248" s="2937" t="s">
        <v>771</v>
      </c>
      <c r="E248" s="2918"/>
      <c r="F248" s="2918"/>
      <c r="G248" s="1211">
        <v>74973272.590000004</v>
      </c>
      <c r="H248" s="1211"/>
      <c r="I248" s="1211">
        <v>69365379.430000007</v>
      </c>
      <c r="J248" s="1211"/>
      <c r="K248" s="1211">
        <v>66381761.960000001</v>
      </c>
      <c r="L248" s="1211"/>
      <c r="M248" s="1211">
        <f t="shared" si="14"/>
        <v>22773720.640000001</v>
      </c>
      <c r="N248" s="1211"/>
      <c r="O248" s="1211">
        <v>89155482.599999994</v>
      </c>
      <c r="P248" s="2914"/>
      <c r="Q248" s="2907"/>
    </row>
    <row r="249" spans="2:17" s="2894" customFormat="1" ht="15.5">
      <c r="B249" s="2942">
        <v>55071</v>
      </c>
      <c r="C249" s="2916"/>
      <c r="D249" s="2937" t="s">
        <v>944</v>
      </c>
      <c r="E249" s="2918"/>
      <c r="F249" s="2918"/>
      <c r="G249" s="1211">
        <v>3663586.73</v>
      </c>
      <c r="H249" s="1211"/>
      <c r="I249" s="1211">
        <v>4169821.77</v>
      </c>
      <c r="J249" s="1211"/>
      <c r="K249" s="1211">
        <v>5190551.33</v>
      </c>
      <c r="L249" s="1211"/>
      <c r="M249" s="1211">
        <f t="shared" si="14"/>
        <v>510701.47</v>
      </c>
      <c r="N249" s="1211"/>
      <c r="O249" s="1211">
        <v>5701252.7999999998</v>
      </c>
      <c r="P249" s="2914"/>
      <c r="Q249" s="2907"/>
    </row>
    <row r="250" spans="2:17" s="2894" customFormat="1" ht="15.5">
      <c r="B250" s="2902">
        <v>55072</v>
      </c>
      <c r="C250" s="2916"/>
      <c r="D250" s="2937" t="s">
        <v>945</v>
      </c>
      <c r="E250" s="2918"/>
      <c r="F250" s="2918"/>
      <c r="G250" s="1211">
        <v>1752511.26</v>
      </c>
      <c r="H250" s="1211"/>
      <c r="I250" s="1211">
        <v>2628593.1800000002</v>
      </c>
      <c r="J250" s="1211"/>
      <c r="K250" s="1211">
        <v>4195382.43</v>
      </c>
      <c r="L250" s="1211"/>
      <c r="M250" s="1211">
        <f t="shared" si="14"/>
        <v>-1544287.98</v>
      </c>
      <c r="N250" s="1211"/>
      <c r="O250" s="1211">
        <v>2651094.4500000002</v>
      </c>
      <c r="P250" s="2914"/>
      <c r="Q250" s="2907"/>
    </row>
    <row r="251" spans="2:17" s="2894" customFormat="1" ht="15.5">
      <c r="B251" s="2942">
        <v>55073</v>
      </c>
      <c r="C251" s="2916"/>
      <c r="D251" s="2937" t="s">
        <v>946</v>
      </c>
      <c r="E251" s="2918"/>
      <c r="F251" s="2918"/>
      <c r="G251" s="1211">
        <v>0</v>
      </c>
      <c r="H251" s="1211"/>
      <c r="I251" s="1211">
        <v>0</v>
      </c>
      <c r="J251" s="1211"/>
      <c r="K251" s="1211">
        <v>0</v>
      </c>
      <c r="L251" s="1211"/>
      <c r="M251" s="1211">
        <f t="shared" si="14"/>
        <v>0</v>
      </c>
      <c r="N251" s="1211"/>
      <c r="O251" s="1211">
        <v>0</v>
      </c>
      <c r="P251" s="2914"/>
      <c r="Q251" s="2907"/>
    </row>
    <row r="252" spans="2:17" s="2894" customFormat="1" ht="15.5">
      <c r="B252" s="2942">
        <v>55074</v>
      </c>
      <c r="C252" s="2916"/>
      <c r="D252" s="2937" t="s">
        <v>1294</v>
      </c>
      <c r="E252" s="2918"/>
      <c r="F252" s="2918"/>
      <c r="G252" s="1211">
        <v>75398.419999999896</v>
      </c>
      <c r="H252" s="1211"/>
      <c r="I252" s="1211">
        <v>1167591.8400000001</v>
      </c>
      <c r="J252" s="1211"/>
      <c r="K252" s="1211">
        <v>1500691.21</v>
      </c>
      <c r="L252" s="1211"/>
      <c r="M252" s="1211">
        <f t="shared" ref="M252" si="16">ROUND(SUM(O252)-SUM(K252),2)</f>
        <v>436535.32</v>
      </c>
      <c r="N252" s="1211"/>
      <c r="O252" s="1211">
        <v>1937226.53</v>
      </c>
      <c r="P252" s="2914"/>
      <c r="Q252" s="2907"/>
    </row>
    <row r="253" spans="2:17" s="2894" customFormat="1" ht="15.5">
      <c r="B253" s="2902">
        <v>55251</v>
      </c>
      <c r="C253" s="2916"/>
      <c r="D253" s="2917" t="s">
        <v>772</v>
      </c>
      <c r="E253" s="2918"/>
      <c r="F253" s="2918"/>
      <c r="G253" s="1211">
        <v>9778854.7599999998</v>
      </c>
      <c r="H253" s="1211"/>
      <c r="I253" s="1211">
        <v>10004846.93</v>
      </c>
      <c r="J253" s="1211"/>
      <c r="K253" s="1211">
        <v>10301952.130000001</v>
      </c>
      <c r="L253" s="1211"/>
      <c r="M253" s="1211">
        <f t="shared" si="14"/>
        <v>229370.84</v>
      </c>
      <c r="N253" s="1211"/>
      <c r="O253" s="1211">
        <v>10531322.970000001</v>
      </c>
      <c r="P253" s="2914"/>
      <c r="Q253" s="2907"/>
    </row>
    <row r="254" spans="2:17" s="2894" customFormat="1" ht="15.5">
      <c r="B254" s="2902">
        <v>55252</v>
      </c>
      <c r="C254" s="2916"/>
      <c r="D254" s="2937" t="s">
        <v>773</v>
      </c>
      <c r="E254" s="2918"/>
      <c r="F254" s="2918"/>
      <c r="G254" s="1211">
        <v>41456353.950000003</v>
      </c>
      <c r="H254" s="1211"/>
      <c r="I254" s="1211">
        <v>43315717.18</v>
      </c>
      <c r="J254" s="1211"/>
      <c r="K254" s="1211">
        <v>46913337.299999997</v>
      </c>
      <c r="L254" s="1211"/>
      <c r="M254" s="1211">
        <f t="shared" si="14"/>
        <v>3129130.14</v>
      </c>
      <c r="N254" s="1211"/>
      <c r="O254" s="1211">
        <v>50042467.439999998</v>
      </c>
      <c r="P254" s="2914"/>
      <c r="Q254" s="2907"/>
    </row>
    <row r="255" spans="2:17" s="2894" customFormat="1" ht="15.5">
      <c r="B255" s="2902">
        <v>55300</v>
      </c>
      <c r="C255" s="2916"/>
      <c r="D255" s="2917" t="s">
        <v>774</v>
      </c>
      <c r="E255" s="2918"/>
      <c r="F255" s="2918"/>
      <c r="G255" s="1211">
        <v>3145790.06</v>
      </c>
      <c r="H255" s="1211"/>
      <c r="I255" s="1211">
        <v>4178409.64</v>
      </c>
      <c r="J255" s="1211"/>
      <c r="K255" s="1211">
        <v>5653025.6900000004</v>
      </c>
      <c r="L255" s="1211"/>
      <c r="M255" s="1211">
        <f t="shared" si="14"/>
        <v>-5653025.6900000004</v>
      </c>
      <c r="N255" s="1211"/>
      <c r="O255" s="1211">
        <v>0</v>
      </c>
      <c r="P255" s="2914"/>
      <c r="Q255" s="2907"/>
    </row>
    <row r="256" spans="2:17" s="2894" customFormat="1" ht="15.5">
      <c r="B256" s="2902">
        <v>55301</v>
      </c>
      <c r="C256" s="2916"/>
      <c r="D256" s="2917" t="s">
        <v>775</v>
      </c>
      <c r="E256" s="2918"/>
      <c r="F256" s="2918"/>
      <c r="G256" s="1211">
        <v>4504814.9800000004</v>
      </c>
      <c r="H256" s="1211"/>
      <c r="I256" s="1211">
        <v>4599865.62</v>
      </c>
      <c r="J256" s="1211"/>
      <c r="K256" s="1211">
        <v>4723682.87</v>
      </c>
      <c r="L256" s="1211"/>
      <c r="M256" s="1211">
        <f t="shared" si="14"/>
        <v>95050.64</v>
      </c>
      <c r="N256" s="1211"/>
      <c r="O256" s="1211">
        <v>4818733.51</v>
      </c>
      <c r="P256" s="2914"/>
      <c r="Q256" s="2907"/>
    </row>
    <row r="257" spans="2:17" s="2894" customFormat="1" ht="15.5">
      <c r="B257" s="2902">
        <v>55350</v>
      </c>
      <c r="C257" s="2927"/>
      <c r="D257" s="2917" t="s">
        <v>776</v>
      </c>
      <c r="E257" s="2901"/>
      <c r="F257" s="2901"/>
      <c r="G257" s="1211">
        <v>40232673.850000001</v>
      </c>
      <c r="H257" s="1211"/>
      <c r="I257" s="1211">
        <v>41443662.369999997</v>
      </c>
      <c r="J257" s="1211"/>
      <c r="K257" s="1211">
        <v>44083398.149999999</v>
      </c>
      <c r="L257" s="1211"/>
      <c r="M257" s="1211">
        <f t="shared" si="14"/>
        <v>2540742.02</v>
      </c>
      <c r="N257" s="1211"/>
      <c r="O257" s="1211">
        <v>46624140.170000002</v>
      </c>
      <c r="P257" s="2914"/>
      <c r="Q257" s="2907"/>
    </row>
    <row r="258" spans="2:17" s="2894" customFormat="1" ht="16" thickBot="1">
      <c r="B258" s="2964"/>
      <c r="C258" s="2896"/>
      <c r="D258" s="2897" t="s">
        <v>777</v>
      </c>
      <c r="E258" s="2898"/>
      <c r="F258" s="2898"/>
      <c r="G258" s="1580">
        <f>ROUND(SUM(G215:G257),2)</f>
        <v>381177262.88999999</v>
      </c>
      <c r="H258" s="1468"/>
      <c r="I258" s="1580">
        <f>ROUND(SUM(I215:I257),2)</f>
        <v>398614642.94</v>
      </c>
      <c r="J258" s="1468"/>
      <c r="K258" s="1580">
        <f>ROUND(SUM(K215:K257),2)</f>
        <v>414675327.02999997</v>
      </c>
      <c r="L258" s="1468"/>
      <c r="M258" s="1213">
        <f>ROUND(SUM(M215:M257),2)</f>
        <v>23986261.09</v>
      </c>
      <c r="N258" s="1468"/>
      <c r="O258" s="1580">
        <f>ROUND(SUM(O215:O257),2)</f>
        <v>438661588.12</v>
      </c>
      <c r="P258" s="2914"/>
      <c r="Q258" s="2907"/>
    </row>
    <row r="259" spans="2:17" s="2894" customFormat="1" ht="16" thickTop="1">
      <c r="B259" s="2943"/>
      <c r="C259" s="2927"/>
      <c r="D259" s="2965"/>
      <c r="E259" s="2901"/>
      <c r="F259" s="2901"/>
      <c r="G259" s="1211"/>
      <c r="H259" s="2933"/>
      <c r="I259" s="1211"/>
      <c r="J259" s="2933"/>
      <c r="K259" s="1211"/>
      <c r="L259" s="2933"/>
      <c r="M259" s="1211"/>
      <c r="N259" s="2933"/>
      <c r="O259" s="1211"/>
      <c r="P259" s="2914"/>
      <c r="Q259" s="2907"/>
    </row>
    <row r="260" spans="2:17" s="2894" customFormat="1" ht="16" thickBot="1">
      <c r="B260" s="2943"/>
      <c r="C260" s="2927"/>
      <c r="D260" s="2965"/>
      <c r="E260" s="2901"/>
      <c r="F260" s="2901"/>
      <c r="G260" s="1211"/>
      <c r="H260" s="2933"/>
      <c r="I260" s="1211"/>
      <c r="J260" s="2933"/>
      <c r="K260" s="1211"/>
      <c r="L260" s="2933"/>
      <c r="M260" s="1211"/>
      <c r="N260" s="2933"/>
      <c r="O260" s="1211"/>
      <c r="P260" s="2914"/>
      <c r="Q260" s="2907"/>
    </row>
    <row r="261" spans="2:17" s="2894" customFormat="1" ht="16" thickBot="1">
      <c r="B261" s="2964"/>
      <c r="C261" s="2966"/>
      <c r="D261" s="2967" t="s">
        <v>778</v>
      </c>
      <c r="E261" s="2898"/>
      <c r="F261" s="2968"/>
      <c r="G261" s="1581">
        <f>ROUND(SUM(G11+G102+G188+G202+G207+G212+G258),2)</f>
        <v>3500645350.96</v>
      </c>
      <c r="H261" s="1470"/>
      <c r="I261" s="1581">
        <f>ROUND(SUM(I11+I102+I188+I202+I207+I212+I258),2)</f>
        <v>3684800337.5100002</v>
      </c>
      <c r="J261" s="1470"/>
      <c r="K261" s="1581">
        <f>ROUND(SUM(K11+K102+K188+K202+K207+K212+K258),2)</f>
        <v>8136743515.3500004</v>
      </c>
      <c r="L261" s="1470"/>
      <c r="M261" s="1469">
        <f>ROUND(SUM(M11+M102+M188+M202+M207+M212+M258),2)</f>
        <v>-2684146765.6900001</v>
      </c>
      <c r="N261" s="1470"/>
      <c r="O261" s="1581">
        <f>ROUND(SUM(O11+O102+O188+O202+O207+O212+O258),2)</f>
        <v>5452596749.6599998</v>
      </c>
      <c r="P261" s="2914"/>
      <c r="Q261" s="2907"/>
    </row>
    <row r="262" spans="2:17" s="2894" customFormat="1" ht="15.5">
      <c r="B262" s="2943"/>
      <c r="C262" s="2927"/>
      <c r="D262" s="2965"/>
      <c r="E262" s="2901"/>
      <c r="F262" s="2901"/>
      <c r="G262" s="2529"/>
      <c r="H262" s="1485"/>
      <c r="I262" s="1212"/>
      <c r="J262" s="1485"/>
      <c r="K262" s="1212"/>
      <c r="L262" s="1485"/>
      <c r="M262" s="1215"/>
      <c r="N262" s="2927"/>
      <c r="O262" s="1215"/>
      <c r="P262" s="2914"/>
    </row>
    <row r="263" spans="2:17" s="2894" customFormat="1" ht="15.5">
      <c r="B263" s="3660" t="s">
        <v>854</v>
      </c>
      <c r="C263" s="2161" t="s">
        <v>1483</v>
      </c>
      <c r="D263" s="2969"/>
      <c r="E263" s="2970"/>
      <c r="F263" s="2970"/>
      <c r="G263" s="1212"/>
      <c r="H263" s="2971"/>
      <c r="I263" s="1216"/>
      <c r="J263" s="2972"/>
      <c r="K263" s="1216"/>
      <c r="L263" s="2973"/>
      <c r="M263" s="1216"/>
      <c r="N263" s="2973"/>
      <c r="O263" s="1216"/>
      <c r="P263" s="2914"/>
    </row>
    <row r="264" spans="2:17" s="2894" customFormat="1" ht="15.5">
      <c r="B264" s="2974"/>
      <c r="C264" s="808" t="s">
        <v>779</v>
      </c>
      <c r="D264" s="2975"/>
      <c r="E264" s="808"/>
      <c r="F264" s="808"/>
      <c r="G264" s="1216"/>
      <c r="H264" s="2976"/>
      <c r="I264" s="1216"/>
      <c r="J264" s="2973"/>
      <c r="K264" s="1216"/>
      <c r="L264" s="2973"/>
      <c r="M264" s="1216"/>
      <c r="N264" s="2973"/>
      <c r="O264" s="1216"/>
      <c r="P264" s="2914"/>
    </row>
    <row r="265" spans="2:17" s="2894" customFormat="1" ht="15.5">
      <c r="B265" s="2974"/>
      <c r="C265" s="808" t="s">
        <v>780</v>
      </c>
      <c r="D265" s="2977"/>
      <c r="E265" s="808"/>
      <c r="F265" s="808"/>
      <c r="G265" s="1216"/>
      <c r="H265" s="2976"/>
      <c r="I265" s="1217"/>
      <c r="J265" s="2978"/>
      <c r="K265" s="1217"/>
      <c r="L265" s="2978"/>
      <c r="M265" s="1217"/>
      <c r="N265" s="2978"/>
      <c r="O265" s="1217"/>
      <c r="P265" s="2914"/>
    </row>
    <row r="266" spans="2:17" s="2894" customFormat="1" ht="15.5">
      <c r="B266" s="2974"/>
      <c r="C266" s="808" t="s">
        <v>781</v>
      </c>
      <c r="D266" s="2977"/>
      <c r="E266" s="808"/>
      <c r="F266" s="808"/>
      <c r="G266" s="1217"/>
      <c r="H266" s="2976"/>
      <c r="I266" s="1217"/>
      <c r="J266" s="2978"/>
      <c r="K266" s="1217"/>
      <c r="L266" s="2978"/>
      <c r="M266" s="1217"/>
      <c r="N266" s="2978"/>
      <c r="O266" s="1217"/>
      <c r="P266" s="2914"/>
    </row>
    <row r="267" spans="2:17" s="2894" customFormat="1" ht="15.5">
      <c r="B267" s="2974"/>
      <c r="C267" s="808" t="s">
        <v>782</v>
      </c>
      <c r="D267" s="2977"/>
      <c r="E267" s="808"/>
      <c r="F267" s="808"/>
      <c r="G267" s="1217"/>
      <c r="H267" s="2976"/>
      <c r="I267" s="2979"/>
      <c r="J267" s="2980"/>
      <c r="K267" s="2979"/>
      <c r="L267" s="2980"/>
      <c r="M267" s="2979"/>
      <c r="N267" s="2980"/>
      <c r="O267" s="2979"/>
      <c r="P267" s="2914"/>
    </row>
    <row r="268" spans="2:17" s="2894" customFormat="1" ht="15.5">
      <c r="B268" s="2981"/>
      <c r="C268" s="808" t="s">
        <v>1246</v>
      </c>
      <c r="D268" s="2977"/>
      <c r="E268" s="808"/>
      <c r="F268" s="808"/>
      <c r="G268" s="2979"/>
      <c r="H268" s="2976"/>
      <c r="I268" s="2979"/>
      <c r="J268" s="2980"/>
      <c r="K268" s="2979"/>
      <c r="L268" s="2980"/>
      <c r="M268" s="2979"/>
      <c r="N268" s="2980"/>
      <c r="O268" s="2979"/>
      <c r="P268" s="2924"/>
    </row>
    <row r="269" spans="2:17" s="2894" customFormat="1" ht="15.5">
      <c r="B269" s="2981"/>
      <c r="C269" s="2976" t="s">
        <v>855</v>
      </c>
      <c r="D269" s="2982"/>
      <c r="E269" s="2976"/>
      <c r="F269" s="2976"/>
      <c r="G269" s="2979"/>
      <c r="H269" s="2976"/>
      <c r="I269" s="2979"/>
      <c r="J269" s="2980"/>
      <c r="K269" s="2979"/>
      <c r="L269" s="2980"/>
      <c r="M269" s="2979"/>
      <c r="N269" s="2980"/>
      <c r="O269" s="2979"/>
      <c r="P269" s="2914"/>
    </row>
    <row r="270" spans="2:17" s="2894" customFormat="1" ht="15.5">
      <c r="B270" s="2983" t="s">
        <v>113</v>
      </c>
      <c r="C270" s="2970" t="s">
        <v>1226</v>
      </c>
      <c r="D270" s="2969"/>
      <c r="E270" s="2976"/>
      <c r="F270" s="2976"/>
      <c r="G270" s="2979"/>
      <c r="H270" s="2976"/>
      <c r="I270" s="2984"/>
      <c r="J270" s="2985"/>
      <c r="K270" s="2984"/>
      <c r="L270" s="2986"/>
      <c r="M270" s="2987"/>
      <c r="N270" s="2988"/>
      <c r="O270" s="3637"/>
      <c r="P270" s="2901"/>
    </row>
    <row r="271" spans="2:17" s="2894" customFormat="1" ht="15.5">
      <c r="B271" s="2989"/>
      <c r="C271" s="2984" t="s">
        <v>1227</v>
      </c>
      <c r="D271" s="807"/>
      <c r="E271" s="2976"/>
      <c r="F271" s="2976"/>
      <c r="G271" s="2984"/>
      <c r="H271" s="2976"/>
      <c r="I271" s="2984"/>
      <c r="J271" s="2985"/>
      <c r="K271" s="2984"/>
      <c r="L271" s="2986"/>
      <c r="M271" s="2987"/>
      <c r="N271" s="2988"/>
      <c r="O271" s="3637"/>
      <c r="P271" s="2947"/>
    </row>
    <row r="272" spans="2:17" s="2894" customFormat="1" ht="15.5">
      <c r="B272" s="2990" t="s">
        <v>853</v>
      </c>
      <c r="C272" s="2981" t="s">
        <v>967</v>
      </c>
      <c r="D272" s="807"/>
      <c r="E272" s="2991"/>
      <c r="F272" s="1436"/>
      <c r="G272" s="2984"/>
      <c r="H272" s="810"/>
      <c r="I272" s="808"/>
      <c r="J272" s="811"/>
      <c r="K272" s="808"/>
      <c r="L272" s="810"/>
      <c r="M272" s="809"/>
      <c r="N272" s="812"/>
      <c r="O272" s="2970"/>
      <c r="P272" s="2893"/>
    </row>
    <row r="273" spans="2:16" s="2894" customFormat="1" ht="15.5">
      <c r="B273" s="2992"/>
      <c r="C273" s="2993"/>
      <c r="D273" s="2895"/>
      <c r="E273" s="808"/>
      <c r="F273" s="808"/>
      <c r="G273" s="2984"/>
      <c r="H273" s="2895"/>
      <c r="I273" s="2895"/>
      <c r="J273" s="2895"/>
      <c r="K273" s="2895"/>
      <c r="L273" s="2895"/>
      <c r="M273" s="2895"/>
      <c r="N273" s="2895"/>
      <c r="O273" s="3638"/>
      <c r="P273" s="2976"/>
    </row>
    <row r="274" spans="2:16" s="2894" customFormat="1" ht="15.5">
      <c r="C274" s="2993"/>
      <c r="D274" s="2947"/>
      <c r="E274" s="2994"/>
      <c r="F274" s="2994"/>
      <c r="G274" s="2895"/>
      <c r="H274" s="2978"/>
      <c r="I274" s="2947"/>
      <c r="J274" s="2978"/>
      <c r="K274" s="2947"/>
      <c r="L274" s="2978"/>
      <c r="M274" s="2947"/>
      <c r="N274" s="2978"/>
      <c r="O274" s="3095"/>
      <c r="P274" s="2976"/>
    </row>
    <row r="275" spans="2:16" s="2894" customFormat="1" ht="15.5">
      <c r="C275" s="2993"/>
      <c r="D275" s="2947"/>
      <c r="E275" s="808"/>
      <c r="F275" s="808"/>
      <c r="G275" s="2995"/>
      <c r="H275" s="2995"/>
      <c r="I275" s="2995"/>
      <c r="J275" s="2995"/>
      <c r="K275" s="2995"/>
      <c r="L275" s="2995"/>
      <c r="M275" s="2995"/>
      <c r="N275" s="2995"/>
      <c r="O275" s="3639"/>
      <c r="P275" s="2976"/>
    </row>
    <row r="276" spans="2:16" s="2894" customFormat="1" ht="15.5">
      <c r="B276" s="2993"/>
      <c r="C276" s="2993"/>
      <c r="D276" s="2947"/>
      <c r="E276" s="808"/>
      <c r="F276" s="808"/>
      <c r="G276" s="2996"/>
      <c r="H276" s="2996"/>
      <c r="I276" s="2996"/>
      <c r="J276" s="2996"/>
      <c r="K276" s="2996"/>
      <c r="L276" s="2996"/>
      <c r="M276" s="2947"/>
      <c r="N276" s="2978"/>
      <c r="O276" s="3095"/>
      <c r="P276" s="2976"/>
    </row>
    <row r="277" spans="2:16" s="2894" customFormat="1" ht="15.5">
      <c r="B277" s="2993"/>
      <c r="C277" s="2993"/>
      <c r="D277" s="2947"/>
      <c r="E277" s="808"/>
      <c r="F277" s="808"/>
      <c r="G277" s="2996"/>
      <c r="H277" s="2996"/>
      <c r="I277" s="2996"/>
      <c r="J277" s="2996"/>
      <c r="K277" s="2996"/>
      <c r="L277" s="2996"/>
      <c r="M277" s="2947"/>
      <c r="N277" s="2978"/>
      <c r="O277" s="3095"/>
      <c r="P277" s="2976"/>
    </row>
    <row r="278" spans="2:16" s="2894" customFormat="1" ht="15.5">
      <c r="B278" s="2997"/>
      <c r="C278" s="2976"/>
      <c r="D278" s="2947"/>
      <c r="E278" s="808"/>
      <c r="F278" s="808"/>
      <c r="G278" s="2996"/>
      <c r="H278" s="2998"/>
      <c r="I278" s="2976"/>
      <c r="J278" s="2998"/>
      <c r="K278" s="2976"/>
      <c r="L278" s="2978"/>
      <c r="M278" s="2947"/>
      <c r="N278" s="2978"/>
      <c r="O278" s="3095"/>
      <c r="P278" s="2992"/>
    </row>
    <row r="279" spans="2:16" s="2894" customFormat="1" ht="15.5">
      <c r="B279" s="2999"/>
      <c r="C279" s="2976"/>
      <c r="D279" s="2947"/>
      <c r="E279" s="808"/>
      <c r="F279" s="808"/>
      <c r="G279" s="2976"/>
      <c r="H279" s="2998"/>
      <c r="I279" s="2976"/>
      <c r="J279" s="2998"/>
      <c r="K279" s="2976"/>
      <c r="L279" s="2978"/>
      <c r="M279" s="2947"/>
      <c r="N279" s="2978"/>
      <c r="O279" s="3095"/>
      <c r="P279" s="2992"/>
    </row>
    <row r="280" spans="2:16" s="2894" customFormat="1" ht="15.5">
      <c r="B280" s="2999"/>
      <c r="C280" s="2976"/>
      <c r="D280" s="2947"/>
      <c r="E280" s="808"/>
      <c r="F280" s="808"/>
      <c r="G280" s="2976"/>
      <c r="H280" s="2998"/>
      <c r="I280" s="2976"/>
      <c r="J280" s="2998"/>
      <c r="K280" s="2976"/>
      <c r="L280" s="2978"/>
      <c r="M280" s="807"/>
      <c r="N280" s="2973"/>
      <c r="O280" s="3640"/>
      <c r="P280" s="2992"/>
    </row>
    <row r="281" spans="2:16" s="2894" customFormat="1" ht="15.5">
      <c r="B281" s="2992"/>
      <c r="C281" s="2976"/>
      <c r="D281" s="2947"/>
      <c r="E281" s="2529"/>
      <c r="F281" s="2998"/>
      <c r="G281" s="2976"/>
      <c r="H281" s="2998"/>
      <c r="I281" s="2976"/>
      <c r="J281" s="2998"/>
      <c r="K281" s="2976"/>
      <c r="L281" s="2973"/>
      <c r="M281" s="807"/>
      <c r="N281" s="2973"/>
      <c r="O281" s="3640"/>
      <c r="P281" s="2992"/>
    </row>
    <row r="282" spans="2:16" s="2894" customFormat="1" ht="15.5">
      <c r="B282" s="2992"/>
      <c r="C282" s="2976"/>
      <c r="D282" s="2947"/>
      <c r="E282" s="2529"/>
      <c r="F282" s="2998"/>
      <c r="G282" s="2976"/>
      <c r="H282" s="2998"/>
      <c r="I282" s="2976"/>
      <c r="J282" s="2998"/>
      <c r="K282" s="2976"/>
      <c r="L282" s="2973"/>
      <c r="M282" s="3000"/>
      <c r="N282" s="3001"/>
      <c r="O282" s="3000"/>
      <c r="P282" s="2992"/>
    </row>
    <row r="283" spans="2:16" ht="15.5">
      <c r="B283" s="2992"/>
      <c r="C283" s="2976"/>
      <c r="D283" s="2947"/>
      <c r="E283" s="2529"/>
      <c r="F283" s="2998"/>
      <c r="G283" s="2976"/>
      <c r="H283" s="2998"/>
      <c r="I283" s="2976"/>
      <c r="J283" s="2998"/>
      <c r="K283" s="2976"/>
      <c r="L283" s="2973"/>
      <c r="M283" s="807"/>
      <c r="N283" s="2973"/>
      <c r="O283" s="3640"/>
      <c r="P283" s="2992"/>
    </row>
    <row r="284" spans="2:16" ht="15.5">
      <c r="G284" s="2976"/>
    </row>
    <row r="289" spans="3:12" ht="15.5">
      <c r="C289" s="2866"/>
      <c r="D289" s="2865"/>
      <c r="E289" s="2866"/>
      <c r="F289" s="2867"/>
      <c r="H289" s="3005"/>
      <c r="I289" s="3006"/>
      <c r="J289" s="3005"/>
      <c r="K289" s="3006"/>
      <c r="L289" s="3005"/>
    </row>
    <row r="290" spans="3:12" ht="15.5">
      <c r="C290" s="2866"/>
      <c r="D290" s="2865"/>
      <c r="E290" s="2866"/>
      <c r="F290" s="2867"/>
      <c r="G290" s="3006"/>
      <c r="H290" s="3005"/>
      <c r="I290" s="3006"/>
      <c r="J290" s="3005"/>
      <c r="K290" s="3006"/>
      <c r="L290" s="3005"/>
    </row>
    <row r="291" spans="3:12" ht="15.5">
      <c r="C291" s="2866"/>
      <c r="D291" s="2865"/>
      <c r="E291" s="2866"/>
      <c r="F291" s="2867"/>
      <c r="G291" s="3006"/>
      <c r="H291" s="3005"/>
      <c r="I291" s="3006"/>
      <c r="J291" s="3005"/>
      <c r="K291" s="3006"/>
      <c r="L291" s="3005"/>
    </row>
    <row r="292" spans="3:12" ht="15.5">
      <c r="C292" s="2866"/>
      <c r="D292" s="2865"/>
      <c r="E292" s="2866"/>
      <c r="F292" s="2867"/>
      <c r="G292" s="3006"/>
      <c r="H292" s="3005"/>
      <c r="I292" s="3006"/>
      <c r="J292" s="3005"/>
      <c r="K292" s="3006"/>
      <c r="L292" s="3005"/>
    </row>
    <row r="293" spans="3:12" ht="15.5">
      <c r="C293" s="2866"/>
      <c r="D293" s="2865"/>
      <c r="E293" s="2866"/>
      <c r="F293" s="2867"/>
      <c r="G293" s="3006"/>
      <c r="H293" s="3005"/>
      <c r="I293" s="3006"/>
      <c r="J293" s="3005"/>
      <c r="K293" s="3006"/>
      <c r="L293" s="3005"/>
    </row>
    <row r="294" spans="3:12">
      <c r="G294" s="3006"/>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69140625" defaultRowHeight="12.5"/>
  <cols>
    <col min="1" max="1" width="54.69140625" style="479" customWidth="1"/>
    <col min="2" max="2" width="21.69140625" style="1561" customWidth="1"/>
    <col min="3" max="3" width="1.69140625" style="1561" customWidth="1"/>
    <col min="4" max="4" width="17.07421875" style="1561" customWidth="1"/>
    <col min="5" max="5" width="1.69140625" style="1560" customWidth="1"/>
    <col min="6" max="6" width="16.69140625" style="1561" customWidth="1"/>
    <col min="7" max="7" width="1.69140625" style="1560" customWidth="1"/>
    <col min="8" max="8" width="19.69140625" style="1561" customWidth="1"/>
    <col min="9" max="9" width="1.69140625" style="1560" customWidth="1"/>
    <col min="10" max="10" width="18.69140625" style="1561" customWidth="1"/>
    <col min="11" max="11" width="1.69140625" style="1561" customWidth="1"/>
    <col min="12" max="12" width="13.69140625" style="1561" customWidth="1"/>
    <col min="13" max="13" width="1.69140625" style="1560" customWidth="1"/>
    <col min="14" max="14" width="13.69140625" style="1561" customWidth="1"/>
    <col min="15" max="15" width="1.69140625" style="1560" customWidth="1"/>
    <col min="16" max="16" width="13.69140625" style="1561" customWidth="1"/>
    <col min="17" max="17" width="1.69140625" style="1560" customWidth="1"/>
    <col min="18" max="18" width="13.69140625" style="1561" customWidth="1"/>
    <col min="19" max="19" width="1.69140625" style="1560" customWidth="1"/>
    <col min="20" max="20" width="13.69140625" style="1561" customWidth="1"/>
    <col min="21" max="21" width="1.69140625" style="1560" customWidth="1"/>
    <col min="22" max="22" width="13.69140625" style="1561" customWidth="1"/>
    <col min="23" max="23" width="1.69140625" style="1560" customWidth="1"/>
    <col min="24" max="24" width="13.69140625" style="1561" customWidth="1"/>
    <col min="25" max="25" width="1.69140625" style="1560" customWidth="1"/>
    <col min="26" max="26" width="18.69140625" style="404" customWidth="1"/>
    <col min="27" max="27" width="1.53515625" style="479" customWidth="1"/>
    <col min="28" max="28" width="18.69140625" style="479" bestFit="1" customWidth="1"/>
    <col min="29" max="29" width="12.69140625" style="479" bestFit="1" customWidth="1"/>
    <col min="30" max="16384" width="8.69140625" style="479"/>
  </cols>
  <sheetData>
    <row r="1" spans="1:40" ht="15.5">
      <c r="A1" s="935" t="s">
        <v>963</v>
      </c>
      <c r="B1" s="1306"/>
      <c r="C1" s="1306"/>
      <c r="D1" s="1306"/>
      <c r="E1" s="1306"/>
      <c r="F1" s="1306"/>
      <c r="G1" s="1306"/>
      <c r="H1" s="1306"/>
      <c r="I1" s="1306"/>
      <c r="J1" s="1306"/>
      <c r="K1" s="1306"/>
      <c r="L1" s="1306"/>
      <c r="M1" s="1306"/>
      <c r="N1" s="1306"/>
      <c r="O1" s="1306"/>
      <c r="P1" s="1306"/>
      <c r="Q1" s="1306"/>
      <c r="R1" s="1306"/>
      <c r="S1" s="1306"/>
      <c r="T1" s="1306"/>
      <c r="U1" s="1306"/>
      <c r="V1" s="1306"/>
      <c r="W1" s="1306"/>
      <c r="X1" s="1306"/>
      <c r="Y1" s="1306"/>
      <c r="Z1" s="1306"/>
      <c r="AA1" s="1306"/>
      <c r="AB1" s="1306"/>
      <c r="AC1" s="1306"/>
      <c r="AD1" s="1306"/>
      <c r="AE1" s="1306"/>
      <c r="AF1" s="1306"/>
      <c r="AG1" s="1306"/>
    </row>
    <row r="2" spans="1:40" ht="15.5">
      <c r="A2" s="935"/>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row>
    <row r="3" spans="1:40" ht="24" customHeight="1">
      <c r="A3" s="814" t="s">
        <v>0</v>
      </c>
      <c r="B3" s="476"/>
      <c r="C3" s="476"/>
      <c r="D3" s="477"/>
      <c r="E3" s="478"/>
      <c r="F3" s="477"/>
      <c r="G3" s="478"/>
      <c r="H3" s="477"/>
      <c r="I3" s="478"/>
      <c r="K3" s="476"/>
      <c r="L3" s="403"/>
      <c r="M3" s="476"/>
      <c r="N3" s="477"/>
      <c r="O3" s="478"/>
      <c r="P3" s="477"/>
      <c r="Q3" s="478"/>
      <c r="R3" s="477"/>
      <c r="S3" s="478"/>
      <c r="T3" s="477"/>
      <c r="U3" s="478"/>
      <c r="V3" s="477"/>
      <c r="W3" s="478"/>
      <c r="X3" s="477"/>
      <c r="Y3" s="478"/>
      <c r="Z3" s="804" t="s">
        <v>563</v>
      </c>
      <c r="AA3" s="476"/>
      <c r="AC3" s="476"/>
      <c r="AE3" s="476"/>
    </row>
    <row r="4" spans="1:40" ht="16.5">
      <c r="A4" s="814" t="s">
        <v>1381</v>
      </c>
      <c r="B4" s="1307"/>
      <c r="C4" s="1307"/>
      <c r="D4" s="480"/>
      <c r="E4" s="478"/>
      <c r="F4" s="1307"/>
      <c r="G4" s="478"/>
      <c r="H4" s="1307"/>
      <c r="I4" s="478"/>
      <c r="J4" s="1307"/>
      <c r="K4" s="1307"/>
      <c r="L4" s="1307"/>
      <c r="M4" s="481"/>
      <c r="N4" s="1307"/>
      <c r="O4" s="478"/>
      <c r="P4" s="1307"/>
      <c r="Q4" s="478"/>
      <c r="R4" s="1307"/>
      <c r="S4" s="478"/>
      <c r="T4" s="1307"/>
      <c r="U4" s="478"/>
      <c r="V4" s="1307"/>
      <c r="W4" s="478"/>
      <c r="X4" s="1307"/>
      <c r="Y4" s="478"/>
      <c r="Z4" s="1308"/>
      <c r="AA4" s="482"/>
      <c r="AC4" s="476"/>
    </row>
    <row r="5" spans="1:40" ht="16.5">
      <c r="A5" s="815" t="s">
        <v>1164</v>
      </c>
      <c r="B5" s="1307"/>
      <c r="C5" s="1307"/>
      <c r="D5" s="1307"/>
      <c r="E5" s="478"/>
      <c r="F5" s="1307"/>
      <c r="G5" s="478"/>
      <c r="H5" s="1307"/>
      <c r="I5" s="478"/>
      <c r="J5" s="1307"/>
      <c r="K5" s="1307"/>
      <c r="L5" s="1307"/>
      <c r="M5" s="481"/>
      <c r="N5" s="1307"/>
      <c r="O5" s="478"/>
      <c r="P5" s="1307"/>
      <c r="Q5" s="478"/>
      <c r="R5" s="1307"/>
      <c r="S5" s="478"/>
      <c r="T5" s="1307"/>
      <c r="U5" s="478"/>
      <c r="V5" s="1307"/>
      <c r="W5" s="478"/>
      <c r="X5" s="1307"/>
      <c r="Y5" s="478"/>
      <c r="Z5" s="1308"/>
    </row>
    <row r="6" spans="1:40" ht="18" customHeight="1">
      <c r="A6" s="483" t="str">
        <f>'Cashflow Governmental'!A6</f>
        <v xml:space="preserve">FISCAL YEAR 2020-2021   </v>
      </c>
      <c r="B6" s="1307"/>
      <c r="C6" s="1307"/>
      <c r="D6" s="485"/>
      <c r="E6" s="478"/>
      <c r="F6" s="1307"/>
      <c r="G6" s="478"/>
      <c r="H6" s="1307"/>
      <c r="I6" s="478"/>
      <c r="J6" s="1307"/>
      <c r="K6" s="1307"/>
      <c r="L6" s="1307"/>
      <c r="M6" s="481"/>
      <c r="N6" s="1307"/>
      <c r="O6" s="478"/>
      <c r="P6" s="1307"/>
      <c r="Q6" s="478"/>
      <c r="R6" s="1307"/>
      <c r="S6" s="478"/>
      <c r="T6" s="1307"/>
      <c r="U6" s="478"/>
      <c r="V6" s="1307"/>
      <c r="W6" s="478"/>
      <c r="X6" s="1307"/>
      <c r="Y6" s="478"/>
      <c r="Z6" s="1308"/>
    </row>
    <row r="7" spans="1:40" ht="15" customHeight="1">
      <c r="A7" s="484"/>
      <c r="B7" s="1307"/>
      <c r="C7" s="1307"/>
      <c r="D7" s="1307"/>
      <c r="E7" s="478"/>
      <c r="F7" s="1307"/>
      <c r="G7" s="478"/>
      <c r="H7" s="1307"/>
      <c r="I7" s="478"/>
      <c r="J7" s="1307"/>
      <c r="K7" s="1307"/>
      <c r="L7" s="1307"/>
      <c r="M7" s="481"/>
      <c r="N7" s="1307"/>
      <c r="O7" s="478"/>
      <c r="P7" s="1307"/>
      <c r="Q7" s="478"/>
      <c r="R7" s="1309"/>
      <c r="S7" s="478"/>
      <c r="T7" s="1309"/>
      <c r="U7" s="478"/>
      <c r="V7" s="1309"/>
      <c r="W7" s="478"/>
      <c r="X7" s="1309"/>
      <c r="Y7" s="478"/>
      <c r="Z7" s="1308"/>
    </row>
    <row r="8" spans="1:40" ht="15.5">
      <c r="A8" s="475"/>
      <c r="B8" s="1307"/>
      <c r="C8" s="1307"/>
      <c r="D8" s="1307"/>
      <c r="E8" s="478"/>
      <c r="F8" s="1307"/>
      <c r="G8" s="478"/>
      <c r="H8" s="1307"/>
      <c r="I8" s="478"/>
      <c r="J8" s="1307"/>
      <c r="K8" s="1307"/>
      <c r="L8" s="1307"/>
      <c r="M8" s="478"/>
      <c r="N8" s="1307"/>
      <c r="O8" s="478"/>
      <c r="P8" s="1307"/>
      <c r="Q8" s="478"/>
      <c r="R8" s="1307"/>
      <c r="S8" s="478"/>
      <c r="T8" s="1307"/>
      <c r="U8" s="478"/>
      <c r="V8" s="1307"/>
      <c r="W8" s="478"/>
      <c r="X8" s="1307"/>
      <c r="Y8" s="478"/>
      <c r="Z8" s="486"/>
      <c r="AA8" s="487"/>
    </row>
    <row r="9" spans="1:40" ht="15" customHeight="1">
      <c r="A9" s="1310"/>
      <c r="B9" s="907" t="str">
        <f>'Cashflow Governmental'!C13</f>
        <v>2020</v>
      </c>
      <c r="C9" s="488"/>
      <c r="D9" s="488"/>
      <c r="E9" s="481"/>
      <c r="F9" s="488"/>
      <c r="G9" s="481"/>
      <c r="H9" s="488"/>
      <c r="I9" s="481"/>
      <c r="J9" s="488"/>
      <c r="K9" s="488"/>
      <c r="L9" s="489"/>
      <c r="M9" s="481"/>
      <c r="N9" s="489"/>
      <c r="O9" s="481"/>
      <c r="P9" s="489"/>
      <c r="Q9" s="481"/>
      <c r="R9" s="489"/>
      <c r="S9" s="481"/>
      <c r="T9" s="907" t="str">
        <f>'Cashflow Governmental'!U13</f>
        <v>2021</v>
      </c>
      <c r="U9" s="481"/>
      <c r="V9" s="489"/>
      <c r="W9" s="481"/>
      <c r="X9" s="489"/>
      <c r="Y9" s="481"/>
      <c r="Z9" s="490" t="s">
        <v>1553</v>
      </c>
      <c r="AA9" s="490"/>
    </row>
    <row r="10" spans="1:40" ht="15" customHeight="1">
      <c r="A10" s="1310"/>
      <c r="B10" s="491" t="s">
        <v>124</v>
      </c>
      <c r="C10" s="492"/>
      <c r="D10" s="489" t="s">
        <v>125</v>
      </c>
      <c r="E10" s="481"/>
      <c r="F10" s="489" t="s">
        <v>126</v>
      </c>
      <c r="G10" s="481"/>
      <c r="H10" s="489" t="s">
        <v>127</v>
      </c>
      <c r="I10" s="481"/>
      <c r="J10" s="489" t="s">
        <v>128</v>
      </c>
      <c r="K10" s="493"/>
      <c r="L10" s="489" t="s">
        <v>143</v>
      </c>
      <c r="M10" s="481"/>
      <c r="N10" s="489" t="s">
        <v>144</v>
      </c>
      <c r="O10" s="481"/>
      <c r="P10" s="489" t="s">
        <v>131</v>
      </c>
      <c r="Q10" s="481"/>
      <c r="R10" s="489" t="s">
        <v>132</v>
      </c>
      <c r="S10" s="481"/>
      <c r="T10" s="489" t="s">
        <v>133</v>
      </c>
      <c r="U10" s="481"/>
      <c r="V10" s="489" t="s">
        <v>134</v>
      </c>
      <c r="W10" s="481"/>
      <c r="X10" s="489" t="s">
        <v>185</v>
      </c>
      <c r="Y10" s="481"/>
      <c r="Z10" s="494" t="s">
        <v>1538</v>
      </c>
      <c r="AA10" s="494"/>
    </row>
    <row r="11" spans="1:40" ht="15" customHeight="1">
      <c r="A11" s="1310"/>
      <c r="B11" s="1574" t="s">
        <v>15</v>
      </c>
      <c r="C11" s="1311"/>
      <c r="D11" s="1574" t="s">
        <v>15</v>
      </c>
      <c r="E11" s="1312"/>
      <c r="F11" s="1574" t="s">
        <v>15</v>
      </c>
      <c r="G11" s="1312"/>
      <c r="H11" s="1574" t="s">
        <v>15</v>
      </c>
      <c r="I11" s="1312"/>
      <c r="J11" s="1574" t="s">
        <v>15</v>
      </c>
      <c r="K11" s="493"/>
      <c r="L11" s="1574" t="s">
        <v>15</v>
      </c>
      <c r="M11" s="1312"/>
      <c r="N11" s="1574" t="s">
        <v>15</v>
      </c>
      <c r="O11" s="1312"/>
      <c r="P11" s="1574" t="s">
        <v>15</v>
      </c>
      <c r="Q11" s="1312"/>
      <c r="R11" s="1574" t="s">
        <v>15</v>
      </c>
      <c r="S11" s="1312"/>
      <c r="T11" s="1574" t="s">
        <v>15</v>
      </c>
      <c r="U11" s="1312"/>
      <c r="V11" s="1574" t="s">
        <v>15</v>
      </c>
      <c r="W11" s="1312"/>
      <c r="X11" s="1574" t="s">
        <v>15</v>
      </c>
      <c r="Y11" s="1312"/>
      <c r="Z11" s="1573" t="s">
        <v>15</v>
      </c>
      <c r="AB11" s="495"/>
      <c r="AC11" s="495"/>
      <c r="AD11" s="495"/>
      <c r="AE11" s="495"/>
      <c r="AF11" s="495"/>
      <c r="AG11" s="495"/>
      <c r="AH11" s="495"/>
      <c r="AI11" s="495"/>
      <c r="AJ11" s="495"/>
      <c r="AK11" s="495"/>
      <c r="AL11" s="495"/>
      <c r="AM11" s="495"/>
      <c r="AN11" s="495"/>
    </row>
    <row r="12" spans="1:40" s="500" customFormat="1" ht="15" customHeight="1">
      <c r="A12" s="816" t="s">
        <v>471</v>
      </c>
      <c r="B12" s="509">
        <v>86513214</v>
      </c>
      <c r="C12" s="497"/>
      <c r="D12" s="496">
        <f>B45</f>
        <v>49126483</v>
      </c>
      <c r="E12" s="1313"/>
      <c r="F12" s="496">
        <f>D45</f>
        <v>42662065</v>
      </c>
      <c r="G12" s="1313"/>
      <c r="H12" s="496">
        <f>F45</f>
        <v>7636110</v>
      </c>
      <c r="I12" s="1313"/>
      <c r="J12" s="496">
        <f>H45</f>
        <v>165822096</v>
      </c>
      <c r="K12" s="498"/>
      <c r="L12" s="496">
        <f>J45</f>
        <v>101117004</v>
      </c>
      <c r="M12" s="499"/>
      <c r="N12" s="496">
        <f>L45</f>
        <v>90519037</v>
      </c>
      <c r="O12" s="496"/>
      <c r="P12" s="496"/>
      <c r="Q12" s="496"/>
      <c r="R12" s="496"/>
      <c r="S12" s="496"/>
      <c r="T12" s="496"/>
      <c r="U12" s="496"/>
      <c r="V12" s="496"/>
      <c r="W12" s="496"/>
      <c r="X12" s="496"/>
      <c r="Y12" s="496"/>
      <c r="Z12" s="496">
        <f>+B12</f>
        <v>86513214</v>
      </c>
    </row>
    <row r="13" spans="1:40" ht="15" customHeight="1">
      <c r="A13" s="1314"/>
      <c r="B13" s="1315"/>
      <c r="C13" s="1316"/>
      <c r="D13" s="1315"/>
      <c r="E13" s="1315"/>
      <c r="F13" s="1315"/>
      <c r="G13" s="1315"/>
      <c r="H13" s="1315"/>
      <c r="I13" s="1315"/>
      <c r="J13" s="1315"/>
      <c r="K13" s="493"/>
      <c r="L13" s="1315"/>
      <c r="M13" s="1315"/>
      <c r="N13" s="1315"/>
      <c r="O13" s="1315"/>
      <c r="P13" s="1315"/>
      <c r="Q13" s="1315"/>
      <c r="R13" s="1315"/>
      <c r="S13" s="1315"/>
      <c r="T13" s="1315"/>
      <c r="U13" s="1315"/>
      <c r="V13" s="1315"/>
      <c r="W13" s="1315"/>
      <c r="X13" s="1315"/>
      <c r="Y13" s="1315"/>
      <c r="Z13" s="1317"/>
    </row>
    <row r="14" spans="1:40" ht="15" customHeight="1">
      <c r="A14" s="501" t="s">
        <v>14</v>
      </c>
      <c r="B14" s="1315"/>
      <c r="C14" s="1316"/>
      <c r="D14" s="1315"/>
      <c r="E14" s="1315"/>
      <c r="F14" s="1315"/>
      <c r="G14" s="1315"/>
      <c r="H14" s="1315"/>
      <c r="I14" s="1315"/>
      <c r="J14" s="1315"/>
      <c r="K14" s="1315"/>
      <c r="L14" s="1315"/>
      <c r="M14" s="1315"/>
      <c r="N14" s="1315"/>
      <c r="O14" s="1315"/>
      <c r="P14" s="1315"/>
      <c r="Q14" s="1315"/>
      <c r="R14" s="1315"/>
      <c r="S14" s="1315"/>
      <c r="T14" s="1315"/>
      <c r="U14" s="1315"/>
      <c r="V14" s="1315"/>
      <c r="W14" s="1315"/>
      <c r="X14" s="1315"/>
      <c r="Y14" s="1315"/>
      <c r="Z14" s="1317"/>
      <c r="AC14" s="1866"/>
    </row>
    <row r="15" spans="1:40" ht="15" customHeight="1">
      <c r="A15" s="817" t="s">
        <v>1219</v>
      </c>
      <c r="B15" s="1323">
        <v>0</v>
      </c>
      <c r="C15" s="1324"/>
      <c r="D15" s="1323">
        <v>0</v>
      </c>
      <c r="E15" s="1323"/>
      <c r="F15" s="1323">
        <v>0</v>
      </c>
      <c r="G15" s="1318"/>
      <c r="H15" s="1323">
        <v>204000000</v>
      </c>
      <c r="I15" s="1318"/>
      <c r="J15" s="1866">
        <v>0</v>
      </c>
      <c r="K15" s="1318"/>
      <c r="L15" s="1323">
        <v>0</v>
      </c>
      <c r="M15" s="1315"/>
      <c r="N15" s="1323">
        <v>0</v>
      </c>
      <c r="O15" s="1318"/>
      <c r="P15" s="1323"/>
      <c r="Q15" s="1318"/>
      <c r="R15" s="1323"/>
      <c r="S15" s="1318"/>
      <c r="T15" s="1323"/>
      <c r="U15" s="1318"/>
      <c r="V15" s="1323"/>
      <c r="W15" s="1318"/>
      <c r="X15" s="1323"/>
      <c r="Y15" s="1318"/>
      <c r="Z15" s="1320">
        <f>SUM(B15:X15)</f>
        <v>204000000</v>
      </c>
    </row>
    <row r="16" spans="1:40" ht="15" customHeight="1">
      <c r="A16" s="817" t="s">
        <v>1467</v>
      </c>
      <c r="B16" s="1323">
        <v>0</v>
      </c>
      <c r="C16" s="1324"/>
      <c r="D16" s="1323">
        <v>0</v>
      </c>
      <c r="E16" s="1323"/>
      <c r="F16" s="1323">
        <v>0</v>
      </c>
      <c r="G16" s="1318"/>
      <c r="H16" s="1323">
        <v>0</v>
      </c>
      <c r="I16" s="1318"/>
      <c r="J16" s="1866">
        <v>0</v>
      </c>
      <c r="K16" s="1318"/>
      <c r="L16" s="1323">
        <v>0</v>
      </c>
      <c r="M16" s="1315"/>
      <c r="N16" s="1323">
        <v>0</v>
      </c>
      <c r="O16" s="1318"/>
      <c r="P16" s="1323"/>
      <c r="Q16" s="1318"/>
      <c r="R16" s="1323"/>
      <c r="S16" s="1318"/>
      <c r="T16" s="1323"/>
      <c r="U16" s="1318"/>
      <c r="V16" s="1323"/>
      <c r="W16" s="1318"/>
      <c r="X16" s="1323"/>
      <c r="Y16" s="1318"/>
      <c r="Z16" s="1320">
        <f>SUM(B16:X16)</f>
        <v>0</v>
      </c>
    </row>
    <row r="17" spans="1:28" s="500" customFormat="1" ht="22.5" customHeight="1">
      <c r="A17" s="501" t="s">
        <v>150</v>
      </c>
      <c r="B17" s="1572">
        <f>ROUND(SUM(B15:B16),0)</f>
        <v>0</v>
      </c>
      <c r="C17" s="502"/>
      <c r="D17" s="1572">
        <f>ROUND(SUM(D15:D16),0)</f>
        <v>0</v>
      </c>
      <c r="E17" s="503"/>
      <c r="F17" s="1572">
        <f>ROUND(SUM(F15:F16),0)</f>
        <v>0</v>
      </c>
      <c r="G17" s="503"/>
      <c r="H17" s="1572">
        <f>ROUND(SUM(H15:H16),0)</f>
        <v>204000000</v>
      </c>
      <c r="I17" s="503"/>
      <c r="J17" s="1572">
        <f>ROUND(SUM(J15:J16),0)</f>
        <v>0</v>
      </c>
      <c r="K17" s="505"/>
      <c r="L17" s="1572">
        <f>ROUND(SUM(L15:L16),0)</f>
        <v>0</v>
      </c>
      <c r="M17" s="499"/>
      <c r="N17" s="1572">
        <f>ROUND(SUM(N15:N16),0)</f>
        <v>0</v>
      </c>
      <c r="O17" s="503"/>
      <c r="P17" s="1572">
        <f>ROUND(SUM(P15:P16),0)</f>
        <v>0</v>
      </c>
      <c r="Q17" s="503"/>
      <c r="R17" s="1572">
        <f>ROUND(SUM(R15:R16),0)</f>
        <v>0</v>
      </c>
      <c r="S17" s="503"/>
      <c r="T17" s="1572">
        <f>ROUND(SUM(T15:T16),0)</f>
        <v>0</v>
      </c>
      <c r="U17" s="503"/>
      <c r="V17" s="1572">
        <f>ROUND(SUM(V15:V16),0)</f>
        <v>0</v>
      </c>
      <c r="W17" s="503"/>
      <c r="X17" s="1572">
        <f>ROUND(SUM(X15:X16),0)</f>
        <v>0</v>
      </c>
      <c r="Y17" s="503"/>
      <c r="Z17" s="1572">
        <f>ROUND(SUM(Z15:Z16),0)</f>
        <v>204000000</v>
      </c>
      <c r="AB17" s="405"/>
    </row>
    <row r="18" spans="1:28" ht="15" customHeight="1">
      <c r="A18" s="1314"/>
      <c r="B18" s="1318"/>
      <c r="C18" s="1319"/>
      <c r="D18" s="1318"/>
      <c r="E18" s="1318"/>
      <c r="F18" s="1318"/>
      <c r="G18" s="1318"/>
      <c r="H18" s="1318"/>
      <c r="I18" s="1318"/>
      <c r="J18" s="1318"/>
      <c r="K18" s="1318"/>
      <c r="L18" s="1318"/>
      <c r="M18" s="1315"/>
      <c r="N18" s="1318"/>
      <c r="O18" s="1318"/>
      <c r="P18" s="1318"/>
      <c r="Q18" s="1318"/>
      <c r="R18" s="1318"/>
      <c r="S18" s="1318"/>
      <c r="T18" s="1318"/>
      <c r="U18" s="1318"/>
      <c r="V18" s="1318"/>
      <c r="W18" s="1318"/>
      <c r="X18" s="1318"/>
      <c r="Y18" s="1318"/>
      <c r="Z18" s="1322"/>
    </row>
    <row r="19" spans="1:28" ht="15" customHeight="1">
      <c r="A19" s="501" t="s">
        <v>23</v>
      </c>
      <c r="B19" s="1318"/>
      <c r="C19" s="1319"/>
      <c r="D19" s="1318"/>
      <c r="E19" s="1318"/>
      <c r="F19" s="1318"/>
      <c r="G19" s="1318"/>
      <c r="H19" s="1318"/>
      <c r="I19" s="1318"/>
      <c r="J19" s="1318"/>
      <c r="K19" s="1318"/>
      <c r="L19" s="1323"/>
      <c r="M19" s="1325"/>
      <c r="N19" s="1323"/>
      <c r="O19" s="1318"/>
      <c r="P19" s="1318"/>
      <c r="Q19" s="1318"/>
      <c r="R19" s="1318"/>
      <c r="S19" s="1318"/>
      <c r="T19" s="1318"/>
      <c r="U19" s="1318"/>
      <c r="V19" s="1318"/>
      <c r="W19" s="1318"/>
      <c r="X19" s="1318"/>
      <c r="Y19" s="1318"/>
      <c r="Z19" s="1320"/>
    </row>
    <row r="20" spans="1:28" ht="15" customHeight="1">
      <c r="A20" s="817" t="s">
        <v>1265</v>
      </c>
      <c r="B20" s="1318">
        <v>0</v>
      </c>
      <c r="C20" s="1319"/>
      <c r="D20" s="1318">
        <v>0</v>
      </c>
      <c r="E20" s="1318"/>
      <c r="F20" s="1318">
        <v>9481</v>
      </c>
      <c r="G20" s="1318"/>
      <c r="H20" s="1318">
        <v>533024</v>
      </c>
      <c r="I20" s="1318"/>
      <c r="J20" s="1318">
        <v>0</v>
      </c>
      <c r="K20" s="1318"/>
      <c r="L20" s="1323">
        <f>415672-1</f>
        <v>415671</v>
      </c>
      <c r="M20" s="1325"/>
      <c r="N20" s="1323">
        <v>516927</v>
      </c>
      <c r="O20" s="1318"/>
      <c r="P20" s="1318"/>
      <c r="Q20" s="1318"/>
      <c r="R20" s="1318"/>
      <c r="S20" s="1318"/>
      <c r="T20" s="1318"/>
      <c r="U20" s="1318"/>
      <c r="V20" s="1318"/>
      <c r="W20" s="1318"/>
      <c r="X20" s="1318"/>
      <c r="Y20" s="1318"/>
      <c r="Z20" s="1320">
        <f>ROUND(SUM(B20:X20),0)</f>
        <v>1475103</v>
      </c>
    </row>
    <row r="21" spans="1:28" ht="15" customHeight="1">
      <c r="A21" s="817" t="s">
        <v>1218</v>
      </c>
      <c r="B21" s="1318">
        <v>1735855</v>
      </c>
      <c r="C21" s="1324"/>
      <c r="D21" s="1323">
        <v>1420080</v>
      </c>
      <c r="E21" s="1323"/>
      <c r="F21" s="1323">
        <v>0</v>
      </c>
      <c r="G21" s="1323"/>
      <c r="H21" s="1323">
        <v>6989621</v>
      </c>
      <c r="I21" s="1323"/>
      <c r="J21" s="1323">
        <v>0</v>
      </c>
      <c r="K21" s="1323"/>
      <c r="L21" s="1323">
        <f>47334</f>
        <v>47334</v>
      </c>
      <c r="M21" s="1325"/>
      <c r="N21" s="1323">
        <v>7596310</v>
      </c>
      <c r="O21" s="1323"/>
      <c r="P21" s="1323"/>
      <c r="Q21" s="1323"/>
      <c r="R21" s="1323"/>
      <c r="S21" s="1323"/>
      <c r="T21" s="1323"/>
      <c r="U21" s="1323"/>
      <c r="V21" s="1323"/>
      <c r="W21" s="1323"/>
      <c r="X21" s="1323"/>
      <c r="Y21" s="1323"/>
      <c r="Z21" s="1320">
        <f>ROUND(SUM(B21:X21),0)</f>
        <v>17789200</v>
      </c>
    </row>
    <row r="22" spans="1:28" ht="15" customHeight="1">
      <c r="A22" s="817" t="s">
        <v>1295</v>
      </c>
      <c r="B22" s="1318">
        <v>0</v>
      </c>
      <c r="C22" s="1324"/>
      <c r="D22" s="1323">
        <v>0</v>
      </c>
      <c r="E22" s="1323"/>
      <c r="F22" s="1323">
        <v>0</v>
      </c>
      <c r="G22" s="1323"/>
      <c r="H22" s="1323">
        <v>0</v>
      </c>
      <c r="I22" s="1323"/>
      <c r="J22" s="1323">
        <v>0</v>
      </c>
      <c r="K22" s="1323"/>
      <c r="L22" s="1323">
        <f>250000</f>
        <v>250000</v>
      </c>
      <c r="M22" s="1325"/>
      <c r="N22" s="1323">
        <f>455489</f>
        <v>455489</v>
      </c>
      <c r="O22" s="1323"/>
      <c r="P22" s="1323"/>
      <c r="Q22" s="1323"/>
      <c r="R22" s="1323"/>
      <c r="S22" s="1323"/>
      <c r="T22" s="1323"/>
      <c r="U22" s="1323"/>
      <c r="V22" s="1323"/>
      <c r="W22" s="1323"/>
      <c r="X22" s="1323"/>
      <c r="Y22" s="1323"/>
      <c r="Z22" s="1320">
        <f t="shared" ref="Z22:Z36" si="0">ROUND(SUM(B22:X22),0)</f>
        <v>705489</v>
      </c>
      <c r="AB22" s="3414"/>
    </row>
    <row r="23" spans="1:28" ht="15" customHeight="1">
      <c r="A23" s="817" t="s">
        <v>1272</v>
      </c>
      <c r="B23" s="1318">
        <v>2457343</v>
      </c>
      <c r="C23" s="1324"/>
      <c r="D23" s="1323">
        <v>88175</v>
      </c>
      <c r="E23" s="1323"/>
      <c r="F23" s="1323">
        <v>0</v>
      </c>
      <c r="G23" s="1323"/>
      <c r="H23" s="1323">
        <v>1071138</v>
      </c>
      <c r="I23" s="1323"/>
      <c r="J23" s="1323">
        <v>565275</v>
      </c>
      <c r="K23" s="1323"/>
      <c r="L23" s="1323">
        <f>2517997</f>
        <v>2517997</v>
      </c>
      <c r="M23" s="1325"/>
      <c r="N23" s="1323">
        <v>1963105</v>
      </c>
      <c r="O23" s="1323"/>
      <c r="P23" s="1323"/>
      <c r="Q23" s="1323"/>
      <c r="R23" s="1323"/>
      <c r="S23" s="1323"/>
      <c r="T23" s="1323"/>
      <c r="U23" s="1323"/>
      <c r="V23" s="1323"/>
      <c r="W23" s="1323"/>
      <c r="X23" s="1323"/>
      <c r="Y23" s="1323"/>
      <c r="Z23" s="1320">
        <f>ROUND(SUM(B23:X23),0)-1</f>
        <v>8663032</v>
      </c>
    </row>
    <row r="24" spans="1:28" ht="15" customHeight="1">
      <c r="A24" s="817" t="s">
        <v>1477</v>
      </c>
      <c r="B24" s="1318">
        <v>2586638</v>
      </c>
      <c r="C24" s="1324"/>
      <c r="D24" s="1323">
        <v>3634367</v>
      </c>
      <c r="E24" s="1323"/>
      <c r="F24" s="1323">
        <v>1781021</v>
      </c>
      <c r="G24" s="1323"/>
      <c r="H24" s="1323">
        <v>298010</v>
      </c>
      <c r="I24" s="1323"/>
      <c r="J24" s="1323">
        <v>2275903</v>
      </c>
      <c r="K24" s="1323"/>
      <c r="L24" s="1323">
        <f>643795</f>
        <v>643795</v>
      </c>
      <c r="M24" s="1325"/>
      <c r="N24" s="1323">
        <v>468438</v>
      </c>
      <c r="O24" s="1323"/>
      <c r="P24" s="1323"/>
      <c r="Q24" s="1323"/>
      <c r="R24" s="1323"/>
      <c r="S24" s="1323"/>
      <c r="T24" s="1323"/>
      <c r="U24" s="1323"/>
      <c r="V24" s="1323"/>
      <c r="W24" s="1323"/>
      <c r="X24" s="1323"/>
      <c r="Y24" s="1323"/>
      <c r="Z24" s="1320">
        <f>ROUND(SUM(B24:X24),0)</f>
        <v>11688172</v>
      </c>
    </row>
    <row r="25" spans="1:28" ht="15" customHeight="1">
      <c r="A25" s="817" t="s">
        <v>1309</v>
      </c>
      <c r="B25" s="1318">
        <v>0</v>
      </c>
      <c r="C25" s="1324"/>
      <c r="D25" s="1323">
        <v>0</v>
      </c>
      <c r="E25" s="1323"/>
      <c r="F25" s="1323">
        <v>0</v>
      </c>
      <c r="G25" s="1323"/>
      <c r="H25" s="1323">
        <v>0</v>
      </c>
      <c r="I25" s="1323"/>
      <c r="J25" s="1323">
        <v>0</v>
      </c>
      <c r="K25" s="1323"/>
      <c r="L25" s="1323">
        <v>0</v>
      </c>
      <c r="M25" s="1325"/>
      <c r="N25" s="1323">
        <v>0</v>
      </c>
      <c r="O25" s="1323"/>
      <c r="P25" s="1323"/>
      <c r="Q25" s="1323"/>
      <c r="R25" s="1323"/>
      <c r="S25" s="1323"/>
      <c r="T25" s="1323"/>
      <c r="U25" s="1323"/>
      <c r="V25" s="1323"/>
      <c r="W25" s="1323"/>
      <c r="X25" s="1323"/>
      <c r="Y25" s="1323"/>
      <c r="Z25" s="1320">
        <f>ROUND(SUM(B25:X25),0)</f>
        <v>0</v>
      </c>
    </row>
    <row r="26" spans="1:28" ht="15" customHeight="1">
      <c r="A26" s="817" t="s">
        <v>1217</v>
      </c>
      <c r="B26" s="1318">
        <v>0</v>
      </c>
      <c r="C26" s="1324"/>
      <c r="D26" s="1323">
        <v>0</v>
      </c>
      <c r="E26" s="1323"/>
      <c r="F26" s="1323">
        <v>5540794</v>
      </c>
      <c r="G26" s="1323"/>
      <c r="H26" s="1323">
        <v>1292017</v>
      </c>
      <c r="I26" s="1323"/>
      <c r="J26" s="1323">
        <v>2270353</v>
      </c>
      <c r="K26" s="1323"/>
      <c r="L26" s="1323">
        <f>144374</f>
        <v>144374</v>
      </c>
      <c r="M26" s="1325"/>
      <c r="N26" s="1323">
        <v>4447962</v>
      </c>
      <c r="O26" s="1323"/>
      <c r="P26" s="1323"/>
      <c r="Q26" s="1323"/>
      <c r="R26" s="1323"/>
      <c r="S26" s="1323"/>
      <c r="T26" s="1323"/>
      <c r="U26" s="1323"/>
      <c r="V26" s="1323"/>
      <c r="W26" s="1323"/>
      <c r="X26" s="1323"/>
      <c r="Y26" s="1323"/>
      <c r="Z26" s="1320">
        <f>ROUND(SUM(B26:X26),0)</f>
        <v>13695500</v>
      </c>
    </row>
    <row r="27" spans="1:28" ht="15" customHeight="1">
      <c r="A27" s="817" t="s">
        <v>1287</v>
      </c>
      <c r="B27" s="1318">
        <v>0</v>
      </c>
      <c r="C27" s="1324"/>
      <c r="D27" s="1323">
        <v>0</v>
      </c>
      <c r="E27" s="1323"/>
      <c r="F27" s="1323">
        <v>0</v>
      </c>
      <c r="G27" s="1323"/>
      <c r="H27" s="1323">
        <v>0</v>
      </c>
      <c r="I27" s="1323"/>
      <c r="J27" s="1323">
        <v>55700000</v>
      </c>
      <c r="K27" s="1323"/>
      <c r="L27" s="1323">
        <v>0</v>
      </c>
      <c r="M27" s="1325"/>
      <c r="N27" s="1323">
        <v>22620551</v>
      </c>
      <c r="O27" s="1323"/>
      <c r="P27" s="1323"/>
      <c r="Q27" s="1323"/>
      <c r="R27" s="1323"/>
      <c r="S27" s="1323"/>
      <c r="T27" s="1323"/>
      <c r="U27" s="1323"/>
      <c r="V27" s="1323"/>
      <c r="W27" s="1323"/>
      <c r="X27" s="1323"/>
      <c r="Y27" s="1323"/>
      <c r="Z27" s="1320">
        <f>ROUND(SUM(B27:X27),0)</f>
        <v>78320551</v>
      </c>
    </row>
    <row r="28" spans="1:28" ht="14.9" customHeight="1">
      <c r="A28" s="817" t="s">
        <v>1296</v>
      </c>
      <c r="B28" s="1318">
        <v>2500000</v>
      </c>
      <c r="C28" s="1324"/>
      <c r="D28" s="1323">
        <v>1500000</v>
      </c>
      <c r="E28" s="1323"/>
      <c r="F28" s="1323">
        <v>0</v>
      </c>
      <c r="G28" s="1323"/>
      <c r="H28" s="1323">
        <v>0</v>
      </c>
      <c r="I28" s="1323"/>
      <c r="J28" s="1323">
        <v>0</v>
      </c>
      <c r="K28" s="1323"/>
      <c r="L28" s="1323">
        <v>0</v>
      </c>
      <c r="M28" s="1325"/>
      <c r="N28" s="1323">
        <v>5811363</v>
      </c>
      <c r="O28" s="1323"/>
      <c r="P28" s="1323"/>
      <c r="Q28" s="1323"/>
      <c r="R28" s="1323"/>
      <c r="S28" s="1323"/>
      <c r="T28" s="1323"/>
      <c r="U28" s="1323"/>
      <c r="V28" s="1323"/>
      <c r="W28" s="1323"/>
      <c r="X28" s="1323"/>
      <c r="Y28" s="1323"/>
      <c r="Z28" s="1320">
        <f t="shared" si="0"/>
        <v>9811363</v>
      </c>
    </row>
    <row r="29" spans="1:28" ht="15" customHeight="1">
      <c r="A29" s="817" t="s">
        <v>1292</v>
      </c>
      <c r="B29" s="1318">
        <v>3054840</v>
      </c>
      <c r="C29" s="1324"/>
      <c r="D29" s="1323">
        <v>-2778292</v>
      </c>
      <c r="E29" s="1323"/>
      <c r="F29" s="1323">
        <v>0</v>
      </c>
      <c r="G29" s="1323"/>
      <c r="H29" s="1323">
        <v>562372</v>
      </c>
      <c r="I29" s="1323"/>
      <c r="J29" s="1323">
        <v>0</v>
      </c>
      <c r="K29" s="1323"/>
      <c r="L29" s="1323">
        <f>830000</f>
        <v>830000</v>
      </c>
      <c r="M29" s="1325"/>
      <c r="N29" s="1323">
        <v>2063090</v>
      </c>
      <c r="O29" s="1323"/>
      <c r="P29" s="1323"/>
      <c r="Q29" s="1323"/>
      <c r="R29" s="1323"/>
      <c r="S29" s="1323"/>
      <c r="T29" s="1323"/>
      <c r="U29" s="1323"/>
      <c r="V29" s="1323"/>
      <c r="W29" s="1323"/>
      <c r="X29" s="1323"/>
      <c r="Y29" s="1323"/>
      <c r="Z29" s="1320">
        <f>ROUND(SUM(B29:X29),0)+1</f>
        <v>3732011</v>
      </c>
    </row>
    <row r="30" spans="1:28" ht="15" customHeight="1">
      <c r="A30" s="817" t="s">
        <v>1216</v>
      </c>
      <c r="B30" s="1318">
        <v>0</v>
      </c>
      <c r="C30" s="1324"/>
      <c r="D30" s="1323">
        <v>0</v>
      </c>
      <c r="E30" s="1323"/>
      <c r="F30" s="1323">
        <v>0</v>
      </c>
      <c r="G30" s="1323"/>
      <c r="H30" s="1323">
        <v>0</v>
      </c>
      <c r="I30" s="1323"/>
      <c r="J30" s="1323">
        <v>0</v>
      </c>
      <c r="K30" s="1323"/>
      <c r="L30" s="1323">
        <v>0</v>
      </c>
      <c r="M30" s="1325"/>
      <c r="N30" s="1323">
        <v>0</v>
      </c>
      <c r="O30" s="1323"/>
      <c r="P30" s="1323"/>
      <c r="Q30" s="1323"/>
      <c r="R30" s="1323"/>
      <c r="S30" s="1323"/>
      <c r="T30" s="1323"/>
      <c r="U30" s="1323"/>
      <c r="V30" s="1323"/>
      <c r="W30" s="1323"/>
      <c r="X30" s="1323"/>
      <c r="Y30" s="1323"/>
      <c r="Z30" s="1320">
        <f t="shared" si="0"/>
        <v>0</v>
      </c>
    </row>
    <row r="31" spans="1:28" ht="15" customHeight="1">
      <c r="A31" s="817" t="s">
        <v>1249</v>
      </c>
      <c r="B31" s="1318">
        <v>0</v>
      </c>
      <c r="C31" s="1324"/>
      <c r="D31" s="1323">
        <v>0</v>
      </c>
      <c r="E31" s="1323"/>
      <c r="F31" s="1323">
        <v>0</v>
      </c>
      <c r="G31" s="1323"/>
      <c r="H31" s="1323">
        <v>0</v>
      </c>
      <c r="I31" s="1323"/>
      <c r="J31" s="1323">
        <v>-6035</v>
      </c>
      <c r="K31" s="1323"/>
      <c r="L31" s="1323">
        <v>0</v>
      </c>
      <c r="M31" s="1325"/>
      <c r="N31" s="1323">
        <v>-10425</v>
      </c>
      <c r="O31" s="1323"/>
      <c r="P31" s="1323"/>
      <c r="Q31" s="1323"/>
      <c r="R31" s="1323"/>
      <c r="S31" s="1323"/>
      <c r="T31" s="1323"/>
      <c r="U31" s="1323"/>
      <c r="V31" s="1323"/>
      <c r="W31" s="1323"/>
      <c r="X31" s="1323"/>
      <c r="Y31" s="1323"/>
      <c r="Z31" s="1320">
        <f>ROUND(SUM(B31:X31),0)+1</f>
        <v>-16459</v>
      </c>
      <c r="AA31" s="1734"/>
      <c r="AB31" s="1734"/>
    </row>
    <row r="32" spans="1:28" ht="15" customHeight="1">
      <c r="A32" s="817" t="s">
        <v>1215</v>
      </c>
      <c r="B32" s="1318">
        <v>0</v>
      </c>
      <c r="C32" s="1324"/>
      <c r="D32" s="1323">
        <v>0</v>
      </c>
      <c r="E32" s="1323"/>
      <c r="F32" s="1323">
        <v>0</v>
      </c>
      <c r="G32" s="1323"/>
      <c r="H32" s="1323">
        <v>30000</v>
      </c>
      <c r="I32" s="1323"/>
      <c r="J32" s="1323">
        <v>55274</v>
      </c>
      <c r="K32" s="1323"/>
      <c r="L32" s="1323">
        <f>-14282</f>
        <v>-14282</v>
      </c>
      <c r="M32" s="1325"/>
      <c r="N32" s="1323">
        <v>20642</v>
      </c>
      <c r="O32" s="1323"/>
      <c r="P32" s="1323"/>
      <c r="Q32" s="1323"/>
      <c r="R32" s="1323"/>
      <c r="S32" s="1323"/>
      <c r="T32" s="1323"/>
      <c r="U32" s="1323"/>
      <c r="V32" s="1323"/>
      <c r="W32" s="1323"/>
      <c r="X32" s="1323"/>
      <c r="Y32" s="1323"/>
      <c r="Z32" s="1320">
        <f t="shared" si="0"/>
        <v>91634</v>
      </c>
    </row>
    <row r="33" spans="1:28" ht="15" customHeight="1">
      <c r="A33" s="817" t="s">
        <v>1214</v>
      </c>
      <c r="B33" s="1318">
        <v>0</v>
      </c>
      <c r="C33" s="1324"/>
      <c r="D33" s="1323">
        <v>0</v>
      </c>
      <c r="E33" s="1323"/>
      <c r="F33" s="1323">
        <v>22587449</v>
      </c>
      <c r="G33" s="1323"/>
      <c r="H33" s="1323">
        <v>24055020</v>
      </c>
      <c r="I33" s="1323"/>
      <c r="J33" s="1323">
        <v>2944322</v>
      </c>
      <c r="K33" s="1323"/>
      <c r="L33" s="1323">
        <f>4284913-1</f>
        <v>4284912</v>
      </c>
      <c r="M33" s="1325"/>
      <c r="N33" s="1323">
        <v>0</v>
      </c>
      <c r="O33" s="1323"/>
      <c r="P33" s="1323"/>
      <c r="Q33" s="1323"/>
      <c r="R33" s="1323"/>
      <c r="S33" s="1323"/>
      <c r="T33" s="1323"/>
      <c r="U33" s="1323"/>
      <c r="V33" s="1323"/>
      <c r="W33" s="1323"/>
      <c r="X33" s="1323"/>
      <c r="Y33" s="1323"/>
      <c r="Z33" s="1320">
        <f>ROUND(SUM(B33:X33),0)</f>
        <v>53871703</v>
      </c>
    </row>
    <row r="34" spans="1:28" ht="15" customHeight="1">
      <c r="A34" s="817" t="s">
        <v>1213</v>
      </c>
      <c r="B34" s="1318">
        <v>10440876</v>
      </c>
      <c r="C34" s="1324"/>
      <c r="D34" s="1323">
        <v>79325</v>
      </c>
      <c r="E34" s="1323"/>
      <c r="F34" s="1323">
        <v>4746161</v>
      </c>
      <c r="G34" s="1323"/>
      <c r="H34" s="1323">
        <v>282274</v>
      </c>
      <c r="I34" s="1323"/>
      <c r="J34" s="1323">
        <v>0</v>
      </c>
      <c r="K34" s="1323"/>
      <c r="L34" s="1323">
        <f>1478166</f>
        <v>1478166</v>
      </c>
      <c r="M34" s="1325"/>
      <c r="N34" s="1323">
        <v>5814301</v>
      </c>
      <c r="O34" s="1323"/>
      <c r="P34" s="1323"/>
      <c r="Q34" s="1323"/>
      <c r="R34" s="1323"/>
      <c r="S34" s="1323"/>
      <c r="T34" s="1323"/>
      <c r="U34" s="1323"/>
      <c r="V34" s="1323"/>
      <c r="W34" s="1323"/>
      <c r="X34" s="1323"/>
      <c r="Y34" s="1323"/>
      <c r="Z34" s="1320">
        <f>ROUND(SUM(B34:X34),0)-1</f>
        <v>22841102</v>
      </c>
    </row>
    <row r="35" spans="1:28" ht="15" customHeight="1">
      <c r="A35" s="817" t="s">
        <v>1256</v>
      </c>
      <c r="B35" s="1318">
        <v>0</v>
      </c>
      <c r="C35" s="1324"/>
      <c r="D35" s="1323">
        <v>0</v>
      </c>
      <c r="E35" s="1323"/>
      <c r="F35" s="1323">
        <v>0</v>
      </c>
      <c r="G35" s="1323"/>
      <c r="H35" s="1323">
        <v>0</v>
      </c>
      <c r="I35" s="1323"/>
      <c r="J35" s="1323">
        <v>0</v>
      </c>
      <c r="K35" s="1323"/>
      <c r="L35" s="1323">
        <v>0</v>
      </c>
      <c r="M35" s="1325"/>
      <c r="N35" s="1323">
        <v>0</v>
      </c>
      <c r="O35" s="1323"/>
      <c r="P35" s="1323"/>
      <c r="Q35" s="1323"/>
      <c r="R35" s="1323"/>
      <c r="S35" s="1323"/>
      <c r="T35" s="1323"/>
      <c r="U35" s="1323"/>
      <c r="V35" s="1323"/>
      <c r="W35" s="1323"/>
      <c r="X35" s="1323"/>
      <c r="Y35" s="1323"/>
      <c r="Z35" s="1320">
        <f>ROUND(SUM(B35:X35),0)</f>
        <v>0</v>
      </c>
    </row>
    <row r="36" spans="1:28" ht="15" customHeight="1">
      <c r="A36" s="817" t="s">
        <v>1230</v>
      </c>
      <c r="B36" s="1323">
        <v>14611179</v>
      </c>
      <c r="C36" s="1324"/>
      <c r="D36" s="1323">
        <v>2520763</v>
      </c>
      <c r="E36" s="1323"/>
      <c r="F36" s="1323">
        <v>361049</v>
      </c>
      <c r="G36" s="1323"/>
      <c r="H36" s="1323">
        <v>10700538</v>
      </c>
      <c r="I36" s="1323"/>
      <c r="J36" s="1323">
        <v>900000</v>
      </c>
      <c r="K36" s="1323"/>
      <c r="L36" s="1323">
        <v>0</v>
      </c>
      <c r="M36" s="1325"/>
      <c r="N36" s="1323">
        <v>5619275</v>
      </c>
      <c r="O36" s="1323"/>
      <c r="P36" s="1323"/>
      <c r="Q36" s="1323"/>
      <c r="R36" s="1323"/>
      <c r="S36" s="1323"/>
      <c r="T36" s="1323"/>
      <c r="U36" s="1323"/>
      <c r="V36" s="1323"/>
      <c r="W36" s="1323"/>
      <c r="X36" s="1323"/>
      <c r="Y36" s="1323"/>
      <c r="Z36" s="1320">
        <f t="shared" si="0"/>
        <v>34712804</v>
      </c>
    </row>
    <row r="37" spans="1:28" ht="22.5" customHeight="1">
      <c r="A37" s="506" t="s">
        <v>156</v>
      </c>
      <c r="B37" s="1571">
        <f>ROUND(SUM(B20:B36),0)</f>
        <v>37386731</v>
      </c>
      <c r="C37" s="1324"/>
      <c r="D37" s="1571">
        <f>ROUND(SUM(D20:D36),0)</f>
        <v>6464418</v>
      </c>
      <c r="E37" s="1323"/>
      <c r="F37" s="1571">
        <f>ROUND(SUM(F20:F36),0)</f>
        <v>35025955</v>
      </c>
      <c r="G37" s="1323"/>
      <c r="H37" s="1571">
        <f>ROUND(SUM(H20:H36),0)</f>
        <v>45814014</v>
      </c>
      <c r="I37" s="1323"/>
      <c r="J37" s="1571">
        <f>ROUND(SUM(J20:J36),0)</f>
        <v>64705092</v>
      </c>
      <c r="K37" s="1323"/>
      <c r="L37" s="1571">
        <f>ROUND(SUM(L20:L36),0)</f>
        <v>10597967</v>
      </c>
      <c r="M37" s="1325"/>
      <c r="N37" s="1571">
        <f>ROUND(SUM(N20:N36),0)</f>
        <v>57387028</v>
      </c>
      <c r="O37" s="1323"/>
      <c r="P37" s="1571">
        <f>ROUND(SUM(P20:P36),0)</f>
        <v>0</v>
      </c>
      <c r="Q37" s="1323"/>
      <c r="R37" s="1571">
        <f>ROUND(SUM(R20:R36),0)</f>
        <v>0</v>
      </c>
      <c r="S37" s="1323"/>
      <c r="T37" s="1571">
        <f>ROUND(SUM(T20:T36),0)</f>
        <v>0</v>
      </c>
      <c r="U37" s="1323"/>
      <c r="V37" s="1571">
        <f>ROUND(SUM(V20:V36),0)</f>
        <v>0</v>
      </c>
      <c r="W37" s="1323"/>
      <c r="X37" s="1571">
        <f>ROUND(SUM(X20:X36),0)</f>
        <v>0</v>
      </c>
      <c r="Y37" s="1323"/>
      <c r="Z37" s="1571">
        <f>ROUND(SUM(Z20:Z36),0)</f>
        <v>257381205</v>
      </c>
    </row>
    <row r="38" spans="1:28" ht="15" customHeight="1">
      <c r="A38" s="506"/>
      <c r="B38" s="1323"/>
      <c r="C38" s="1324"/>
      <c r="D38" s="1323"/>
      <c r="E38" s="1323"/>
      <c r="F38" s="1329"/>
      <c r="G38" s="1323"/>
      <c r="H38" s="1329"/>
      <c r="I38" s="1323"/>
      <c r="J38" s="1323"/>
      <c r="K38" s="1323"/>
      <c r="L38" s="1328"/>
      <c r="M38" s="1325"/>
      <c r="N38" s="1328"/>
      <c r="O38" s="1323"/>
      <c r="P38" s="1327"/>
      <c r="Q38" s="1323"/>
      <c r="R38" s="1329"/>
      <c r="S38" s="1323"/>
      <c r="T38" s="1329"/>
      <c r="U38" s="1323"/>
      <c r="V38" s="1324"/>
      <c r="W38" s="1323"/>
      <c r="X38" s="1329"/>
      <c r="Y38" s="1323"/>
      <c r="Z38" s="1320"/>
    </row>
    <row r="39" spans="1:28" ht="15" customHeight="1">
      <c r="A39" s="507" t="s">
        <v>485</v>
      </c>
      <c r="B39" s="1329"/>
      <c r="C39" s="1330"/>
      <c r="D39" s="1329"/>
      <c r="E39" s="1323"/>
      <c r="F39" s="1328"/>
      <c r="G39" s="1323"/>
      <c r="H39" s="1329"/>
      <c r="I39" s="1323"/>
      <c r="J39" s="1329"/>
      <c r="K39" s="1323"/>
      <c r="L39" s="1329"/>
      <c r="M39" s="1325"/>
      <c r="N39" s="1329"/>
      <c r="O39" s="1323"/>
      <c r="P39" s="1327"/>
      <c r="Q39" s="1323"/>
      <c r="R39" s="1329"/>
      <c r="S39" s="1323"/>
      <c r="T39" s="1329"/>
      <c r="U39" s="1323"/>
      <c r="V39" s="1328"/>
      <c r="W39" s="1323"/>
      <c r="X39" s="1328"/>
      <c r="Y39" s="1323"/>
      <c r="Z39" s="1320"/>
    </row>
    <row r="40" spans="1:28" ht="15" customHeight="1">
      <c r="A40" s="817" t="s">
        <v>487</v>
      </c>
      <c r="B40" s="1323">
        <v>0</v>
      </c>
      <c r="C40" s="1330"/>
      <c r="D40" s="1323">
        <v>0</v>
      </c>
      <c r="E40" s="1323"/>
      <c r="F40" s="1323">
        <v>0</v>
      </c>
      <c r="G40" s="1323"/>
      <c r="H40" s="1323">
        <v>0</v>
      </c>
      <c r="I40" s="1323"/>
      <c r="J40" s="1323">
        <v>0</v>
      </c>
      <c r="K40" s="1323"/>
      <c r="L40" s="1323">
        <v>0</v>
      </c>
      <c r="M40" s="1325"/>
      <c r="N40" s="1323">
        <v>0</v>
      </c>
      <c r="O40" s="1323"/>
      <c r="P40" s="1323"/>
      <c r="Q40" s="1323"/>
      <c r="R40" s="1323"/>
      <c r="S40" s="1323"/>
      <c r="T40" s="1323"/>
      <c r="U40" s="1323"/>
      <c r="V40" s="1323"/>
      <c r="W40" s="1323"/>
      <c r="X40" s="1323"/>
      <c r="Y40" s="1323"/>
      <c r="Z40" s="1320">
        <v>0</v>
      </c>
    </row>
    <row r="41" spans="1:28" ht="22.5" customHeight="1">
      <c r="A41" s="501" t="s">
        <v>491</v>
      </c>
      <c r="B41" s="1570">
        <f>ROUND(SUM(B40:B40),0)</f>
        <v>0</v>
      </c>
      <c r="C41" s="1321"/>
      <c r="D41" s="1570">
        <f>ROUND(SUM(D40:D40),0)</f>
        <v>0</v>
      </c>
      <c r="E41" s="1318"/>
      <c r="F41" s="1570">
        <f>ROUND(SUM(F40:F40),0)</f>
        <v>0</v>
      </c>
      <c r="G41" s="1318"/>
      <c r="H41" s="1570">
        <f>ROUND(SUM(H40:H40),0)</f>
        <v>0</v>
      </c>
      <c r="I41" s="1318"/>
      <c r="J41" s="1570">
        <f>ROUND(SUM(J40:J40),0)</f>
        <v>0</v>
      </c>
      <c r="K41" s="1318"/>
      <c r="L41" s="1570">
        <f>ROUND(SUM(L40:L40),0)</f>
        <v>0</v>
      </c>
      <c r="M41" s="1315"/>
      <c r="N41" s="1570">
        <f>ROUND(SUM(N40:N40),0)</f>
        <v>0</v>
      </c>
      <c r="O41" s="1318"/>
      <c r="P41" s="1570">
        <f>ROUND(SUM(P40:P40),0)</f>
        <v>0</v>
      </c>
      <c r="Q41" s="1318"/>
      <c r="R41" s="1570">
        <f>ROUND(SUM(R40:R40),0)</f>
        <v>0</v>
      </c>
      <c r="S41" s="1318"/>
      <c r="T41" s="1570">
        <f>ROUND(SUM(T40:T40),0)</f>
        <v>0</v>
      </c>
      <c r="U41" s="1318"/>
      <c r="V41" s="1570">
        <f>ROUND(SUM(V40:V40),0)</f>
        <v>0</v>
      </c>
      <c r="W41" s="1318"/>
      <c r="X41" s="1570">
        <f>ROUND(SUM(X40:X40),0)</f>
        <v>0</v>
      </c>
      <c r="Y41" s="1318"/>
      <c r="Z41" s="1570">
        <f>ROUND(SUM(Z40:Z40),0)</f>
        <v>0</v>
      </c>
    </row>
    <row r="42" spans="1:28" ht="15" customHeight="1">
      <c r="B42" s="1568"/>
      <c r="C42" s="1321"/>
      <c r="D42" s="1568"/>
      <c r="E42" s="1318"/>
      <c r="F42" s="1567"/>
      <c r="G42" s="1318"/>
      <c r="H42" s="1568"/>
      <c r="I42" s="1318"/>
      <c r="J42" s="1568"/>
      <c r="K42" s="1318"/>
      <c r="L42" s="1568"/>
      <c r="M42" s="1315"/>
      <c r="N42" s="1568"/>
      <c r="O42" s="1318"/>
      <c r="P42" s="1569"/>
      <c r="Q42" s="1318"/>
      <c r="R42" s="1568"/>
      <c r="S42" s="1318"/>
      <c r="T42" s="1568"/>
      <c r="U42" s="1318"/>
      <c r="V42" s="1567"/>
      <c r="W42" s="1318"/>
      <c r="X42" s="1331"/>
      <c r="Y42" s="1318"/>
      <c r="Z42" s="1566"/>
    </row>
    <row r="43" spans="1:28" s="500" customFormat="1" ht="20.25" customHeight="1">
      <c r="A43" s="501" t="s">
        <v>492</v>
      </c>
      <c r="B43" s="1332">
        <f>ROUND(B37+B41,0)</f>
        <v>37386731</v>
      </c>
      <c r="C43" s="502"/>
      <c r="D43" s="1332">
        <f>ROUND(D37+D41,0)</f>
        <v>6464418</v>
      </c>
      <c r="E43" s="503"/>
      <c r="F43" s="1332">
        <f>ROUND(F37+F41,0)</f>
        <v>35025955</v>
      </c>
      <c r="G43" s="503"/>
      <c r="H43" s="1332">
        <f>ROUND(H37+H41,0)</f>
        <v>45814014</v>
      </c>
      <c r="I43" s="503"/>
      <c r="J43" s="1332">
        <f>ROUND(J37+J41,0)</f>
        <v>64705092</v>
      </c>
      <c r="K43" s="502"/>
      <c r="L43" s="1332">
        <f>ROUND(L37+L41,0)</f>
        <v>10597967</v>
      </c>
      <c r="M43" s="499"/>
      <c r="N43" s="1332">
        <f>ROUND(N37+N41,0)</f>
        <v>57387028</v>
      </c>
      <c r="O43" s="503"/>
      <c r="P43" s="1332">
        <f>ROUND(P37+P41,0)</f>
        <v>0</v>
      </c>
      <c r="Q43" s="503"/>
      <c r="R43" s="1332">
        <f>ROUND(R37+R41,0)</f>
        <v>0</v>
      </c>
      <c r="S43" s="503"/>
      <c r="T43" s="1332">
        <f>ROUND(T37+T41,0)</f>
        <v>0</v>
      </c>
      <c r="U43" s="503"/>
      <c r="V43" s="1332">
        <f>ROUND(V37+V41,0)</f>
        <v>0</v>
      </c>
      <c r="W43" s="503"/>
      <c r="X43" s="1332">
        <f>ROUND(X37+X41,0)</f>
        <v>0</v>
      </c>
      <c r="Y43" s="503"/>
      <c r="Z43" s="1332">
        <f>ROUND(Z37+Z41,0)</f>
        <v>257381205</v>
      </c>
      <c r="AB43" s="405"/>
    </row>
    <row r="44" spans="1:28" ht="15" customHeight="1">
      <c r="A44" s="1314"/>
      <c r="B44" s="1316"/>
      <c r="C44" s="1316"/>
      <c r="D44" s="1316"/>
      <c r="E44" s="1315"/>
      <c r="F44" s="1316"/>
      <c r="G44" s="1315"/>
      <c r="H44" s="1316"/>
      <c r="I44" s="1315"/>
      <c r="J44" s="1565"/>
      <c r="K44" s="1316"/>
      <c r="L44" s="1565"/>
      <c r="M44" s="1315"/>
      <c r="N44" s="1565"/>
      <c r="O44" s="1315"/>
      <c r="P44" s="1565"/>
      <c r="Q44" s="1315"/>
      <c r="R44" s="1565"/>
      <c r="S44" s="1315"/>
      <c r="T44" s="1565"/>
      <c r="U44" s="1315"/>
      <c r="V44" s="1565"/>
      <c r="W44" s="1315"/>
      <c r="X44" s="1565"/>
      <c r="Y44" s="1315"/>
      <c r="Z44" s="1333"/>
    </row>
    <row r="45" spans="1:28" s="500" customFormat="1" ht="20.25" customHeight="1" thickBot="1">
      <c r="A45" s="507" t="s">
        <v>493</v>
      </c>
      <c r="B45" s="1564">
        <f>ROUND(B12+B17-B43,0)</f>
        <v>49126483</v>
      </c>
      <c r="C45" s="497"/>
      <c r="D45" s="1564">
        <f>ROUND(D12+D17-D43,0)</f>
        <v>42662065</v>
      </c>
      <c r="E45" s="1313"/>
      <c r="F45" s="1564">
        <f>ROUND(F12+F17-F43,0)</f>
        <v>7636110</v>
      </c>
      <c r="G45" s="1313"/>
      <c r="H45" s="1564">
        <f>ROUND(H12+H17-H43,0)</f>
        <v>165822096</v>
      </c>
      <c r="I45" s="1313"/>
      <c r="J45" s="1564">
        <f>ROUND(J12+J17-J43,0)</f>
        <v>101117004</v>
      </c>
      <c r="K45" s="497"/>
      <c r="L45" s="1564">
        <f>ROUND(L12+L17-L43,0)</f>
        <v>90519037</v>
      </c>
      <c r="M45" s="508"/>
      <c r="N45" s="1564">
        <f>ROUND(N12+N17-N43,0)</f>
        <v>33132009</v>
      </c>
      <c r="O45" s="509"/>
      <c r="P45" s="1564">
        <f>ROUND(P12+P17-P43,0)</f>
        <v>0</v>
      </c>
      <c r="Q45" s="509"/>
      <c r="R45" s="1564">
        <f>ROUND(R12+R17-R43,0)</f>
        <v>0</v>
      </c>
      <c r="S45" s="509"/>
      <c r="T45" s="1564">
        <f>ROUND(T12+T17-T43,0)</f>
        <v>0</v>
      </c>
      <c r="U45" s="509"/>
      <c r="V45" s="1564">
        <f>ROUND(V12+V17-V43,0)</f>
        <v>0</v>
      </c>
      <c r="W45" s="509"/>
      <c r="X45" s="1564">
        <f>ROUND(X12+X17-X43,0)</f>
        <v>0</v>
      </c>
      <c r="Y45" s="509"/>
      <c r="Z45" s="1564">
        <f>ROUND(Z12+Z17-Z43,0)</f>
        <v>33132009</v>
      </c>
    </row>
    <row r="46" spans="1:28" ht="15" customHeight="1" thickTop="1">
      <c r="A46" s="1314"/>
      <c r="B46" s="1311"/>
      <c r="C46" s="1311"/>
      <c r="D46" s="1311"/>
      <c r="E46" s="1334"/>
      <c r="F46" s="1311"/>
      <c r="G46" s="1334"/>
      <c r="H46" s="1311"/>
      <c r="I46" s="1334"/>
      <c r="J46" s="1311"/>
      <c r="K46" s="1311"/>
      <c r="L46" s="1311"/>
      <c r="M46" s="1334"/>
      <c r="N46" s="1311"/>
      <c r="O46" s="1334"/>
      <c r="P46" s="1311"/>
      <c r="Q46" s="1334"/>
      <c r="R46" s="1311"/>
      <c r="S46" s="1334"/>
      <c r="T46" s="1311"/>
      <c r="U46" s="1334"/>
      <c r="V46" s="1311"/>
      <c r="W46" s="1334"/>
      <c r="X46" s="1311"/>
      <c r="Y46" s="1334"/>
      <c r="Z46" s="1333"/>
    </row>
    <row r="47" spans="1:28" ht="20.149999999999999" customHeight="1">
      <c r="A47" s="510"/>
      <c r="B47" s="1335"/>
      <c r="C47" s="1335"/>
      <c r="D47" s="1335"/>
      <c r="E47" s="1312"/>
      <c r="F47" s="1335"/>
      <c r="G47" s="1312"/>
      <c r="H47" s="1335"/>
      <c r="I47" s="1312"/>
      <c r="J47" s="1335"/>
      <c r="K47" s="1335"/>
      <c r="L47" s="1335"/>
      <c r="M47" s="1312"/>
      <c r="N47" s="1335"/>
      <c r="O47" s="1312"/>
      <c r="P47" s="1335"/>
      <c r="Q47" s="1312"/>
      <c r="R47" s="1335"/>
      <c r="S47" s="1312"/>
      <c r="T47" s="1335"/>
      <c r="U47" s="1312"/>
      <c r="V47" s="1335"/>
      <c r="W47" s="1312"/>
      <c r="X47" s="1335"/>
      <c r="Y47" s="1312"/>
      <c r="Z47" s="1317"/>
    </row>
    <row r="48" spans="1:28">
      <c r="L48" s="1561" t="s">
        <v>15</v>
      </c>
    </row>
    <row r="49" spans="1:26" ht="18" customHeight="1">
      <c r="A49" s="1563" t="s">
        <v>1382</v>
      </c>
      <c r="B49" s="1307"/>
      <c r="C49" s="1307"/>
      <c r="D49" s="1307"/>
      <c r="E49" s="478"/>
      <c r="F49" s="1307"/>
      <c r="G49" s="478"/>
      <c r="H49" s="1307"/>
      <c r="I49" s="478"/>
      <c r="J49" s="1307"/>
      <c r="K49" s="1307"/>
      <c r="L49" s="1307"/>
      <c r="M49" s="1312"/>
      <c r="N49" s="1307" t="s">
        <v>15</v>
      </c>
      <c r="O49" s="478"/>
      <c r="P49" s="1307"/>
      <c r="Q49" s="478"/>
      <c r="R49" s="1307"/>
      <c r="S49" s="478"/>
      <c r="T49" s="1307"/>
      <c r="U49" s="478"/>
      <c r="V49" s="1307"/>
      <c r="W49" s="478"/>
      <c r="X49" s="1307"/>
      <c r="Y49" s="478"/>
      <c r="Z49" s="1308"/>
    </row>
    <row r="50" spans="1:26" ht="20.149999999999999" customHeight="1">
      <c r="A50" s="1562" t="s">
        <v>1305</v>
      </c>
      <c r="B50" s="1335"/>
      <c r="C50" s="1335"/>
      <c r="D50" s="1335"/>
      <c r="E50" s="1312"/>
      <c r="F50" s="1335"/>
      <c r="G50" s="1312"/>
      <c r="H50" s="1335"/>
      <c r="I50" s="1312"/>
      <c r="J50" s="1335"/>
      <c r="K50" s="1335"/>
      <c r="L50" s="1335"/>
      <c r="M50" s="1312"/>
      <c r="N50" s="1335" t="s">
        <v>15</v>
      </c>
      <c r="O50" s="1312"/>
      <c r="P50" s="1335"/>
      <c r="Q50" s="1312"/>
      <c r="R50" s="1335"/>
      <c r="S50" s="1312"/>
      <c r="T50" s="1335"/>
      <c r="U50" s="1312"/>
      <c r="V50" s="1335"/>
      <c r="W50" s="1312"/>
      <c r="X50" s="1335"/>
      <c r="Y50" s="1312"/>
      <c r="Z50" s="1317"/>
    </row>
    <row r="51" spans="1:26" ht="20.149999999999999" customHeight="1">
      <c r="A51" s="1562"/>
      <c r="B51" s="1335"/>
      <c r="C51" s="1335"/>
      <c r="D51" s="1335"/>
      <c r="E51" s="1312"/>
      <c r="F51" s="1335"/>
      <c r="G51" s="1312"/>
      <c r="H51" s="1335"/>
      <c r="I51" s="1312"/>
      <c r="J51" s="1335"/>
      <c r="K51" s="1335"/>
      <c r="L51" s="1335"/>
      <c r="M51" s="1312"/>
      <c r="N51" s="1335" t="s">
        <v>15</v>
      </c>
      <c r="O51" s="1312"/>
      <c r="P51" s="1335"/>
      <c r="Q51" s="1312"/>
      <c r="R51" s="1335"/>
      <c r="S51" s="1312"/>
      <c r="T51" s="1335"/>
      <c r="U51" s="1312"/>
      <c r="V51" s="1335"/>
      <c r="W51" s="1312"/>
      <c r="X51" s="1335"/>
      <c r="Y51" s="1312"/>
      <c r="Z51" s="1317"/>
    </row>
    <row r="52" spans="1:26" ht="20.149999999999999" customHeight="1">
      <c r="A52" s="1587"/>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49999999999999"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49999999999999"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49999999999999"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49999999999999"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ref="A19:AN28">
    <sortCondition ref="A19:A28"/>
  </sortState>
  <pageMargins left="0.25" right="0.25" top="0.5" bottom="0.25" header="0" footer="0.25"/>
  <pageSetup scale="40"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3:Z34"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showGridLines="0" zoomScale="70" zoomScaleNormal="70" workbookViewId="0"/>
  </sheetViews>
  <sheetFormatPr defaultColWidth="8.69140625" defaultRowHeight="17.25" customHeight="1"/>
  <cols>
    <col min="1" max="1" width="60.53515625" style="3782" customWidth="1"/>
    <col min="2" max="2" width="2.07421875" style="3593" customWidth="1"/>
    <col min="3" max="3" width="21.4609375" style="3782" customWidth="1"/>
    <col min="4" max="4" width="22.07421875" style="3782" customWidth="1"/>
    <col min="5" max="5" width="20.69140625" style="3782" customWidth="1"/>
    <col min="6" max="6" width="2" style="3782" customWidth="1"/>
    <col min="7" max="7" width="22.07421875" style="3596" customWidth="1"/>
    <col min="8" max="8" width="22.53515625" style="3593" customWidth="1"/>
    <col min="9" max="9" width="21.07421875" style="3593" customWidth="1"/>
    <col min="10" max="10" width="8.69140625" style="3593"/>
    <col min="11" max="11" width="15.69140625" style="3593" customWidth="1"/>
    <col min="12" max="12" width="18" style="3593" bestFit="1" customWidth="1"/>
    <col min="13" max="13" width="15.07421875" style="3593" bestFit="1" customWidth="1"/>
    <col min="14" max="16384" width="8.69140625" style="3593"/>
  </cols>
  <sheetData>
    <row r="1" spans="1:13" ht="17.25" customHeight="1">
      <c r="A1" s="1499" t="s">
        <v>963</v>
      </c>
    </row>
    <row r="3" spans="1:13" ht="25.4" customHeight="1">
      <c r="A3" s="3819" t="s">
        <v>0</v>
      </c>
      <c r="C3" s="3594"/>
      <c r="D3" s="3594"/>
      <c r="E3" s="3594"/>
      <c r="F3" s="3595"/>
      <c r="H3" s="3598" t="s">
        <v>15</v>
      </c>
      <c r="I3" s="3599" t="s">
        <v>1423</v>
      </c>
    </row>
    <row r="4" spans="1:13" ht="25.4" customHeight="1">
      <c r="A4" s="3820" t="s">
        <v>1447</v>
      </c>
      <c r="C4" s="3594"/>
      <c r="D4" s="3594"/>
      <c r="E4" s="3594"/>
      <c r="F4" s="3595"/>
    </row>
    <row r="5" spans="1:13" ht="21" customHeight="1">
      <c r="A5" s="3821" t="s">
        <v>1475</v>
      </c>
      <c r="C5" s="3594"/>
      <c r="D5" s="3594"/>
      <c r="E5" s="3594"/>
      <c r="F5" s="3595"/>
    </row>
    <row r="6" spans="1:13" ht="17.25" customHeight="1">
      <c r="A6" s="3822"/>
      <c r="C6" s="3594"/>
      <c r="D6" s="3594"/>
      <c r="E6" s="3594"/>
      <c r="F6" s="3595"/>
    </row>
    <row r="7" spans="1:13" ht="17.25" customHeight="1">
      <c r="A7" s="3823"/>
      <c r="B7" s="3652"/>
      <c r="C7" s="3967" t="s">
        <v>1541</v>
      </c>
      <c r="D7" s="3968"/>
      <c r="E7" s="3968"/>
      <c r="F7" s="3768"/>
      <c r="G7" s="3968" t="s">
        <v>1558</v>
      </c>
      <c r="H7" s="3968"/>
      <c r="I7" s="3968"/>
    </row>
    <row r="8" spans="1:13" ht="17.25" customHeight="1">
      <c r="A8" s="3823"/>
      <c r="B8" s="3652"/>
      <c r="C8" s="3823"/>
      <c r="D8" s="3823"/>
      <c r="E8" s="3823"/>
      <c r="F8" s="3823"/>
      <c r="G8" s="3770"/>
      <c r="H8" s="3652"/>
      <c r="I8" s="3652"/>
    </row>
    <row r="9" spans="1:13" ht="17.25" customHeight="1">
      <c r="A9" s="3653"/>
      <c r="B9" s="3652"/>
      <c r="C9" s="3653" t="s">
        <v>1385</v>
      </c>
      <c r="D9" s="3653" t="s">
        <v>1386</v>
      </c>
      <c r="E9" s="3653" t="s">
        <v>1554</v>
      </c>
      <c r="F9" s="3653"/>
      <c r="G9" s="3653" t="s">
        <v>1385</v>
      </c>
      <c r="H9" s="3653" t="s">
        <v>1386</v>
      </c>
      <c r="I9" s="3597" t="s">
        <v>1387</v>
      </c>
    </row>
    <row r="10" spans="1:13" s="3826" customFormat="1" ht="17.25" customHeight="1">
      <c r="A10" s="3824"/>
      <c r="B10" s="3773"/>
      <c r="C10" s="3825"/>
      <c r="D10" s="3825"/>
      <c r="E10" s="3825"/>
      <c r="F10" s="3825"/>
      <c r="G10" s="3616"/>
      <c r="H10" s="3616"/>
      <c r="I10" s="3616"/>
    </row>
    <row r="11" spans="1:13" s="3830" customFormat="1" ht="17.25" customHeight="1">
      <c r="A11" s="3827" t="s">
        <v>1388</v>
      </c>
      <c r="B11" s="3828"/>
      <c r="C11" s="3617">
        <v>0</v>
      </c>
      <c r="D11" s="3617">
        <v>59931059</v>
      </c>
      <c r="E11" s="3829">
        <f>C11+D11</f>
        <v>59931059</v>
      </c>
      <c r="F11" s="3829"/>
      <c r="G11" s="3617">
        <v>0</v>
      </c>
      <c r="H11" s="3617">
        <v>101752582</v>
      </c>
      <c r="I11" s="3829">
        <f>G11+H11</f>
        <v>101752582</v>
      </c>
      <c r="K11" s="3831"/>
      <c r="L11" s="3831"/>
    </row>
    <row r="12" spans="1:13" s="3830" customFormat="1" ht="17.25" customHeight="1">
      <c r="A12" s="3827" t="s">
        <v>1412</v>
      </c>
      <c r="B12" s="3828"/>
      <c r="C12" s="3832">
        <v>23681658</v>
      </c>
      <c r="D12" s="3618">
        <v>14255323.810000001</v>
      </c>
      <c r="E12" s="3613">
        <f>C12+D12</f>
        <v>37936981.810000002</v>
      </c>
      <c r="F12" s="3613"/>
      <c r="G12" s="3832">
        <v>71548963</v>
      </c>
      <c r="H12" s="3618">
        <v>9402765.5899999999</v>
      </c>
      <c r="I12" s="3613">
        <f>G12+H12</f>
        <v>80951728.590000004</v>
      </c>
      <c r="K12" s="3831"/>
      <c r="L12" s="3831"/>
      <c r="M12" s="3831"/>
    </row>
    <row r="13" spans="1:13" s="3830" customFormat="1" ht="17.25" customHeight="1">
      <c r="A13" s="3827" t="s">
        <v>1413</v>
      </c>
      <c r="B13" s="3828"/>
      <c r="C13" s="3832">
        <v>0</v>
      </c>
      <c r="D13" s="3618">
        <v>0</v>
      </c>
      <c r="E13" s="3613">
        <f t="shared" ref="E13:E56" si="0">C13+D13</f>
        <v>0</v>
      </c>
      <c r="F13" s="3613"/>
      <c r="G13" s="3832">
        <v>0</v>
      </c>
      <c r="H13" s="3618">
        <v>171294520</v>
      </c>
      <c r="I13" s="3613">
        <f t="shared" ref="I13:I56" si="1">G13+H13</f>
        <v>171294520</v>
      </c>
      <c r="K13" s="3831"/>
      <c r="L13" s="3831"/>
    </row>
    <row r="14" spans="1:13" s="3830" customFormat="1" ht="17.25" customHeight="1">
      <c r="A14" s="3600" t="s">
        <v>1403</v>
      </c>
      <c r="B14" s="3833"/>
      <c r="C14" s="3832">
        <v>2780320.79</v>
      </c>
      <c r="D14" s="3618">
        <v>0</v>
      </c>
      <c r="E14" s="3613">
        <f t="shared" si="0"/>
        <v>2780320.79</v>
      </c>
      <c r="F14" s="3613"/>
      <c r="G14" s="3832">
        <v>29777290.23</v>
      </c>
      <c r="H14" s="3618">
        <v>145062864</v>
      </c>
      <c r="I14" s="3613">
        <f t="shared" si="1"/>
        <v>174840154.22999999</v>
      </c>
      <c r="K14" s="3831"/>
      <c r="L14" s="3831"/>
    </row>
    <row r="15" spans="1:13" s="3830" customFormat="1" ht="17.25" customHeight="1">
      <c r="A15" s="3827" t="s">
        <v>1414</v>
      </c>
      <c r="B15" s="3828"/>
      <c r="C15" s="3832">
        <v>43278.22</v>
      </c>
      <c r="D15" s="3618">
        <v>0</v>
      </c>
      <c r="E15" s="3613">
        <f t="shared" si="0"/>
        <v>43278.22</v>
      </c>
      <c r="F15" s="3613"/>
      <c r="G15" s="3832">
        <v>1251523.21</v>
      </c>
      <c r="H15" s="3618">
        <v>0</v>
      </c>
      <c r="I15" s="3613">
        <f t="shared" si="1"/>
        <v>1251523.21</v>
      </c>
      <c r="K15" s="3831"/>
      <c r="L15" s="3831"/>
    </row>
    <row r="16" spans="1:13" s="3830" customFormat="1" ht="17.25" customHeight="1">
      <c r="A16" s="3827" t="s">
        <v>1415</v>
      </c>
      <c r="B16" s="3828"/>
      <c r="C16" s="3832">
        <v>894929</v>
      </c>
      <c r="D16" s="3618">
        <v>0</v>
      </c>
      <c r="E16" s="3613">
        <f t="shared" si="0"/>
        <v>894929</v>
      </c>
      <c r="F16" s="3613"/>
      <c r="G16" s="3832">
        <v>6373354.4100000001</v>
      </c>
      <c r="H16" s="3618">
        <v>0</v>
      </c>
      <c r="I16" s="3613">
        <f t="shared" si="1"/>
        <v>6373354.4100000001</v>
      </c>
      <c r="K16" s="3831"/>
      <c r="L16" s="3831"/>
    </row>
    <row r="17" spans="1:12" s="3830" customFormat="1" ht="17.25" customHeight="1">
      <c r="A17" s="3827" t="s">
        <v>1416</v>
      </c>
      <c r="B17" s="3828"/>
      <c r="C17" s="3832">
        <v>0</v>
      </c>
      <c r="D17" s="3618">
        <v>0</v>
      </c>
      <c r="E17" s="3613">
        <f t="shared" si="0"/>
        <v>0</v>
      </c>
      <c r="F17" s="3613"/>
      <c r="G17" s="3832">
        <v>0</v>
      </c>
      <c r="H17" s="3618">
        <v>0</v>
      </c>
      <c r="I17" s="3613">
        <f t="shared" si="1"/>
        <v>0</v>
      </c>
      <c r="K17" s="3831"/>
      <c r="L17" s="3831"/>
    </row>
    <row r="18" spans="1:12" s="3830" customFormat="1" ht="17.25" customHeight="1">
      <c r="A18" s="3827" t="s">
        <v>1389</v>
      </c>
      <c r="B18" s="3828"/>
      <c r="C18" s="3832">
        <v>11119.99</v>
      </c>
      <c r="D18" s="3618">
        <v>0</v>
      </c>
      <c r="E18" s="3613">
        <f t="shared" si="0"/>
        <v>11119.99</v>
      </c>
      <c r="F18" s="3613"/>
      <c r="G18" s="3832">
        <v>634323.41</v>
      </c>
      <c r="H18" s="3618">
        <v>0</v>
      </c>
      <c r="I18" s="3613">
        <f t="shared" si="1"/>
        <v>634323.41</v>
      </c>
      <c r="K18" s="3831"/>
      <c r="L18" s="3831"/>
    </row>
    <row r="19" spans="1:12" s="3830" customFormat="1" ht="17.25" customHeight="1">
      <c r="A19" s="3827" t="s">
        <v>1390</v>
      </c>
      <c r="B19" s="3828"/>
      <c r="C19" s="3832">
        <v>0</v>
      </c>
      <c r="D19" s="3618">
        <v>2263171.92</v>
      </c>
      <c r="E19" s="3613">
        <f t="shared" si="0"/>
        <v>2263171.92</v>
      </c>
      <c r="F19" s="3613"/>
      <c r="G19" s="3832">
        <v>0</v>
      </c>
      <c r="H19" s="3618">
        <v>7177836.1200000001</v>
      </c>
      <c r="I19" s="3613">
        <f t="shared" si="1"/>
        <v>7177836.1200000001</v>
      </c>
      <c r="K19" s="3831"/>
      <c r="L19" s="3831"/>
    </row>
    <row r="20" spans="1:12" s="3830" customFormat="1" ht="17.25" customHeight="1">
      <c r="A20" s="3827" t="s">
        <v>1391</v>
      </c>
      <c r="B20" s="3828"/>
      <c r="C20" s="3832">
        <v>666098.56000000006</v>
      </c>
      <c r="D20" s="3618">
        <v>0</v>
      </c>
      <c r="E20" s="3613">
        <f t="shared" si="0"/>
        <v>666098.56000000006</v>
      </c>
      <c r="F20" s="3613"/>
      <c r="G20" s="3832">
        <v>1870929.06</v>
      </c>
      <c r="H20" s="3618">
        <v>0</v>
      </c>
      <c r="I20" s="3613">
        <f t="shared" si="1"/>
        <v>1870929.06</v>
      </c>
      <c r="K20" s="3831"/>
      <c r="L20" s="3831"/>
    </row>
    <row r="21" spans="1:12" s="3830" customFormat="1" ht="17.25" customHeight="1">
      <c r="A21" s="3827" t="s">
        <v>1433</v>
      </c>
      <c r="B21" s="3828"/>
      <c r="C21" s="3832">
        <v>0</v>
      </c>
      <c r="D21" s="3618">
        <v>0</v>
      </c>
      <c r="E21" s="3613">
        <f t="shared" si="0"/>
        <v>0</v>
      </c>
      <c r="F21" s="3613"/>
      <c r="G21" s="3832">
        <v>750000</v>
      </c>
      <c r="H21" s="3618">
        <v>0</v>
      </c>
      <c r="I21" s="3613">
        <f t="shared" si="1"/>
        <v>750000</v>
      </c>
      <c r="K21" s="3831"/>
      <c r="L21" s="3831"/>
    </row>
    <row r="22" spans="1:12" s="3830" customFormat="1" ht="17.25" customHeight="1">
      <c r="A22" s="3827" t="s">
        <v>1417</v>
      </c>
      <c r="B22" s="3828"/>
      <c r="C22" s="3832">
        <v>0</v>
      </c>
      <c r="D22" s="3618">
        <v>0</v>
      </c>
      <c r="E22" s="3613">
        <f t="shared" si="0"/>
        <v>0</v>
      </c>
      <c r="F22" s="3613"/>
      <c r="G22" s="3832">
        <v>2851067.25</v>
      </c>
      <c r="H22" s="3618">
        <v>0</v>
      </c>
      <c r="I22" s="3613">
        <f t="shared" si="1"/>
        <v>2851067.25</v>
      </c>
      <c r="K22" s="3831"/>
      <c r="L22" s="3831"/>
    </row>
    <row r="23" spans="1:12" s="3830" customFormat="1" ht="17.25" customHeight="1">
      <c r="A23" s="3827" t="s">
        <v>1392</v>
      </c>
      <c r="B23" s="3828"/>
      <c r="C23" s="3832">
        <v>0</v>
      </c>
      <c r="D23" s="3618">
        <v>0</v>
      </c>
      <c r="E23" s="3613">
        <f t="shared" si="0"/>
        <v>0</v>
      </c>
      <c r="F23" s="3613"/>
      <c r="G23" s="3832">
        <v>0</v>
      </c>
      <c r="H23" s="3618">
        <v>0</v>
      </c>
      <c r="I23" s="3613">
        <f t="shared" si="1"/>
        <v>0</v>
      </c>
      <c r="K23" s="3831"/>
      <c r="L23" s="3831"/>
    </row>
    <row r="24" spans="1:12" s="3830" customFormat="1" ht="17.25" customHeight="1">
      <c r="A24" s="3827" t="s">
        <v>1434</v>
      </c>
      <c r="B24" s="3828"/>
      <c r="C24" s="3832">
        <v>0</v>
      </c>
      <c r="D24" s="3618">
        <v>0</v>
      </c>
      <c r="E24" s="3613">
        <f t="shared" si="0"/>
        <v>0</v>
      </c>
      <c r="F24" s="3613"/>
      <c r="G24" s="3832">
        <v>0</v>
      </c>
      <c r="H24" s="3618">
        <v>0</v>
      </c>
      <c r="I24" s="3613">
        <f t="shared" si="1"/>
        <v>0</v>
      </c>
      <c r="K24" s="3831"/>
      <c r="L24" s="3831"/>
    </row>
    <row r="25" spans="1:12" s="3830" customFormat="1" ht="17.25" customHeight="1">
      <c r="A25" s="3827" t="s">
        <v>1418</v>
      </c>
      <c r="B25" s="3828"/>
      <c r="C25" s="3832">
        <v>0</v>
      </c>
      <c r="D25" s="3618">
        <v>0</v>
      </c>
      <c r="E25" s="3613">
        <f t="shared" si="0"/>
        <v>0</v>
      </c>
      <c r="F25" s="3613"/>
      <c r="G25" s="3832">
        <v>0</v>
      </c>
      <c r="H25" s="3618">
        <v>0</v>
      </c>
      <c r="I25" s="3613">
        <f t="shared" si="1"/>
        <v>0</v>
      </c>
      <c r="K25" s="3831"/>
      <c r="L25" s="3831"/>
    </row>
    <row r="26" spans="1:12" s="3830" customFormat="1" ht="17.25" customHeight="1">
      <c r="A26" s="3827" t="s">
        <v>1419</v>
      </c>
      <c r="B26" s="3828"/>
      <c r="C26" s="3832">
        <v>0</v>
      </c>
      <c r="D26" s="3618">
        <v>0</v>
      </c>
      <c r="E26" s="3613">
        <f t="shared" si="0"/>
        <v>0</v>
      </c>
      <c r="F26" s="3613"/>
      <c r="G26" s="3832">
        <v>0</v>
      </c>
      <c r="H26" s="3618">
        <v>0</v>
      </c>
      <c r="I26" s="3613">
        <f t="shared" si="1"/>
        <v>0</v>
      </c>
      <c r="K26" s="3831"/>
      <c r="L26" s="3831"/>
    </row>
    <row r="27" spans="1:12" s="3830" customFormat="1" ht="17.25" customHeight="1">
      <c r="A27" s="3827" t="s">
        <v>1463</v>
      </c>
      <c r="B27" s="3828"/>
      <c r="C27" s="3832">
        <v>0</v>
      </c>
      <c r="D27" s="3618">
        <v>0</v>
      </c>
      <c r="E27" s="3613">
        <f t="shared" si="0"/>
        <v>0</v>
      </c>
      <c r="F27" s="3613"/>
      <c r="G27" s="3832">
        <v>0</v>
      </c>
      <c r="H27" s="3618">
        <v>0</v>
      </c>
      <c r="I27" s="3613">
        <f t="shared" si="1"/>
        <v>0</v>
      </c>
      <c r="K27" s="3831"/>
      <c r="L27" s="3831"/>
    </row>
    <row r="28" spans="1:12" s="3830" customFormat="1" ht="17.25" customHeight="1">
      <c r="A28" s="3827" t="s">
        <v>1428</v>
      </c>
      <c r="B28" s="3828"/>
      <c r="C28" s="3832">
        <v>0</v>
      </c>
      <c r="D28" s="3618">
        <v>0</v>
      </c>
      <c r="E28" s="3613">
        <f t="shared" si="0"/>
        <v>0</v>
      </c>
      <c r="F28" s="3613"/>
      <c r="G28" s="3832">
        <v>35239490</v>
      </c>
      <c r="H28" s="3618">
        <v>0</v>
      </c>
      <c r="I28" s="3613">
        <f t="shared" si="1"/>
        <v>35239490</v>
      </c>
      <c r="K28" s="3831"/>
      <c r="L28" s="3831"/>
    </row>
    <row r="29" spans="1:12" s="3830" customFormat="1" ht="17.25" customHeight="1">
      <c r="A29" s="3827" t="s">
        <v>1393</v>
      </c>
      <c r="B29" s="3828"/>
      <c r="C29" s="3832">
        <v>0</v>
      </c>
      <c r="D29" s="3618">
        <v>0</v>
      </c>
      <c r="E29" s="3613">
        <f t="shared" si="0"/>
        <v>0</v>
      </c>
      <c r="F29" s="3613"/>
      <c r="G29" s="3832">
        <v>0</v>
      </c>
      <c r="H29" s="3618">
        <v>0</v>
      </c>
      <c r="I29" s="3613">
        <f t="shared" si="1"/>
        <v>0</v>
      </c>
      <c r="K29" s="3831"/>
      <c r="L29" s="3831"/>
    </row>
    <row r="30" spans="1:12" s="3830" customFormat="1" ht="17.25" customHeight="1">
      <c r="A30" s="3827" t="s">
        <v>1394</v>
      </c>
      <c r="B30" s="3828"/>
      <c r="C30" s="3832">
        <v>710051.21</v>
      </c>
      <c r="D30" s="3618">
        <v>0</v>
      </c>
      <c r="E30" s="3613">
        <f t="shared" si="0"/>
        <v>710051.21</v>
      </c>
      <c r="F30" s="3613"/>
      <c r="G30" s="3832">
        <v>4336749.71</v>
      </c>
      <c r="H30" s="3618">
        <v>0</v>
      </c>
      <c r="I30" s="3613">
        <f t="shared" si="1"/>
        <v>4336749.71</v>
      </c>
      <c r="K30" s="3831"/>
      <c r="L30" s="3831"/>
    </row>
    <row r="31" spans="1:12" s="3830" customFormat="1" ht="17.25" customHeight="1">
      <c r="A31" s="3827" t="s">
        <v>1427</v>
      </c>
      <c r="B31" s="3828"/>
      <c r="C31" s="3832">
        <v>0</v>
      </c>
      <c r="D31" s="3618">
        <v>0</v>
      </c>
      <c r="E31" s="3613">
        <f t="shared" si="0"/>
        <v>0</v>
      </c>
      <c r="F31" s="3613"/>
      <c r="G31" s="3832">
        <v>750709.02</v>
      </c>
      <c r="H31" s="3618">
        <v>0</v>
      </c>
      <c r="I31" s="3613">
        <f t="shared" si="1"/>
        <v>750709.02</v>
      </c>
      <c r="K31" s="3831"/>
      <c r="L31" s="3831"/>
    </row>
    <row r="32" spans="1:12" s="3830" customFormat="1" ht="17.25" customHeight="1">
      <c r="A32" s="3827" t="s">
        <v>1430</v>
      </c>
      <c r="B32" s="3828"/>
      <c r="C32" s="3832">
        <v>2041565.7</v>
      </c>
      <c r="D32" s="3618">
        <v>0</v>
      </c>
      <c r="E32" s="3613">
        <f t="shared" si="0"/>
        <v>2041565.7</v>
      </c>
      <c r="F32" s="3613"/>
      <c r="G32" s="3832">
        <v>15677979.529999999</v>
      </c>
      <c r="H32" s="3618">
        <v>0</v>
      </c>
      <c r="I32" s="3613">
        <f t="shared" si="1"/>
        <v>15677979.529999999</v>
      </c>
      <c r="K32" s="3831"/>
      <c r="L32" s="3831"/>
    </row>
    <row r="33" spans="1:12" s="3830" customFormat="1" ht="17.25" customHeight="1">
      <c r="A33" s="3827" t="s">
        <v>1395</v>
      </c>
      <c r="B33" s="3828"/>
      <c r="C33" s="3832">
        <v>2272266.33</v>
      </c>
      <c r="D33" s="3618">
        <v>2289337</v>
      </c>
      <c r="E33" s="3613">
        <f t="shared" si="0"/>
        <v>4561603.33</v>
      </c>
      <c r="F33" s="3613"/>
      <c r="G33" s="3832">
        <v>14492893.42</v>
      </c>
      <c r="H33" s="3618">
        <v>6144673.3799999999</v>
      </c>
      <c r="I33" s="3613">
        <f t="shared" si="1"/>
        <v>20637566.800000001</v>
      </c>
      <c r="K33" s="3831"/>
      <c r="L33" s="3831"/>
    </row>
    <row r="34" spans="1:12" s="3830" customFormat="1" ht="17.25" customHeight="1">
      <c r="A34" s="3827" t="s">
        <v>1396</v>
      </c>
      <c r="B34" s="3828"/>
      <c r="C34" s="3832">
        <v>0</v>
      </c>
      <c r="D34" s="3618">
        <v>0</v>
      </c>
      <c r="E34" s="3613">
        <f t="shared" si="0"/>
        <v>0</v>
      </c>
      <c r="F34" s="3613"/>
      <c r="G34" s="3832">
        <v>376446.03</v>
      </c>
      <c r="H34" s="3618">
        <v>0</v>
      </c>
      <c r="I34" s="3613">
        <f t="shared" si="1"/>
        <v>376446.03</v>
      </c>
      <c r="K34" s="3831"/>
      <c r="L34" s="3831"/>
    </row>
    <row r="35" spans="1:12" s="3830" customFormat="1" ht="17.25" customHeight="1">
      <c r="A35" s="3827" t="s">
        <v>1397</v>
      </c>
      <c r="B35" s="3828"/>
      <c r="C35" s="3832">
        <v>9399517.5</v>
      </c>
      <c r="D35" s="3618">
        <v>0</v>
      </c>
      <c r="E35" s="3613">
        <f t="shared" si="0"/>
        <v>9399517.5</v>
      </c>
      <c r="F35" s="3613"/>
      <c r="G35" s="3832">
        <v>8078589.9500000002</v>
      </c>
      <c r="H35" s="3618">
        <v>0</v>
      </c>
      <c r="I35" s="3613">
        <f t="shared" si="1"/>
        <v>8078589.9500000002</v>
      </c>
      <c r="K35" s="3831"/>
      <c r="L35" s="3831"/>
    </row>
    <row r="36" spans="1:12" s="3830" customFormat="1" ht="17.25" customHeight="1">
      <c r="A36" s="3827" t="s">
        <v>1404</v>
      </c>
      <c r="B36" s="3828"/>
      <c r="C36" s="3832">
        <v>-70399426.980000004</v>
      </c>
      <c r="D36" s="3618">
        <v>0</v>
      </c>
      <c r="E36" s="3613">
        <f t="shared" si="0"/>
        <v>-70399426.980000004</v>
      </c>
      <c r="F36" s="3613"/>
      <c r="G36" s="3832">
        <v>207433273.63</v>
      </c>
      <c r="H36" s="3618">
        <v>0</v>
      </c>
      <c r="I36" s="3613">
        <f t="shared" si="1"/>
        <v>207433273.63</v>
      </c>
      <c r="K36" s="3831"/>
      <c r="L36" s="3831"/>
    </row>
    <row r="37" spans="1:12" s="3830" customFormat="1" ht="17.25" customHeight="1">
      <c r="A37" s="3827" t="s">
        <v>1461</v>
      </c>
      <c r="B37" s="3828"/>
      <c r="C37" s="3832">
        <v>0</v>
      </c>
      <c r="D37" s="3618">
        <v>0</v>
      </c>
      <c r="E37" s="3613">
        <f t="shared" si="0"/>
        <v>0</v>
      </c>
      <c r="F37" s="3613"/>
      <c r="G37" s="3832">
        <v>46974452.850000001</v>
      </c>
      <c r="H37" s="3618">
        <v>0</v>
      </c>
      <c r="I37" s="3613">
        <f t="shared" si="1"/>
        <v>46974452.850000001</v>
      </c>
      <c r="K37" s="3831"/>
      <c r="L37" s="3831"/>
    </row>
    <row r="38" spans="1:12" s="3830" customFormat="1" ht="17.25" customHeight="1">
      <c r="A38" s="3827" t="s">
        <v>1405</v>
      </c>
      <c r="B38" s="3828"/>
      <c r="C38" s="3832">
        <v>55118719.109999999</v>
      </c>
      <c r="D38" s="3618">
        <v>0</v>
      </c>
      <c r="E38" s="3613">
        <f t="shared" si="0"/>
        <v>55118719.109999999</v>
      </c>
      <c r="F38" s="3613"/>
      <c r="G38" s="3832">
        <v>126997530.12</v>
      </c>
      <c r="H38" s="3618">
        <v>0</v>
      </c>
      <c r="I38" s="3613">
        <f t="shared" si="1"/>
        <v>126997530.12</v>
      </c>
      <c r="K38" s="3831"/>
      <c r="L38" s="3831"/>
    </row>
    <row r="39" spans="1:12" s="3830" customFormat="1" ht="17.25" customHeight="1">
      <c r="A39" s="3827" t="s">
        <v>1406</v>
      </c>
      <c r="B39" s="3828"/>
      <c r="C39" s="3832">
        <v>14183059.01</v>
      </c>
      <c r="D39" s="3618">
        <v>0</v>
      </c>
      <c r="E39" s="3613">
        <f t="shared" si="0"/>
        <v>14183059.01</v>
      </c>
      <c r="F39" s="3613"/>
      <c r="G39" s="3832">
        <v>95936003.620000005</v>
      </c>
      <c r="H39" s="3618">
        <v>0</v>
      </c>
      <c r="I39" s="3613">
        <f t="shared" si="1"/>
        <v>95936003.620000005</v>
      </c>
      <c r="K39" s="3831"/>
      <c r="L39" s="3831"/>
    </row>
    <row r="40" spans="1:12" s="3830" customFormat="1" ht="17.25" customHeight="1">
      <c r="A40" s="3827" t="s">
        <v>1398</v>
      </c>
      <c r="B40" s="3828"/>
      <c r="C40" s="3832">
        <v>80165853.460000008</v>
      </c>
      <c r="D40" s="3618">
        <v>0</v>
      </c>
      <c r="E40" s="3613">
        <f t="shared" si="0"/>
        <v>80165853.460000008</v>
      </c>
      <c r="F40" s="3613"/>
      <c r="G40" s="3832">
        <v>529070508.45999998</v>
      </c>
      <c r="H40" s="3618">
        <v>0</v>
      </c>
      <c r="I40" s="3613">
        <f t="shared" si="1"/>
        <v>529070508.45999998</v>
      </c>
      <c r="K40" s="3831"/>
      <c r="L40" s="3831"/>
    </row>
    <row r="41" spans="1:12" s="3830" customFormat="1" ht="17.25" customHeight="1">
      <c r="A41" s="3827" t="s">
        <v>1407</v>
      </c>
      <c r="B41" s="3828"/>
      <c r="C41" s="3832">
        <v>341589445.61999995</v>
      </c>
      <c r="D41" s="3618">
        <v>0</v>
      </c>
      <c r="E41" s="3613">
        <f t="shared" si="0"/>
        <v>341589445.61999995</v>
      </c>
      <c r="F41" s="3613"/>
      <c r="G41" s="3832">
        <v>4127660809.0300002</v>
      </c>
      <c r="H41" s="3618">
        <v>0</v>
      </c>
      <c r="I41" s="3613">
        <f t="shared" si="1"/>
        <v>4127660809.0300002</v>
      </c>
      <c r="K41" s="3831"/>
      <c r="L41" s="3831"/>
    </row>
    <row r="42" spans="1:12" s="3830" customFormat="1" ht="17.25" customHeight="1">
      <c r="A42" s="3827" t="s">
        <v>1408</v>
      </c>
      <c r="B42" s="3828"/>
      <c r="C42" s="3832">
        <v>454658669.27999997</v>
      </c>
      <c r="D42" s="3618">
        <v>0</v>
      </c>
      <c r="E42" s="3613">
        <f t="shared" si="0"/>
        <v>454658669.27999997</v>
      </c>
      <c r="F42" s="3613"/>
      <c r="G42" s="3832">
        <v>2957949491.2599998</v>
      </c>
      <c r="H42" s="3618">
        <v>0</v>
      </c>
      <c r="I42" s="3613">
        <f t="shared" si="1"/>
        <v>2957949491.2599998</v>
      </c>
      <c r="K42" s="3831"/>
      <c r="L42" s="3831"/>
    </row>
    <row r="43" spans="1:12" s="3830" customFormat="1" ht="17.25" customHeight="1">
      <c r="A43" s="3827" t="s">
        <v>1399</v>
      </c>
      <c r="B43" s="3828"/>
      <c r="C43" s="3832">
        <v>11256030.17</v>
      </c>
      <c r="D43" s="3618">
        <v>0</v>
      </c>
      <c r="E43" s="3613">
        <f t="shared" si="0"/>
        <v>11256030.17</v>
      </c>
      <c r="F43" s="3613"/>
      <c r="G43" s="3832">
        <v>87448143.109999999</v>
      </c>
      <c r="H43" s="3618">
        <v>0</v>
      </c>
      <c r="I43" s="3613">
        <f t="shared" si="1"/>
        <v>87448143.109999999</v>
      </c>
      <c r="K43" s="3831"/>
      <c r="L43" s="3831"/>
    </row>
    <row r="44" spans="1:12" s="3830" customFormat="1" ht="17.25" customHeight="1">
      <c r="A44" s="3827" t="s">
        <v>1409</v>
      </c>
      <c r="B44" s="3828"/>
      <c r="C44" s="3832">
        <v>7231056.6899999995</v>
      </c>
      <c r="D44" s="3618">
        <v>0</v>
      </c>
      <c r="E44" s="3613">
        <f t="shared" si="0"/>
        <v>7231056.6899999995</v>
      </c>
      <c r="F44" s="3613"/>
      <c r="G44" s="3832">
        <v>57693576.68</v>
      </c>
      <c r="H44" s="3618">
        <v>0</v>
      </c>
      <c r="I44" s="3613">
        <f t="shared" si="1"/>
        <v>57693576.68</v>
      </c>
      <c r="K44" s="3831"/>
      <c r="L44" s="3831"/>
    </row>
    <row r="45" spans="1:12" s="3830" customFormat="1" ht="17.25" customHeight="1">
      <c r="A45" s="3827" t="s">
        <v>1410</v>
      </c>
      <c r="B45" s="3828"/>
      <c r="C45" s="3832">
        <v>294940.58999999997</v>
      </c>
      <c r="D45" s="3618">
        <v>0</v>
      </c>
      <c r="E45" s="3613">
        <f t="shared" si="0"/>
        <v>294940.58999999997</v>
      </c>
      <c r="F45" s="3613"/>
      <c r="G45" s="3832">
        <v>1582721.3</v>
      </c>
      <c r="H45" s="3618">
        <v>0</v>
      </c>
      <c r="I45" s="3613">
        <f t="shared" si="1"/>
        <v>1582721.3</v>
      </c>
      <c r="K45" s="3831"/>
      <c r="L45" s="3831"/>
    </row>
    <row r="46" spans="1:12" s="3830" customFormat="1" ht="17.25" customHeight="1">
      <c r="A46" s="3600" t="s">
        <v>1436</v>
      </c>
      <c r="B46" s="3828"/>
      <c r="C46" s="3832">
        <v>168707403.16999996</v>
      </c>
      <c r="D46" s="3618">
        <v>4199</v>
      </c>
      <c r="E46" s="3613">
        <f t="shared" si="0"/>
        <v>168711602.16999996</v>
      </c>
      <c r="F46" s="3613"/>
      <c r="G46" s="3832">
        <v>487257444.76999998</v>
      </c>
      <c r="H46" s="3618">
        <v>11219461</v>
      </c>
      <c r="I46" s="3613">
        <f t="shared" si="1"/>
        <v>498476905.76999998</v>
      </c>
      <c r="K46" s="3831"/>
      <c r="L46" s="3831"/>
    </row>
    <row r="47" spans="1:12" s="3830" customFormat="1" ht="17.25" customHeight="1">
      <c r="A47" s="3827" t="s">
        <v>1411</v>
      </c>
      <c r="B47" s="3828"/>
      <c r="C47" s="3832">
        <v>124458355.38000001</v>
      </c>
      <c r="D47" s="3618">
        <v>0</v>
      </c>
      <c r="E47" s="3613">
        <f t="shared" si="0"/>
        <v>124458355.38000001</v>
      </c>
      <c r="F47" s="3613"/>
      <c r="G47" s="3832">
        <v>818363135.21000004</v>
      </c>
      <c r="H47" s="3618">
        <v>0</v>
      </c>
      <c r="I47" s="3613">
        <f t="shared" si="1"/>
        <v>818363135.21000004</v>
      </c>
      <c r="K47" s="3831"/>
      <c r="L47" s="3831"/>
    </row>
    <row r="48" spans="1:12" s="3830" customFormat="1" ht="17.25" customHeight="1">
      <c r="A48" s="3827" t="s">
        <v>1420</v>
      </c>
      <c r="B48" s="3828"/>
      <c r="C48" s="3832">
        <v>1035387.64</v>
      </c>
      <c r="D48" s="3618">
        <v>0</v>
      </c>
      <c r="E48" s="3613">
        <f t="shared" si="0"/>
        <v>1035387.64</v>
      </c>
      <c r="F48" s="3613"/>
      <c r="G48" s="3832">
        <v>1163698.6100000001</v>
      </c>
      <c r="H48" s="3618">
        <v>0</v>
      </c>
      <c r="I48" s="3613">
        <f t="shared" si="1"/>
        <v>1163698.6100000001</v>
      </c>
      <c r="K48" s="3831"/>
      <c r="L48" s="3831"/>
    </row>
    <row r="49" spans="1:12" s="3830" customFormat="1" ht="17.25" customHeight="1">
      <c r="A49" s="3827" t="s">
        <v>1464</v>
      </c>
      <c r="B49" s="3828"/>
      <c r="C49" s="3832">
        <v>0</v>
      </c>
      <c r="D49" s="3618">
        <v>0</v>
      </c>
      <c r="E49" s="3613">
        <f t="shared" si="0"/>
        <v>0</v>
      </c>
      <c r="F49" s="3613"/>
      <c r="G49" s="3832">
        <v>0</v>
      </c>
      <c r="H49" s="3618">
        <v>0</v>
      </c>
      <c r="I49" s="3613">
        <f t="shared" si="1"/>
        <v>0</v>
      </c>
      <c r="K49" s="3831"/>
      <c r="L49" s="3831"/>
    </row>
    <row r="50" spans="1:12" s="3830" customFormat="1" ht="17.25" customHeight="1">
      <c r="A50" s="3827" t="s">
        <v>1400</v>
      </c>
      <c r="B50" s="3828"/>
      <c r="C50" s="3832">
        <v>300000000</v>
      </c>
      <c r="D50" s="3618">
        <v>0</v>
      </c>
      <c r="E50" s="3613">
        <f t="shared" si="0"/>
        <v>300000000</v>
      </c>
      <c r="F50" s="3613"/>
      <c r="G50" s="3832">
        <v>2325000000</v>
      </c>
      <c r="H50" s="3618">
        <v>0</v>
      </c>
      <c r="I50" s="3613">
        <f t="shared" si="1"/>
        <v>2325000000</v>
      </c>
      <c r="K50" s="3831"/>
      <c r="L50" s="3831"/>
    </row>
    <row r="51" spans="1:12" s="3830" customFormat="1" ht="17.25" customHeight="1">
      <c r="A51" s="3827" t="s">
        <v>1421</v>
      </c>
      <c r="B51" s="3828"/>
      <c r="C51" s="3832">
        <v>51021925.780000001</v>
      </c>
      <c r="D51" s="3618">
        <v>0</v>
      </c>
      <c r="E51" s="3613">
        <f t="shared" si="0"/>
        <v>51021925.780000001</v>
      </c>
      <c r="F51" s="3613"/>
      <c r="G51" s="3832">
        <v>465243981.51999998</v>
      </c>
      <c r="H51" s="3618">
        <v>0</v>
      </c>
      <c r="I51" s="3613">
        <f t="shared" si="1"/>
        <v>465243981.51999998</v>
      </c>
      <c r="K51" s="3831"/>
      <c r="L51" s="3831"/>
    </row>
    <row r="52" spans="1:12" s="3830" customFormat="1" ht="17.25" customHeight="1">
      <c r="A52" s="3827" t="s">
        <v>1422</v>
      </c>
      <c r="B52" s="3828"/>
      <c r="C52" s="3832">
        <v>66317000</v>
      </c>
      <c r="D52" s="3618">
        <v>0</v>
      </c>
      <c r="E52" s="3613">
        <f t="shared" si="0"/>
        <v>66317000</v>
      </c>
      <c r="F52" s="3613"/>
      <c r="G52" s="3832">
        <v>432564000</v>
      </c>
      <c r="H52" s="3618">
        <v>0</v>
      </c>
      <c r="I52" s="3613">
        <f t="shared" si="1"/>
        <v>432564000</v>
      </c>
      <c r="K52" s="3831"/>
      <c r="L52" s="3831"/>
    </row>
    <row r="53" spans="1:12" s="3830" customFormat="1" ht="17.25" customHeight="1">
      <c r="A53" s="3827" t="s">
        <v>1458</v>
      </c>
      <c r="B53" s="3828"/>
      <c r="C53" s="3832">
        <v>0</v>
      </c>
      <c r="D53" s="3618">
        <v>0</v>
      </c>
      <c r="E53" s="3613">
        <f t="shared" si="0"/>
        <v>0</v>
      </c>
      <c r="F53" s="3613"/>
      <c r="G53" s="3618">
        <v>0</v>
      </c>
      <c r="H53" s="3618">
        <v>0</v>
      </c>
      <c r="I53" s="3613">
        <f t="shared" si="1"/>
        <v>0</v>
      </c>
      <c r="K53" s="3831"/>
      <c r="L53" s="3831"/>
    </row>
    <row r="54" spans="1:12" s="3830" customFormat="1" ht="17.25" customHeight="1">
      <c r="A54" s="3827" t="s">
        <v>1459</v>
      </c>
      <c r="B54" s="3828"/>
      <c r="C54" s="3832">
        <v>0</v>
      </c>
      <c r="D54" s="3618">
        <v>0</v>
      </c>
      <c r="E54" s="3613">
        <f t="shared" si="0"/>
        <v>0</v>
      </c>
      <c r="F54" s="3613"/>
      <c r="G54" s="3618">
        <v>0</v>
      </c>
      <c r="H54" s="3618">
        <v>0</v>
      </c>
      <c r="I54" s="3613">
        <f t="shared" si="1"/>
        <v>0</v>
      </c>
      <c r="K54" s="3831"/>
      <c r="L54" s="3831"/>
    </row>
    <row r="55" spans="1:12" s="3830" customFormat="1" ht="17.25" customHeight="1">
      <c r="A55" s="3827" t="s">
        <v>1460</v>
      </c>
      <c r="B55" s="3828"/>
      <c r="C55" s="3832">
        <v>0</v>
      </c>
      <c r="D55" s="3618">
        <v>0</v>
      </c>
      <c r="E55" s="3613">
        <f t="shared" si="0"/>
        <v>0</v>
      </c>
      <c r="F55" s="3613"/>
      <c r="G55" s="3618">
        <v>0</v>
      </c>
      <c r="H55" s="3618">
        <v>0</v>
      </c>
      <c r="I55" s="3613">
        <f t="shared" si="1"/>
        <v>0</v>
      </c>
      <c r="K55" s="3831"/>
      <c r="L55" s="3831"/>
    </row>
    <row r="56" spans="1:12" s="3830" customFormat="1" ht="17.25" customHeight="1">
      <c r="A56" s="3827" t="s">
        <v>1462</v>
      </c>
      <c r="B56" s="3828"/>
      <c r="C56" s="3832">
        <v>0</v>
      </c>
      <c r="D56" s="3618">
        <v>0</v>
      </c>
      <c r="E56" s="3613">
        <f t="shared" si="0"/>
        <v>0</v>
      </c>
      <c r="F56" s="3613"/>
      <c r="G56" s="3618">
        <v>170950773.19999999</v>
      </c>
      <c r="H56" s="3618">
        <v>0</v>
      </c>
      <c r="I56" s="3613">
        <f t="shared" si="1"/>
        <v>170950773.19999999</v>
      </c>
      <c r="K56" s="3831"/>
      <c r="L56" s="3831"/>
    </row>
    <row r="57" spans="1:12" s="3826" customFormat="1" ht="17.25" customHeight="1">
      <c r="A57" s="3834" t="s">
        <v>1431</v>
      </c>
      <c r="B57" s="3773"/>
      <c r="C57" s="3835">
        <f>SUM(C11:C56)</f>
        <v>1648139224.2200003</v>
      </c>
      <c r="D57" s="3835">
        <f t="shared" ref="D57:E57" si="2">SUM(D11:D56)</f>
        <v>78743090.730000004</v>
      </c>
      <c r="E57" s="3835">
        <f t="shared" si="2"/>
        <v>1726882314.9500003</v>
      </c>
      <c r="F57" s="3836"/>
      <c r="G57" s="3835">
        <f t="shared" ref="G57:I57" si="3">SUM(G11:G56)</f>
        <v>13133299851.600002</v>
      </c>
      <c r="H57" s="3835">
        <f t="shared" si="3"/>
        <v>452054702.09000003</v>
      </c>
      <c r="I57" s="3835">
        <f t="shared" si="3"/>
        <v>13585354553.690002</v>
      </c>
      <c r="K57" s="3837"/>
      <c r="L57" s="3864"/>
    </row>
    <row r="58" spans="1:12" ht="9.65" customHeight="1">
      <c r="A58" s="3823"/>
      <c r="B58" s="3652"/>
      <c r="C58" s="3623"/>
      <c r="D58" s="3623"/>
      <c r="E58" s="3623"/>
      <c r="F58" s="3623"/>
      <c r="G58" s="3624"/>
      <c r="H58" s="3624"/>
      <c r="I58" s="3624"/>
    </row>
    <row r="59" spans="1:12" ht="32.15" customHeight="1">
      <c r="A59" s="3838" t="s">
        <v>1445</v>
      </c>
      <c r="B59" s="3652"/>
      <c r="C59" s="3895">
        <v>-310382478.35000002</v>
      </c>
      <c r="D59" s="3896">
        <v>0</v>
      </c>
      <c r="E59" s="3897">
        <f>C59+D59</f>
        <v>-310382478.35000002</v>
      </c>
      <c r="F59" s="3898"/>
      <c r="G59" s="3899">
        <v>-1120071493.96</v>
      </c>
      <c r="H59" s="3899">
        <v>0</v>
      </c>
      <c r="I59" s="3900">
        <f>G59+H59</f>
        <v>-1120071493.96</v>
      </c>
    </row>
    <row r="60" spans="1:12" ht="15.65" customHeight="1">
      <c r="A60" s="3839"/>
      <c r="B60" s="3652"/>
      <c r="C60" s="3840"/>
      <c r="D60" s="3840"/>
      <c r="E60" s="3840"/>
      <c r="F60" s="3840"/>
      <c r="G60" s="3651"/>
      <c r="H60" s="3651"/>
      <c r="I60" s="3651"/>
    </row>
    <row r="61" spans="1:12" ht="17.25" customHeight="1" thickBot="1">
      <c r="A61" s="3839" t="s">
        <v>1401</v>
      </c>
      <c r="B61" s="3652"/>
      <c r="C61" s="3841">
        <f>+C57+C59</f>
        <v>1337756745.8700004</v>
      </c>
      <c r="D61" s="3654">
        <f>+D57</f>
        <v>78743090.730000004</v>
      </c>
      <c r="E61" s="3654">
        <f>+E57+E59</f>
        <v>1416499836.6000004</v>
      </c>
      <c r="F61" s="3775"/>
      <c r="G61" s="3654">
        <f>+G57+G59</f>
        <v>12013228357.640003</v>
      </c>
      <c r="H61" s="3654">
        <f>+H57</f>
        <v>452054702.09000003</v>
      </c>
      <c r="I61" s="3654">
        <f>+I57+I59</f>
        <v>12465283059.730003</v>
      </c>
    </row>
    <row r="62" spans="1:12" ht="17.25" customHeight="1" thickTop="1">
      <c r="A62" s="3842"/>
      <c r="B62" s="3609"/>
      <c r="C62" s="3842"/>
      <c r="D62" s="3842"/>
      <c r="E62" s="3843"/>
      <c r="F62" s="3843"/>
      <c r="G62" s="3655"/>
      <c r="H62" s="3655"/>
      <c r="I62" s="3655"/>
    </row>
    <row r="63" spans="1:12" ht="16.399999999999999" customHeight="1">
      <c r="A63" s="3844" t="s">
        <v>1450</v>
      </c>
      <c r="B63" s="3609" t="s">
        <v>15</v>
      </c>
      <c r="C63" s="3842" t="s">
        <v>15</v>
      </c>
      <c r="D63" s="3845"/>
      <c r="E63" s="3846"/>
      <c r="F63" s="3842"/>
      <c r="G63" s="3847"/>
      <c r="H63" s="3609"/>
      <c r="I63" s="3847"/>
    </row>
    <row r="64" spans="1:12" ht="16.399999999999999" customHeight="1">
      <c r="A64" s="3848" t="s">
        <v>1453</v>
      </c>
      <c r="B64" s="3609"/>
      <c r="C64" s="3849"/>
      <c r="D64" s="3850"/>
      <c r="E64" s="3851"/>
      <c r="F64" s="3852"/>
      <c r="G64" s="3853">
        <v>0</v>
      </c>
      <c r="H64" s="3656"/>
      <c r="I64" s="3605"/>
    </row>
    <row r="65" spans="1:17" ht="16.399999999999999" customHeight="1">
      <c r="A65" s="3854" t="s">
        <v>1452</v>
      </c>
      <c r="B65" s="3609"/>
      <c r="C65" s="3846" t="s">
        <v>15</v>
      </c>
      <c r="D65" s="3842" t="s">
        <v>15</v>
      </c>
      <c r="E65" s="3846"/>
      <c r="F65" s="3842"/>
      <c r="G65" s="3855"/>
      <c r="H65" s="3609"/>
      <c r="I65" s="3847"/>
    </row>
    <row r="66" spans="1:17" s="3782" customFormat="1" ht="16.399999999999999" customHeight="1">
      <c r="A66" s="3854" t="s">
        <v>1456</v>
      </c>
      <c r="B66" s="3593"/>
      <c r="C66" s="3782" t="s">
        <v>15</v>
      </c>
      <c r="E66" s="3856"/>
      <c r="G66" s="3596"/>
      <c r="H66" s="3593"/>
      <c r="I66" s="3857"/>
      <c r="J66" s="3593"/>
      <c r="K66" s="3593"/>
      <c r="L66" s="3593"/>
      <c r="M66" s="3593"/>
      <c r="N66" s="3593"/>
      <c r="O66" s="3593"/>
      <c r="P66" s="3593"/>
      <c r="Q66" s="3593"/>
    </row>
    <row r="67" spans="1:17" s="3782" customFormat="1" ht="13.4" customHeight="1">
      <c r="A67" s="3854" t="s">
        <v>1448</v>
      </c>
      <c r="B67" s="3593"/>
      <c r="C67" s="3856"/>
      <c r="G67" s="3596"/>
      <c r="H67" s="3593"/>
      <c r="I67" s="3593"/>
      <c r="J67" s="3593"/>
      <c r="K67" s="3593"/>
      <c r="L67" s="3593"/>
      <c r="M67" s="3593"/>
      <c r="N67" s="3593"/>
      <c r="O67" s="3593"/>
      <c r="P67" s="3593"/>
      <c r="Q67" s="3593"/>
    </row>
    <row r="68" spans="1:17" ht="17.25" customHeight="1">
      <c r="A68" s="3854" t="s">
        <v>1439</v>
      </c>
    </row>
    <row r="69" spans="1:17" ht="17.25" customHeight="1">
      <c r="C69" s="3856"/>
    </row>
    <row r="70" spans="1:17" ht="17.25" customHeight="1">
      <c r="E70" s="3858" t="s">
        <v>15</v>
      </c>
      <c r="I70" s="3859" t="s">
        <v>15</v>
      </c>
    </row>
    <row r="72" spans="1:17" ht="17.25" customHeight="1">
      <c r="I72" s="3624"/>
    </row>
    <row r="73" spans="1:17" ht="17.25" customHeight="1">
      <c r="I73" s="3860"/>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0" zoomScaleNormal="70" workbookViewId="0"/>
  </sheetViews>
  <sheetFormatPr defaultColWidth="8.69140625" defaultRowHeight="14.5"/>
  <cols>
    <col min="1" max="1" width="58.69140625" style="3870" customWidth="1"/>
    <col min="2" max="2" width="2" style="3593" customWidth="1"/>
    <col min="3" max="3" width="21.07421875" style="3782" customWidth="1"/>
    <col min="4" max="4" width="21.69140625" style="3782" customWidth="1"/>
    <col min="5" max="5" width="19.69140625" style="3782" customWidth="1"/>
    <col min="6" max="6" width="0.69140625" style="3782" customWidth="1"/>
    <col min="7" max="7" width="22.07421875" style="3596" customWidth="1"/>
    <col min="8" max="8" width="20.69140625" style="3593" customWidth="1"/>
    <col min="9" max="9" width="21.69140625" style="3593" customWidth="1"/>
    <col min="10" max="10" width="18.07421875" style="3593" customWidth="1"/>
    <col min="11" max="11" width="19.23046875" style="3593" customWidth="1"/>
    <col min="12" max="16384" width="8.69140625" style="3593"/>
  </cols>
  <sheetData>
    <row r="1" spans="1:12" ht="15.5">
      <c r="A1" s="1499" t="s">
        <v>963</v>
      </c>
    </row>
    <row r="3" spans="1:12" ht="25.4" customHeight="1">
      <c r="A3" s="3819" t="s">
        <v>0</v>
      </c>
      <c r="C3" s="3594"/>
      <c r="D3" s="3594"/>
      <c r="E3" s="3594"/>
      <c r="F3" s="3595"/>
      <c r="I3" s="3599" t="s">
        <v>1426</v>
      </c>
    </row>
    <row r="4" spans="1:12" ht="25.4" customHeight="1">
      <c r="A4" s="3820" t="s">
        <v>1449</v>
      </c>
      <c r="C4" s="3594"/>
      <c r="D4" s="3594"/>
      <c r="E4" s="3594"/>
      <c r="F4" s="3595"/>
    </row>
    <row r="5" spans="1:12" ht="18.649999999999999" customHeight="1">
      <c r="A5" s="3821" t="s">
        <v>1475</v>
      </c>
      <c r="C5" s="3594"/>
      <c r="D5" s="3594"/>
      <c r="E5" s="3594"/>
      <c r="F5" s="3595"/>
    </row>
    <row r="6" spans="1:12" ht="21">
      <c r="A6" s="3861"/>
      <c r="C6" s="3594"/>
      <c r="D6" s="3594"/>
      <c r="E6" s="3594"/>
      <c r="F6" s="3595"/>
    </row>
    <row r="7" spans="1:12" ht="15.5">
      <c r="A7" s="3862"/>
      <c r="B7" s="3652"/>
      <c r="C7" s="3967" t="str">
        <f>'Appendix H'!C7:E7</f>
        <v>OCTOBER 2020</v>
      </c>
      <c r="D7" s="3968"/>
      <c r="E7" s="3968"/>
      <c r="F7" s="3768"/>
      <c r="G7" s="3968" t="str">
        <f>'Appendix H'!G7:I7</f>
        <v>7 MONTHS ENDED OCTOBER 31</v>
      </c>
      <c r="H7" s="3968"/>
      <c r="I7" s="3968"/>
    </row>
    <row r="8" spans="1:12" ht="15.5">
      <c r="A8" s="3862"/>
      <c r="B8" s="3652"/>
      <c r="C8" s="3769"/>
      <c r="D8" s="3769"/>
      <c r="E8" s="3769"/>
      <c r="F8" s="3769"/>
      <c r="G8" s="3770"/>
      <c r="H8" s="3652"/>
      <c r="I8" s="3652"/>
    </row>
    <row r="9" spans="1:12" ht="15.5">
      <c r="A9" s="3863"/>
      <c r="B9" s="3652"/>
      <c r="C9" s="3653" t="s">
        <v>1385</v>
      </c>
      <c r="D9" s="3653" t="s">
        <v>1386</v>
      </c>
      <c r="E9" s="3653" t="s">
        <v>1554</v>
      </c>
      <c r="F9" s="3653"/>
      <c r="G9" s="3653" t="s">
        <v>1385</v>
      </c>
      <c r="H9" s="3653" t="s">
        <v>1386</v>
      </c>
      <c r="I9" s="3597" t="s">
        <v>1387</v>
      </c>
    </row>
    <row r="10" spans="1:12" s="3826" customFormat="1" ht="15.5">
      <c r="A10" s="3824"/>
      <c r="B10" s="3773"/>
      <c r="C10" s="3771"/>
      <c r="D10" s="3771"/>
      <c r="E10" s="3771"/>
      <c r="F10" s="3771"/>
      <c r="G10" s="3772"/>
      <c r="H10" s="3773"/>
      <c r="I10" s="3772"/>
    </row>
    <row r="11" spans="1:12" s="3830" customFormat="1" ht="15.5">
      <c r="A11" s="3827" t="s">
        <v>1429</v>
      </c>
      <c r="B11" s="3828"/>
      <c r="C11" s="3774">
        <v>5760061.0599999996</v>
      </c>
      <c r="D11" s="3774">
        <v>0</v>
      </c>
      <c r="E11" s="3775">
        <f>C11+D11</f>
        <v>5760061.0599999996</v>
      </c>
      <c r="F11" s="3775"/>
      <c r="G11" s="3774">
        <v>73689732.099999994</v>
      </c>
      <c r="H11" s="3774">
        <v>0</v>
      </c>
      <c r="I11" s="3775">
        <f>G11+H11</f>
        <v>73689732.099999994</v>
      </c>
      <c r="J11" s="3831"/>
      <c r="K11" s="3831"/>
      <c r="L11" s="3831"/>
    </row>
    <row r="12" spans="1:12" s="3830" customFormat="1" ht="15.5">
      <c r="A12" s="3827" t="s">
        <v>1403</v>
      </c>
      <c r="B12" s="3828"/>
      <c r="C12" s="3618">
        <v>57955909</v>
      </c>
      <c r="D12" s="3618">
        <v>5721955</v>
      </c>
      <c r="E12" s="3613">
        <f>C12+D12</f>
        <v>63677864</v>
      </c>
      <c r="F12" s="3613"/>
      <c r="G12" s="3618">
        <v>75707776.5</v>
      </c>
      <c r="H12" s="3618">
        <v>146471607</v>
      </c>
      <c r="I12" s="3613">
        <f>G12+H12</f>
        <v>222179383.5</v>
      </c>
      <c r="J12" s="3831"/>
      <c r="K12" s="3831"/>
      <c r="L12" s="3831"/>
    </row>
    <row r="13" spans="1:12" s="3830" customFormat="1" ht="15.5">
      <c r="A13" s="3827" t="s">
        <v>1402</v>
      </c>
      <c r="B13" s="3828"/>
      <c r="C13" s="3618">
        <v>0</v>
      </c>
      <c r="D13" s="3618">
        <v>0</v>
      </c>
      <c r="E13" s="3613">
        <f t="shared" ref="E13:E25" si="0">C13+D13</f>
        <v>0</v>
      </c>
      <c r="F13" s="3613"/>
      <c r="G13" s="3618">
        <v>733712458.79999995</v>
      </c>
      <c r="H13" s="3618">
        <v>0</v>
      </c>
      <c r="I13" s="3613">
        <f t="shared" ref="I13:I25" si="1">G13+H13</f>
        <v>733712458.79999995</v>
      </c>
      <c r="J13" s="3831"/>
      <c r="K13" s="3831"/>
      <c r="L13" s="3831"/>
    </row>
    <row r="14" spans="1:12" s="3830" customFormat="1" ht="15.5">
      <c r="A14" s="3827" t="s">
        <v>1404</v>
      </c>
      <c r="B14" s="3828"/>
      <c r="C14" s="3618">
        <v>398538029.57999998</v>
      </c>
      <c r="D14" s="3618">
        <v>0</v>
      </c>
      <c r="E14" s="3613">
        <f t="shared" si="0"/>
        <v>398538029.57999998</v>
      </c>
      <c r="F14" s="3613"/>
      <c r="G14" s="3618">
        <v>2459695613.4000001</v>
      </c>
      <c r="H14" s="3618">
        <v>0</v>
      </c>
      <c r="I14" s="3613">
        <f t="shared" si="1"/>
        <v>2459695613.4000001</v>
      </c>
      <c r="J14" s="3831"/>
      <c r="K14" s="3831"/>
      <c r="L14" s="3831"/>
    </row>
    <row r="15" spans="1:12" s="3830" customFormat="1" ht="15.5">
      <c r="A15" s="3827" t="s">
        <v>1405</v>
      </c>
      <c r="B15" s="3828"/>
      <c r="C15" s="3618">
        <v>-5241850.1900000004</v>
      </c>
      <c r="D15" s="3618">
        <v>0</v>
      </c>
      <c r="E15" s="3613">
        <f t="shared" si="0"/>
        <v>-5241850.1900000004</v>
      </c>
      <c r="F15" s="3613"/>
      <c r="G15" s="3618">
        <v>366354245.32999998</v>
      </c>
      <c r="H15" s="3618">
        <v>0</v>
      </c>
      <c r="I15" s="3613">
        <f t="shared" si="1"/>
        <v>366354245.32999998</v>
      </c>
      <c r="J15" s="3831"/>
      <c r="K15" s="3831"/>
      <c r="L15" s="3831"/>
    </row>
    <row r="16" spans="1:12" s="3830" customFormat="1" ht="15.5">
      <c r="A16" s="3827" t="s">
        <v>1406</v>
      </c>
      <c r="B16" s="3828"/>
      <c r="C16" s="3618">
        <v>54795339.100000001</v>
      </c>
      <c r="D16" s="3618">
        <v>0</v>
      </c>
      <c r="E16" s="3613">
        <f t="shared" si="0"/>
        <v>54795339.100000001</v>
      </c>
      <c r="F16" s="3613"/>
      <c r="G16" s="3618">
        <v>366305412.92000002</v>
      </c>
      <c r="H16" s="3618">
        <v>0</v>
      </c>
      <c r="I16" s="3613">
        <f t="shared" si="1"/>
        <v>366305412.92000002</v>
      </c>
      <c r="J16" s="3831"/>
      <c r="K16" s="3831"/>
      <c r="L16" s="3831"/>
    </row>
    <row r="17" spans="1:12" s="3830" customFormat="1" ht="15.5">
      <c r="A17" s="3827" t="s">
        <v>1398</v>
      </c>
      <c r="B17" s="3828"/>
      <c r="C17" s="3618">
        <v>123377586.95999999</v>
      </c>
      <c r="D17" s="3618">
        <v>0</v>
      </c>
      <c r="E17" s="3613">
        <f t="shared" si="0"/>
        <v>123377586.95999999</v>
      </c>
      <c r="F17" s="3613"/>
      <c r="G17" s="3618">
        <v>808639382.64999998</v>
      </c>
      <c r="H17" s="3618">
        <v>0</v>
      </c>
      <c r="I17" s="3613">
        <f t="shared" si="1"/>
        <v>808639382.64999998</v>
      </c>
      <c r="J17" s="3831"/>
      <c r="K17" s="3831"/>
      <c r="L17" s="3831"/>
    </row>
    <row r="18" spans="1:12" s="3830" customFormat="1" ht="15.5">
      <c r="A18" s="3827" t="s">
        <v>1407</v>
      </c>
      <c r="B18" s="3828"/>
      <c r="C18" s="3618">
        <v>1329480596.22</v>
      </c>
      <c r="D18" s="3618">
        <v>0</v>
      </c>
      <c r="E18" s="3613">
        <f t="shared" si="0"/>
        <v>1329480596.22</v>
      </c>
      <c r="F18" s="3613"/>
      <c r="G18" s="3618">
        <v>8201080780.8800001</v>
      </c>
      <c r="H18" s="3618">
        <v>0</v>
      </c>
      <c r="I18" s="3613">
        <f t="shared" si="1"/>
        <v>8201080780.8800001</v>
      </c>
      <c r="J18" s="3831"/>
      <c r="K18" s="3831"/>
      <c r="L18" s="3831"/>
    </row>
    <row r="19" spans="1:12" s="3830" customFormat="1" ht="15.5">
      <c r="A19" s="3827" t="s">
        <v>1408</v>
      </c>
      <c r="B19" s="3828"/>
      <c r="C19" s="3618">
        <v>1470588169.78</v>
      </c>
      <c r="D19" s="3618">
        <v>0</v>
      </c>
      <c r="E19" s="3613">
        <f t="shared" si="0"/>
        <v>1470588169.78</v>
      </c>
      <c r="F19" s="3613"/>
      <c r="G19" s="3618">
        <v>12258243310.43</v>
      </c>
      <c r="H19" s="3618">
        <v>0</v>
      </c>
      <c r="I19" s="3613">
        <f t="shared" si="1"/>
        <v>12258243310.43</v>
      </c>
      <c r="J19" s="3831"/>
      <c r="K19" s="3831"/>
      <c r="L19" s="3831"/>
    </row>
    <row r="20" spans="1:12" s="3830" customFormat="1" ht="15.5">
      <c r="A20" s="3827" t="s">
        <v>1399</v>
      </c>
      <c r="B20" s="3828"/>
      <c r="C20" s="3618">
        <v>31478500.16</v>
      </c>
      <c r="D20" s="3618">
        <v>0</v>
      </c>
      <c r="E20" s="3613">
        <f t="shared" si="0"/>
        <v>31478500.16</v>
      </c>
      <c r="F20" s="3613"/>
      <c r="G20" s="3618">
        <v>242188214.09999999</v>
      </c>
      <c r="H20" s="3618">
        <v>0</v>
      </c>
      <c r="I20" s="3613">
        <f t="shared" si="1"/>
        <v>242188214.09999999</v>
      </c>
      <c r="J20" s="3831"/>
      <c r="K20" s="3831"/>
      <c r="L20" s="3831"/>
    </row>
    <row r="21" spans="1:12" s="3830" customFormat="1" ht="15.5">
      <c r="A21" s="3827" t="s">
        <v>1409</v>
      </c>
      <c r="B21" s="3828"/>
      <c r="C21" s="3618">
        <v>39520881.780000001</v>
      </c>
      <c r="D21" s="3618">
        <v>0</v>
      </c>
      <c r="E21" s="3613">
        <f t="shared" si="0"/>
        <v>39520881.780000001</v>
      </c>
      <c r="F21" s="3613"/>
      <c r="G21" s="3618">
        <v>275975121.04000002</v>
      </c>
      <c r="H21" s="3618">
        <v>0</v>
      </c>
      <c r="I21" s="3613">
        <f t="shared" si="1"/>
        <v>275975121.04000002</v>
      </c>
      <c r="J21" s="3831"/>
      <c r="K21" s="3831"/>
      <c r="L21" s="3831"/>
    </row>
    <row r="22" spans="1:12" s="3830" customFormat="1" ht="15.5">
      <c r="A22" s="3827" t="s">
        <v>1410</v>
      </c>
      <c r="B22" s="3828"/>
      <c r="C22" s="3618">
        <v>1007837.23</v>
      </c>
      <c r="D22" s="3618">
        <v>0</v>
      </c>
      <c r="E22" s="3613">
        <f t="shared" si="0"/>
        <v>1007837.23</v>
      </c>
      <c r="F22" s="3613"/>
      <c r="G22" s="3618">
        <v>5824418.4299999997</v>
      </c>
      <c r="H22" s="3618">
        <v>0</v>
      </c>
      <c r="I22" s="3613">
        <f t="shared" si="1"/>
        <v>5824418.4299999997</v>
      </c>
      <c r="J22" s="3831"/>
      <c r="K22" s="3831"/>
      <c r="L22" s="3831"/>
    </row>
    <row r="23" spans="1:12" s="3830" customFormat="1" ht="15.5">
      <c r="A23" s="3827" t="s">
        <v>1435</v>
      </c>
      <c r="B23" s="3828"/>
      <c r="C23" s="3618">
        <v>-127623587.86</v>
      </c>
      <c r="D23" s="3618">
        <v>-582102</v>
      </c>
      <c r="E23" s="3613">
        <f t="shared" si="0"/>
        <v>-128205689.86</v>
      </c>
      <c r="F23" s="3613"/>
      <c r="G23" s="3618">
        <v>-25931703.66</v>
      </c>
      <c r="H23" s="3618">
        <v>-582102</v>
      </c>
      <c r="I23" s="3613">
        <f t="shared" si="1"/>
        <v>-26513805.66</v>
      </c>
      <c r="J23" s="3831"/>
      <c r="K23" s="3831"/>
      <c r="L23" s="3831"/>
    </row>
    <row r="24" spans="1:12" s="3830" customFormat="1" ht="15.5">
      <c r="A24" s="3827" t="s">
        <v>1411</v>
      </c>
      <c r="B24" s="3828"/>
      <c r="C24" s="3618">
        <v>-25000000</v>
      </c>
      <c r="D24" s="3618">
        <v>0</v>
      </c>
      <c r="E24" s="3613">
        <f t="shared" si="0"/>
        <v>-25000000</v>
      </c>
      <c r="F24" s="3613"/>
      <c r="G24" s="3618">
        <v>426796474.83999997</v>
      </c>
      <c r="H24" s="3618">
        <v>0</v>
      </c>
      <c r="I24" s="3613">
        <f t="shared" si="1"/>
        <v>426796474.83999997</v>
      </c>
      <c r="J24" s="3831"/>
      <c r="K24" s="3831"/>
      <c r="L24" s="3831"/>
    </row>
    <row r="25" spans="1:12" s="3830" customFormat="1" ht="15.75" customHeight="1">
      <c r="A25" s="3827" t="s">
        <v>1462</v>
      </c>
      <c r="B25" s="3828"/>
      <c r="C25" s="3618">
        <v>0</v>
      </c>
      <c r="D25" s="3618">
        <v>0</v>
      </c>
      <c r="E25" s="3613">
        <f t="shared" si="0"/>
        <v>0</v>
      </c>
      <c r="F25" s="3613"/>
      <c r="G25" s="3618">
        <v>219347795.80000001</v>
      </c>
      <c r="H25" s="3618">
        <v>0</v>
      </c>
      <c r="I25" s="3613">
        <f t="shared" si="1"/>
        <v>219347795.80000001</v>
      </c>
      <c r="J25" s="3831"/>
      <c r="K25" s="3831"/>
      <c r="L25" s="3831"/>
    </row>
    <row r="26" spans="1:12" s="3826" customFormat="1" ht="17.5">
      <c r="A26" s="3834" t="s">
        <v>1431</v>
      </c>
      <c r="B26" s="3773"/>
      <c r="C26" s="3619">
        <f>SUM(C11:C25)</f>
        <v>3354637472.8200002</v>
      </c>
      <c r="D26" s="3619">
        <f>SUM(D11:D25)</f>
        <v>5139853</v>
      </c>
      <c r="E26" s="3619">
        <f>SUM(E11:E25)</f>
        <v>3359777325.8200002</v>
      </c>
      <c r="F26" s="3776"/>
      <c r="G26" s="3619">
        <f>SUM(G11:G25)</f>
        <v>26487629033.560001</v>
      </c>
      <c r="H26" s="3619">
        <f>SUM(H11:H25)</f>
        <v>145889505</v>
      </c>
      <c r="I26" s="3619">
        <f>SUM(I11:I25)</f>
        <v>26633518538.560001</v>
      </c>
      <c r="J26" s="3864"/>
      <c r="K26" s="3865"/>
    </row>
    <row r="27" spans="1:12" ht="6" customHeight="1">
      <c r="A27" s="3866"/>
      <c r="B27" s="3652"/>
      <c r="C27" s="3777"/>
      <c r="D27" s="3777"/>
      <c r="E27" s="3777"/>
      <c r="F27" s="3777"/>
      <c r="G27" s="3650"/>
      <c r="H27" s="3650"/>
      <c r="I27" s="3650"/>
      <c r="K27" s="3867"/>
    </row>
    <row r="28" spans="1:12" ht="42" customHeight="1">
      <c r="A28" s="3838" t="s">
        <v>1446</v>
      </c>
      <c r="B28" s="3652"/>
      <c r="C28" s="3868">
        <v>-490179152.57999998</v>
      </c>
      <c r="D28" s="3778">
        <v>0</v>
      </c>
      <c r="E28" s="3620">
        <f>C28+D28</f>
        <v>-490179152.57999998</v>
      </c>
      <c r="F28" s="3621"/>
      <c r="G28" s="3779">
        <v>-565334966.20000005</v>
      </c>
      <c r="H28" s="3779">
        <v>0</v>
      </c>
      <c r="I28" s="3622">
        <f>G28+H28</f>
        <v>-565334966.20000005</v>
      </c>
      <c r="J28" s="3609"/>
      <c r="K28" s="3869"/>
    </row>
    <row r="29" spans="1:12" ht="15.65" customHeight="1">
      <c r="A29" s="3839"/>
      <c r="B29" s="3652"/>
      <c r="C29" s="3780"/>
      <c r="D29" s="3780"/>
      <c r="E29" s="3780"/>
      <c r="F29" s="3780"/>
      <c r="G29" s="3781"/>
      <c r="H29" s="3781"/>
      <c r="I29" s="3781"/>
      <c r="K29" s="3857"/>
    </row>
    <row r="30" spans="1:12" ht="18" thickBot="1">
      <c r="A30" s="3839" t="s">
        <v>1432</v>
      </c>
      <c r="B30" s="3652"/>
      <c r="C30" s="3654">
        <f>+C26+C28</f>
        <v>2864458320.2400002</v>
      </c>
      <c r="D30" s="3654">
        <f>D26</f>
        <v>5139853</v>
      </c>
      <c r="E30" s="3654">
        <f>E26+E28</f>
        <v>2869598173.2400002</v>
      </c>
      <c r="F30" s="3775"/>
      <c r="G30" s="3654">
        <f>+G26+G28</f>
        <v>25922294067.360001</v>
      </c>
      <c r="H30" s="3654">
        <f>H26</f>
        <v>145889505</v>
      </c>
      <c r="I30" s="3654">
        <f>I26+I28</f>
        <v>26068183572.360001</v>
      </c>
      <c r="J30" s="3860"/>
      <c r="K30" s="3857"/>
    </row>
    <row r="31" spans="1:12" ht="15" thickTop="1"/>
    <row r="32" spans="1:12" ht="16.399999999999999" customHeight="1">
      <c r="A32" s="3844" t="s">
        <v>1451</v>
      </c>
      <c r="D32" s="3858"/>
    </row>
    <row r="33" spans="1:9" ht="16.399999999999999" customHeight="1">
      <c r="A33" s="3848" t="s">
        <v>1453</v>
      </c>
      <c r="C33" s="3849"/>
      <c r="D33" s="3849"/>
      <c r="E33" s="3606"/>
      <c r="F33" s="3607"/>
      <c r="G33" s="3853"/>
      <c r="H33" s="3853"/>
      <c r="I33" s="3608"/>
    </row>
    <row r="34" spans="1:9" ht="14.9" customHeight="1">
      <c r="A34" s="3854" t="s">
        <v>1452</v>
      </c>
      <c r="I34" s="3860"/>
    </row>
    <row r="35" spans="1:9" ht="16.399999999999999" customHeight="1">
      <c r="A35" s="3854" t="s">
        <v>1437</v>
      </c>
      <c r="G35" s="3650"/>
    </row>
    <row r="36" spans="1:9" ht="16.399999999999999" customHeight="1">
      <c r="A36" s="3854" t="s">
        <v>1438</v>
      </c>
      <c r="G36" s="3857"/>
    </row>
    <row r="39" spans="1:9">
      <c r="A39" s="3871" t="s">
        <v>15</v>
      </c>
    </row>
    <row r="40" spans="1:9">
      <c r="A40" s="3969"/>
      <c r="B40" s="3969"/>
      <c r="I40" s="3860"/>
    </row>
  </sheetData>
  <mergeCells count="3">
    <mergeCell ref="C7:E7"/>
    <mergeCell ref="G7:I7"/>
    <mergeCell ref="A40:B40"/>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V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13" customWidth="1"/>
    <col min="15" max="15" width="1.07421875" style="1713" customWidth="1"/>
    <col min="16" max="16" width="13.07421875" style="1713" customWidth="1"/>
    <col min="17" max="17" width="1.53515625" style="41" customWidth="1"/>
    <col min="18" max="18" width="1" style="101" customWidth="1"/>
    <col min="19" max="19" width="11.69140625" style="41" customWidth="1"/>
    <col min="20" max="20" width="0.69140625" style="101" customWidth="1"/>
    <col min="21" max="21" width="10.69140625" style="41" customWidth="1"/>
    <col min="22" max="22" width="0.4609375" style="101" customWidth="1"/>
    <col min="23" max="16384" width="8.69140625" style="41"/>
  </cols>
  <sheetData>
    <row r="1" spans="1:22">
      <c r="A1" s="642" t="s">
        <v>963</v>
      </c>
    </row>
    <row r="2" spans="1:22">
      <c r="A2" s="822"/>
    </row>
    <row r="3" spans="1:22" s="34" customFormat="1" ht="18" customHeight="1">
      <c r="A3" s="29" t="s">
        <v>0</v>
      </c>
      <c r="B3" s="29"/>
      <c r="C3" s="29"/>
      <c r="D3" s="29"/>
      <c r="E3" s="29"/>
      <c r="F3" s="30"/>
      <c r="G3" s="30"/>
      <c r="H3" s="29"/>
      <c r="I3" s="29"/>
      <c r="J3" s="29"/>
      <c r="K3" s="29"/>
      <c r="L3" s="29"/>
      <c r="M3" s="29"/>
      <c r="N3" s="3498"/>
      <c r="O3" s="3917"/>
      <c r="P3" s="3917"/>
      <c r="Q3" s="1346"/>
      <c r="R3" s="1346"/>
      <c r="S3" s="31"/>
      <c r="T3" s="33"/>
      <c r="U3" s="3918" t="s">
        <v>61</v>
      </c>
      <c r="V3" s="3918"/>
    </row>
    <row r="4" spans="1:22" s="34" customFormat="1">
      <c r="A4" s="29" t="s">
        <v>352</v>
      </c>
      <c r="B4" s="29"/>
      <c r="C4" s="29"/>
      <c r="D4" s="29"/>
      <c r="E4" s="29"/>
      <c r="F4" s="30"/>
      <c r="G4" s="30"/>
      <c r="H4" s="29"/>
      <c r="I4" s="29"/>
      <c r="J4" s="29"/>
      <c r="K4" s="29"/>
      <c r="L4" s="29"/>
      <c r="M4" s="29"/>
      <c r="N4" s="102"/>
      <c r="O4" s="102"/>
      <c r="P4" s="102"/>
      <c r="Q4" s="29"/>
      <c r="R4" s="251"/>
      <c r="S4" s="31"/>
      <c r="T4" s="33"/>
      <c r="U4" s="32"/>
      <c r="V4" s="33"/>
    </row>
    <row r="5" spans="1:22" s="34" customFormat="1" ht="15.75" customHeight="1">
      <c r="A5" s="1347" t="s">
        <v>871</v>
      </c>
      <c r="B5" s="29"/>
      <c r="C5" s="29"/>
      <c r="D5" s="29"/>
      <c r="E5" s="29"/>
      <c r="F5" s="30"/>
      <c r="G5" s="30"/>
      <c r="H5" s="29"/>
      <c r="I5" s="29"/>
      <c r="J5" s="29"/>
      <c r="K5" s="29"/>
      <c r="L5" s="29"/>
      <c r="M5" s="29"/>
      <c r="N5" s="102"/>
      <c r="O5" s="102"/>
      <c r="P5" s="102" t="s">
        <v>15</v>
      </c>
      <c r="Q5" s="29"/>
      <c r="R5" s="251"/>
      <c r="S5" s="31"/>
      <c r="T5" s="33"/>
      <c r="U5" s="32"/>
      <c r="V5" s="33"/>
    </row>
    <row r="6" spans="1:22" s="34" customFormat="1">
      <c r="A6" s="29" t="s">
        <v>1365</v>
      </c>
      <c r="B6" s="29"/>
      <c r="C6" s="29"/>
      <c r="D6" s="29"/>
      <c r="E6" s="29"/>
      <c r="F6" s="30"/>
      <c r="G6" s="30"/>
      <c r="H6" s="29"/>
      <c r="I6" s="29"/>
      <c r="J6" s="29"/>
      <c r="K6" s="29"/>
      <c r="L6" s="29"/>
      <c r="M6" s="29"/>
      <c r="N6" s="102"/>
      <c r="O6" s="102"/>
      <c r="P6" s="102"/>
      <c r="Q6" s="29"/>
      <c r="R6" s="251"/>
      <c r="S6" s="31"/>
      <c r="T6" s="33"/>
      <c r="U6" s="32"/>
      <c r="V6" s="33"/>
    </row>
    <row r="7" spans="1:22" s="34" customFormat="1">
      <c r="A7" s="35"/>
      <c r="B7" s="29"/>
      <c r="C7" s="29"/>
      <c r="D7" s="29"/>
      <c r="E7" s="29"/>
      <c r="F7" s="30"/>
      <c r="G7" s="30"/>
      <c r="H7" s="29"/>
      <c r="I7" s="29"/>
      <c r="J7" s="29"/>
      <c r="K7" s="29"/>
      <c r="L7" s="29"/>
      <c r="M7" s="29"/>
      <c r="N7" s="102"/>
      <c r="O7" s="102"/>
      <c r="P7" s="102"/>
      <c r="Q7" s="29"/>
      <c r="R7" s="251"/>
      <c r="S7" s="31"/>
      <c r="T7" s="33"/>
      <c r="U7" s="32"/>
      <c r="V7" s="33"/>
    </row>
    <row r="8" spans="1:22" s="34" customFormat="1">
      <c r="B8" s="29"/>
      <c r="C8" s="29"/>
      <c r="D8" s="29"/>
      <c r="E8" s="29"/>
      <c r="F8" s="30"/>
      <c r="G8" s="30"/>
      <c r="H8" s="29"/>
      <c r="I8" s="29"/>
      <c r="J8" s="29"/>
      <c r="K8" s="29"/>
      <c r="L8" s="29"/>
      <c r="M8" s="29"/>
      <c r="N8" s="102"/>
      <c r="O8" s="102"/>
      <c r="P8" s="102"/>
      <c r="Q8" s="29"/>
      <c r="R8" s="251"/>
      <c r="S8" s="31"/>
      <c r="T8" s="33"/>
      <c r="U8" s="32"/>
      <c r="V8" s="33"/>
    </row>
    <row r="9" spans="1:22" s="34" customFormat="1" ht="8.15" customHeight="1">
      <c r="A9" s="31"/>
      <c r="B9" s="29"/>
      <c r="C9" s="29"/>
      <c r="D9" s="29"/>
      <c r="E9" s="29"/>
      <c r="F9" s="29"/>
      <c r="G9" s="30"/>
      <c r="H9" s="29"/>
      <c r="I9" s="29"/>
      <c r="J9" s="29"/>
      <c r="K9" s="29"/>
      <c r="L9" s="29"/>
      <c r="M9" s="29"/>
      <c r="N9" s="102"/>
      <c r="O9" s="102"/>
      <c r="P9" s="102"/>
      <c r="Q9" s="29"/>
      <c r="R9" s="251"/>
      <c r="S9" s="31"/>
      <c r="T9" s="36"/>
      <c r="U9" s="31"/>
      <c r="V9" s="37"/>
    </row>
    <row r="10" spans="1:22" s="34" customFormat="1">
      <c r="A10" s="31"/>
      <c r="B10" s="29"/>
      <c r="C10" s="29"/>
      <c r="D10" s="29"/>
      <c r="E10" s="29"/>
      <c r="F10" s="29"/>
      <c r="G10" s="30"/>
      <c r="H10" s="29"/>
      <c r="I10" s="29"/>
      <c r="J10" s="29"/>
      <c r="K10" s="29"/>
      <c r="L10" s="29"/>
      <c r="M10" s="29"/>
      <c r="N10" s="102"/>
      <c r="O10" s="102"/>
      <c r="P10" s="102"/>
      <c r="Q10" s="29"/>
      <c r="R10" s="251"/>
      <c r="S10" s="31"/>
      <c r="T10" s="33"/>
      <c r="U10" s="32"/>
      <c r="V10" s="33"/>
    </row>
    <row r="11" spans="1:22" s="34" customFormat="1">
      <c r="A11" s="31"/>
      <c r="B11" s="29"/>
      <c r="C11" s="29"/>
      <c r="D11" s="29"/>
      <c r="E11" s="29"/>
      <c r="F11" s="29"/>
      <c r="G11" s="30"/>
      <c r="H11" s="29"/>
      <c r="I11" s="29"/>
      <c r="K11" s="735"/>
      <c r="L11" s="1348"/>
      <c r="M11" s="208"/>
      <c r="N11" s="738"/>
      <c r="O11" s="738"/>
      <c r="P11" s="738"/>
      <c r="Q11" s="735"/>
      <c r="R11" s="752"/>
      <c r="S11" s="31"/>
      <c r="T11" s="33"/>
      <c r="U11" s="32"/>
      <c r="V11" s="33"/>
    </row>
    <row r="12" spans="1:22" ht="16.399999999999999" customHeight="1">
      <c r="A12" s="31"/>
      <c r="B12" s="735"/>
      <c r="C12" s="735" t="s">
        <v>62</v>
      </c>
      <c r="D12" s="735"/>
      <c r="E12" s="29"/>
      <c r="F12" s="735"/>
      <c r="G12" s="735" t="s">
        <v>63</v>
      </c>
      <c r="H12" s="735"/>
      <c r="I12" s="29"/>
      <c r="J12" s="735"/>
      <c r="K12" s="735"/>
      <c r="L12" s="1348"/>
      <c r="M12" s="735" t="s">
        <v>64</v>
      </c>
      <c r="N12" s="738"/>
      <c r="O12" s="738"/>
      <c r="P12" s="738"/>
      <c r="Q12" s="735"/>
      <c r="R12" s="752"/>
      <c r="S12" s="2226" t="s">
        <v>892</v>
      </c>
      <c r="T12" s="2227"/>
      <c r="U12" s="2227"/>
      <c r="V12" s="39"/>
    </row>
    <row r="13" spans="1:22" ht="13.4" customHeight="1">
      <c r="A13" s="31"/>
      <c r="B13" s="42"/>
      <c r="C13" s="42"/>
      <c r="D13" s="42"/>
      <c r="E13" s="31"/>
      <c r="F13" s="42"/>
      <c r="G13" s="43"/>
      <c r="H13" s="42"/>
      <c r="I13" s="31"/>
      <c r="J13" s="42"/>
      <c r="K13" s="42"/>
      <c r="L13" s="42"/>
      <c r="M13" s="42"/>
      <c r="N13" s="3502"/>
      <c r="O13" s="3502"/>
      <c r="P13" s="3502"/>
      <c r="Q13" s="36"/>
      <c r="R13" s="982"/>
      <c r="S13" s="38"/>
      <c r="T13" s="44"/>
      <c r="U13" s="40"/>
      <c r="V13" s="44"/>
    </row>
    <row r="14" spans="1:22" ht="16.399999999999999" customHeight="1">
      <c r="A14" s="31"/>
      <c r="B14" s="735" t="s">
        <v>7</v>
      </c>
      <c r="C14" s="29"/>
      <c r="D14" s="735" t="str">
        <f>'Exhibit A'!F11</f>
        <v>7 MOS. ENDED</v>
      </c>
      <c r="E14" s="29"/>
      <c r="F14" s="735" t="s">
        <v>7</v>
      </c>
      <c r="G14" s="206"/>
      <c r="H14" s="735" t="str">
        <f>D14</f>
        <v>7 MOS. ENDED</v>
      </c>
      <c r="I14" s="29"/>
      <c r="J14" s="735" t="s">
        <v>7</v>
      </c>
      <c r="K14" s="29"/>
      <c r="L14" s="735" t="str">
        <f>D14</f>
        <v>7 MOS. ENDED</v>
      </c>
      <c r="M14" s="29"/>
      <c r="N14" s="738" t="s">
        <v>7</v>
      </c>
      <c r="O14" s="102"/>
      <c r="P14" s="738" t="str">
        <f>H14</f>
        <v>7 MOS. ENDED</v>
      </c>
      <c r="Q14" s="735"/>
      <c r="R14" s="983"/>
      <c r="S14" s="746" t="s">
        <v>8</v>
      </c>
      <c r="T14" s="207"/>
      <c r="U14" s="747" t="s">
        <v>9</v>
      </c>
      <c r="V14" s="44"/>
    </row>
    <row r="15" spans="1:22" ht="16.399999999999999" customHeight="1">
      <c r="A15" s="31"/>
      <c r="B15" s="736" t="str">
        <f>'Exhibit A'!D12</f>
        <v>OCT. 2020</v>
      </c>
      <c r="C15" s="29"/>
      <c r="D15" s="737" t="str">
        <f>'Exhibit A'!F12</f>
        <v>OCT. 31, 2020</v>
      </c>
      <c r="E15" s="29"/>
      <c r="F15" s="735" t="str">
        <f>B15</f>
        <v>OCT. 2020</v>
      </c>
      <c r="G15" s="29"/>
      <c r="H15" s="735" t="str">
        <f>D15</f>
        <v>OCT. 31, 2020</v>
      </c>
      <c r="I15" s="29"/>
      <c r="J15" s="735" t="str">
        <f>B15</f>
        <v>OCT. 2020</v>
      </c>
      <c r="K15" s="29"/>
      <c r="L15" s="735" t="str">
        <f>D15</f>
        <v>OCT. 31, 2020</v>
      </c>
      <c r="M15" s="29"/>
      <c r="N15" s="3499" t="str">
        <f>'Exhibit A'!AB12</f>
        <v>OCT. 2019</v>
      </c>
      <c r="O15" s="102"/>
      <c r="P15" s="3877" t="str">
        <f>'Exhibit A'!AD12</f>
        <v>OCT. 31, 2019</v>
      </c>
      <c r="Q15" s="734"/>
      <c r="R15" s="984"/>
      <c r="S15" s="749" t="s">
        <v>12</v>
      </c>
      <c r="T15" s="206"/>
      <c r="U15" s="750" t="s">
        <v>13</v>
      </c>
      <c r="V15" s="44"/>
    </row>
    <row r="16" spans="1:22" ht="13.4" customHeight="1">
      <c r="A16" s="31"/>
      <c r="B16" s="42"/>
      <c r="C16" s="31"/>
      <c r="D16" s="42" t="s">
        <v>15</v>
      </c>
      <c r="E16" s="31"/>
      <c r="F16" s="42"/>
      <c r="G16" s="31"/>
      <c r="H16" s="43" t="s">
        <v>15</v>
      </c>
      <c r="I16" s="45"/>
      <c r="J16" s="46"/>
      <c r="K16" s="31"/>
      <c r="L16" s="42"/>
      <c r="M16" s="45"/>
      <c r="N16" s="106"/>
      <c r="O16" s="104"/>
      <c r="P16" s="106"/>
      <c r="Q16" s="36"/>
      <c r="R16" s="982"/>
      <c r="S16" s="38"/>
      <c r="T16" s="36"/>
      <c r="U16" s="40"/>
      <c r="V16" s="36"/>
    </row>
    <row r="17" spans="1:22" ht="16.399999999999999" customHeight="1">
      <c r="A17" s="29" t="s">
        <v>14</v>
      </c>
      <c r="B17" s="47"/>
      <c r="C17" s="47"/>
      <c r="D17" s="47"/>
      <c r="E17" s="47"/>
      <c r="F17" s="47"/>
      <c r="G17" s="47"/>
      <c r="H17" s="47"/>
      <c r="I17" s="48"/>
      <c r="J17" s="48"/>
      <c r="K17" s="47"/>
      <c r="L17" s="47"/>
      <c r="M17" s="48"/>
      <c r="N17" s="3476"/>
      <c r="O17" s="3503"/>
      <c r="P17" s="3876"/>
      <c r="Q17" s="49"/>
      <c r="R17" s="985"/>
      <c r="S17" s="38"/>
      <c r="T17" s="49"/>
      <c r="U17" s="40"/>
      <c r="V17" s="49"/>
    </row>
    <row r="18" spans="1:22" ht="16.399999999999999" customHeight="1">
      <c r="A18" s="31" t="s">
        <v>20</v>
      </c>
      <c r="B18" s="656">
        <f>'Exhibit J'!O19</f>
        <v>4.400000000000003</v>
      </c>
      <c r="C18" s="656"/>
      <c r="D18" s="969">
        <f>+'Exhibit J'!AB19</f>
        <v>41.4</v>
      </c>
      <c r="E18" s="656"/>
      <c r="F18" s="969">
        <f>'Exhibit K'!N17</f>
        <v>52.999999999999986</v>
      </c>
      <c r="G18" s="656"/>
      <c r="H18" s="969">
        <f>+'Exhibit K'!AA17</f>
        <v>221.7</v>
      </c>
      <c r="I18" s="1210"/>
      <c r="J18" s="1210">
        <f>ROUND(SUM(B18)+SUM(F18),1)</f>
        <v>57.4</v>
      </c>
      <c r="K18" s="656"/>
      <c r="L18" s="1383">
        <f>ROUND(SUM(D18)+SUM(H18),1)</f>
        <v>263.10000000000002</v>
      </c>
      <c r="M18" s="1210"/>
      <c r="N18" s="1013">
        <v>53.3</v>
      </c>
      <c r="O18" s="1013"/>
      <c r="P18" s="1013">
        <f>'Exhibit J'!AE19+'Exhibit K'!AD17</f>
        <v>362.90000000000003</v>
      </c>
      <c r="Q18" s="969"/>
      <c r="R18" s="1384"/>
      <c r="S18" s="656">
        <f>ROUND(SUM(L18-P18),1)</f>
        <v>-99.8</v>
      </c>
      <c r="T18" s="1194"/>
      <c r="U18" s="1430">
        <f>ROUND(+S18/P18,3)</f>
        <v>-0.27500000000000002</v>
      </c>
      <c r="V18" s="51"/>
    </row>
    <row r="19" spans="1:22" ht="16.399999999999999" customHeight="1">
      <c r="A19" s="818" t="s">
        <v>65</v>
      </c>
      <c r="B19" s="641">
        <f>'Exhibit J'!O20</f>
        <v>2489.5</v>
      </c>
      <c r="C19" s="641"/>
      <c r="D19" s="941">
        <f>+'Exhibit J'!AB20</f>
        <v>36363.4</v>
      </c>
      <c r="E19" s="641"/>
      <c r="F19" s="657">
        <v>0</v>
      </c>
      <c r="G19" s="641"/>
      <c r="H19" s="657">
        <v>0</v>
      </c>
      <c r="I19" s="1385"/>
      <c r="J19" s="1386">
        <f>ROUND(SUM(B19)+SUM(F19),1)</f>
        <v>2489.5</v>
      </c>
      <c r="K19" s="668"/>
      <c r="L19" s="941">
        <f>ROUND(SUM(D19)+SUM(H19),1)</f>
        <v>36363.4</v>
      </c>
      <c r="M19" s="1387"/>
      <c r="N19" s="1022">
        <v>1</v>
      </c>
      <c r="O19" s="1022"/>
      <c r="P19" s="1022">
        <f>'Exhibit J'!AE20</f>
        <v>6.8</v>
      </c>
      <c r="Q19" s="941"/>
      <c r="R19" s="1388"/>
      <c r="S19" s="641">
        <f>ROUND(SUM(L19-P19),1)</f>
        <v>36356.6</v>
      </c>
      <c r="T19" s="1389"/>
      <c r="U19" s="1517">
        <f>ROUND(+S19/P19,3)</f>
        <v>5346.5590000000002</v>
      </c>
      <c r="V19" s="57"/>
    </row>
    <row r="20" spans="1:22" ht="16.399999999999999" customHeight="1">
      <c r="A20" s="31" t="s">
        <v>66</v>
      </c>
      <c r="B20" s="641">
        <f>'Exhibit J'!O21</f>
        <v>613.40000000000055</v>
      </c>
      <c r="C20" s="641"/>
      <c r="D20" s="941">
        <f>+'Exhibit J'!AB21</f>
        <v>12539.3</v>
      </c>
      <c r="E20" s="641"/>
      <c r="F20" s="657">
        <v>0</v>
      </c>
      <c r="G20" s="641"/>
      <c r="H20" s="657">
        <v>0</v>
      </c>
      <c r="I20" s="1385"/>
      <c r="J20" s="1390">
        <f>ROUND(SUM(B20+F20),1)</f>
        <v>613.4</v>
      </c>
      <c r="K20" s="668"/>
      <c r="L20" s="941">
        <f>ROUND(SUM(D20)+SUM(H20),1)</f>
        <v>12539.3</v>
      </c>
      <c r="M20" s="1387"/>
      <c r="N20" s="1022">
        <v>147</v>
      </c>
      <c r="O20" s="3501"/>
      <c r="P20" s="1022">
        <f>'Exhibit J'!AE21</f>
        <v>1105.5</v>
      </c>
      <c r="Q20" s="941"/>
      <c r="R20" s="1388"/>
      <c r="S20" s="641">
        <f>ROUND(SUM(L20-P20),1)</f>
        <v>11433.8</v>
      </c>
      <c r="T20" s="1389"/>
      <c r="U20" s="3658">
        <f>ROUND(+S20/P20,3)</f>
        <v>10.343</v>
      </c>
      <c r="V20" s="57"/>
    </row>
    <row r="21" spans="1:22">
      <c r="A21" s="29" t="s">
        <v>22</v>
      </c>
      <c r="B21" s="3422">
        <f>ROUND(SUM(B18:B20),1)</f>
        <v>3107.3</v>
      </c>
      <c r="C21" s="920"/>
      <c r="D21" s="59">
        <f>ROUND(SUM(D18:D20),1)</f>
        <v>48944.1</v>
      </c>
      <c r="E21" s="920"/>
      <c r="F21" s="59">
        <f>ROUND(SUM(F18:F20),1)</f>
        <v>53</v>
      </c>
      <c r="G21" s="920"/>
      <c r="H21" s="59">
        <f>ROUND(SUM(H18:H20),1)</f>
        <v>221.7</v>
      </c>
      <c r="I21" s="61"/>
      <c r="J21" s="59">
        <f>SUM(J18:J20)</f>
        <v>3160.3</v>
      </c>
      <c r="K21" s="920"/>
      <c r="L21" s="59">
        <f>SUM(L18:L20)</f>
        <v>49165.8</v>
      </c>
      <c r="M21" s="62"/>
      <c r="N21" s="3422">
        <f>ROUND(SUM(N18:N20),1)</f>
        <v>201.3</v>
      </c>
      <c r="O21" s="109"/>
      <c r="P21" s="3422">
        <f>ROUND(SUM(P18:P20),1)</f>
        <v>1475.2</v>
      </c>
      <c r="Q21" s="74"/>
      <c r="R21" s="332"/>
      <c r="S21" s="59">
        <f>ROUND(SUM(S18:S20),1)</f>
        <v>47690.6</v>
      </c>
      <c r="T21" s="666"/>
      <c r="U21" s="3687">
        <f>ROUND(+S21/P21,3)</f>
        <v>32.328000000000003</v>
      </c>
      <c r="V21" s="57"/>
    </row>
    <row r="22" spans="1:22">
      <c r="A22" s="29"/>
      <c r="B22" s="641"/>
      <c r="C22" s="641"/>
      <c r="D22" s="641"/>
      <c r="E22" s="641"/>
      <c r="F22" s="641"/>
      <c r="G22" s="641"/>
      <c r="H22" s="641"/>
      <c r="I22" s="1386"/>
      <c r="J22" s="1386"/>
      <c r="K22" s="641"/>
      <c r="L22" s="641"/>
      <c r="M22" s="1386"/>
      <c r="N22" s="1022"/>
      <c r="O22" s="893"/>
      <c r="P22" s="1022"/>
      <c r="Q22" s="941"/>
      <c r="R22" s="1388"/>
      <c r="S22" s="918"/>
      <c r="T22" s="1391"/>
      <c r="U22" s="1431"/>
      <c r="V22" s="49"/>
    </row>
    <row r="23" spans="1:22" ht="16.399999999999999" customHeight="1">
      <c r="A23" s="29" t="s">
        <v>23</v>
      </c>
      <c r="B23" s="641"/>
      <c r="C23" s="641"/>
      <c r="D23" s="641"/>
      <c r="E23" s="641"/>
      <c r="F23" s="641"/>
      <c r="G23" s="641"/>
      <c r="H23" s="641"/>
      <c r="I23" s="1386"/>
      <c r="J23" s="1386"/>
      <c r="K23" s="641"/>
      <c r="L23" s="641"/>
      <c r="M23" s="1386"/>
      <c r="N23" s="1022"/>
      <c r="O23" s="893"/>
      <c r="P23" s="1022"/>
      <c r="Q23" s="941"/>
      <c r="R23" s="1388"/>
      <c r="S23" s="918"/>
      <c r="T23" s="1391"/>
      <c r="U23" s="1431"/>
      <c r="V23" s="49"/>
    </row>
    <row r="24" spans="1:22" ht="16.399999999999999" customHeight="1">
      <c r="A24" s="31" t="s">
        <v>36</v>
      </c>
      <c r="B24" s="641"/>
      <c r="C24" s="641"/>
      <c r="D24" s="641"/>
      <c r="E24" s="641"/>
      <c r="F24" s="641"/>
      <c r="G24" s="641"/>
      <c r="H24" s="641"/>
      <c r="I24" s="1386"/>
      <c r="J24" s="1386"/>
      <c r="K24" s="641"/>
      <c r="L24" s="641"/>
      <c r="M24" s="1386"/>
      <c r="N24" s="1022"/>
      <c r="O24" s="893"/>
      <c r="P24" s="1022"/>
      <c r="Q24" s="941"/>
      <c r="R24" s="1388"/>
      <c r="S24" s="918"/>
      <c r="T24" s="1391"/>
      <c r="U24" s="1431"/>
      <c r="V24" s="49"/>
    </row>
    <row r="25" spans="1:22" ht="16.399999999999999" customHeight="1">
      <c r="A25" s="31" t="s">
        <v>67</v>
      </c>
      <c r="B25" s="641">
        <f>'Exhibit J'!O28</f>
        <v>1.1000000000000001</v>
      </c>
      <c r="C25" s="641"/>
      <c r="D25" s="941">
        <f>+'Exhibit J'!AB28</f>
        <v>8.6</v>
      </c>
      <c r="E25" s="641"/>
      <c r="F25" s="641">
        <f>'Exhibit K'!N24</f>
        <v>10.199999999999989</v>
      </c>
      <c r="G25" s="641"/>
      <c r="H25" s="641">
        <f>+'Exhibit K'!AA24</f>
        <v>83.6</v>
      </c>
      <c r="I25" s="1386"/>
      <c r="J25" s="1386">
        <f>ROUND(SUM(B25)+SUM(F25),1)</f>
        <v>11.3</v>
      </c>
      <c r="K25" s="641"/>
      <c r="L25" s="941">
        <f>ROUND(SUM(D25)+SUM(H25),1)</f>
        <v>92.2</v>
      </c>
      <c r="M25" s="1386"/>
      <c r="N25" s="1022">
        <v>22.199999999999996</v>
      </c>
      <c r="O25" s="1022"/>
      <c r="P25" s="1022">
        <f>'Exhibit J'!AE28+'Exhibit K'!AD24</f>
        <v>87</v>
      </c>
      <c r="Q25" s="941"/>
      <c r="R25" s="1388"/>
      <c r="S25" s="641">
        <f>ROUND(SUM(L25-P25),1)</f>
        <v>5.2</v>
      </c>
      <c r="T25" s="666"/>
      <c r="U25" s="1430">
        <f>ROUND(+S25/P25,3)</f>
        <v>0.06</v>
      </c>
      <c r="V25" s="49"/>
    </row>
    <row r="26" spans="1:22" ht="16.399999999999999" customHeight="1">
      <c r="A26" s="31" t="s">
        <v>68</v>
      </c>
      <c r="B26" s="641">
        <f>'Exhibit J'!O29</f>
        <v>4.1000000000000032</v>
      </c>
      <c r="C26" s="641"/>
      <c r="D26" s="941">
        <f>+'Exhibit J'!AB29</f>
        <v>31.9</v>
      </c>
      <c r="E26" s="641"/>
      <c r="F26" s="641">
        <f>'Exhibit K'!N25</f>
        <v>61.299999999999983</v>
      </c>
      <c r="G26" s="641"/>
      <c r="H26" s="641">
        <f>+'Exhibit K'!AA25</f>
        <v>270.39999999999998</v>
      </c>
      <c r="I26" s="1386"/>
      <c r="J26" s="1386">
        <f>ROUND(SUM(B26)+SUM(F26),1)</f>
        <v>65.400000000000006</v>
      </c>
      <c r="K26" s="641"/>
      <c r="L26" s="941">
        <f>ROUND(SUM(D26)+SUM(H26),1)</f>
        <v>302.3</v>
      </c>
      <c r="M26" s="1386"/>
      <c r="N26" s="1022">
        <v>49.6</v>
      </c>
      <c r="O26" s="1022"/>
      <c r="P26" s="1022">
        <f>'Exhibit J'!AE29+'Exhibit K'!AD25</f>
        <v>270.5</v>
      </c>
      <c r="Q26" s="941"/>
      <c r="R26" s="1388"/>
      <c r="S26" s="641">
        <f>ROUND(SUM(L26-P26),1)</f>
        <v>31.8</v>
      </c>
      <c r="T26" s="666"/>
      <c r="U26" s="1430">
        <f>ROUND(+S26/P26,3)</f>
        <v>0.11799999999999999</v>
      </c>
      <c r="V26" s="49"/>
    </row>
    <row r="27" spans="1:22" ht="16.399999999999999" customHeight="1">
      <c r="A27" s="31" t="s">
        <v>69</v>
      </c>
      <c r="B27" s="641">
        <f>'Exhibit J'!O30</f>
        <v>0.10000000000000003</v>
      </c>
      <c r="C27" s="641"/>
      <c r="D27" s="941">
        <f>+'Exhibit J'!AB30</f>
        <v>1</v>
      </c>
      <c r="E27" s="941"/>
      <c r="F27" s="641">
        <f>'Exhibit K'!N26</f>
        <v>4.8000000000000078</v>
      </c>
      <c r="G27" s="641"/>
      <c r="H27" s="1392">
        <f>+'Exhibit K'!AA26</f>
        <v>38.6</v>
      </c>
      <c r="I27" s="941"/>
      <c r="J27" s="1386">
        <f>ROUND(SUM(B27)+SUM(F27),1)</f>
        <v>4.9000000000000004</v>
      </c>
      <c r="K27" s="641"/>
      <c r="L27" s="941">
        <f>ROUND(SUM(D27)+SUM(H27),1)</f>
        <v>39.6</v>
      </c>
      <c r="M27" s="1386"/>
      <c r="N27" s="1022">
        <v>1.5999999999999999</v>
      </c>
      <c r="O27" s="3501"/>
      <c r="P27" s="1022">
        <f>'Exhibit J'!AE30+'Exhibit K'!AD26</f>
        <v>32</v>
      </c>
      <c r="Q27" s="941"/>
      <c r="R27" s="1388"/>
      <c r="S27" s="641">
        <f>ROUND(SUM(L27-P27),1)</f>
        <v>7.6</v>
      </c>
      <c r="T27" s="666"/>
      <c r="U27" s="1430">
        <f>ROUND(+S27/P27,3)</f>
        <v>0.23799999999999999</v>
      </c>
      <c r="V27" s="49"/>
    </row>
    <row r="28" spans="1:22" ht="15.75" customHeight="1">
      <c r="A28" s="818" t="s">
        <v>70</v>
      </c>
      <c r="B28" s="641">
        <f>'Exhibit J'!O31</f>
        <v>3102.8000000000029</v>
      </c>
      <c r="C28" s="641"/>
      <c r="D28" s="941">
        <f>+'Exhibit J'!AB31</f>
        <v>48894</v>
      </c>
      <c r="E28" s="641"/>
      <c r="F28" s="944">
        <v>0</v>
      </c>
      <c r="G28" s="641"/>
      <c r="H28" s="1394">
        <v>0</v>
      </c>
      <c r="I28" s="941"/>
      <c r="J28" s="1386">
        <f>ROUND(SUM(B28)+SUM(F28),1)</f>
        <v>3102.8</v>
      </c>
      <c r="K28" s="1187"/>
      <c r="L28" s="941">
        <f>ROUND(SUM(D28)+SUM(H28),1)</f>
        <v>48894</v>
      </c>
      <c r="M28" s="1395"/>
      <c r="N28" s="1022">
        <v>147.79999999999998</v>
      </c>
      <c r="O28" s="1029"/>
      <c r="P28" s="1714">
        <f>'Exhibit J'!AE31</f>
        <v>1113</v>
      </c>
      <c r="Q28" s="972"/>
      <c r="R28" s="1396"/>
      <c r="S28" s="641">
        <f>ROUND(SUM(L28-P28),1)</f>
        <v>47781</v>
      </c>
      <c r="T28" s="666"/>
      <c r="U28" s="3658">
        <f>ROUND(+S28/P28,3)</f>
        <v>42.93</v>
      </c>
      <c r="V28" s="57"/>
    </row>
    <row r="29" spans="1:22">
      <c r="A29" s="29" t="s">
        <v>57</v>
      </c>
      <c r="B29" s="3422">
        <f>ROUND(SUM(B25:B28),1)</f>
        <v>3108.1</v>
      </c>
      <c r="C29" s="920"/>
      <c r="D29" s="59">
        <f>ROUND(SUM(D25:D28),1)</f>
        <v>48935.5</v>
      </c>
      <c r="E29" s="920"/>
      <c r="F29" s="59">
        <f>ROUND(SUM(F24:F28),1)</f>
        <v>76.3</v>
      </c>
      <c r="G29" s="920"/>
      <c r="H29" s="59">
        <f>ROUND(SUM(H25:H28),1)</f>
        <v>392.6</v>
      </c>
      <c r="I29" s="61"/>
      <c r="J29" s="69">
        <f>ROUND(SUM(J25:J28),1)</f>
        <v>3184.4</v>
      </c>
      <c r="K29" s="920"/>
      <c r="L29" s="70">
        <f>ROUND(SUM(L25:L28),1)</f>
        <v>49328.1</v>
      </c>
      <c r="M29" s="62"/>
      <c r="N29" s="3422">
        <f>ROUND(SUM(N25:N28),1)</f>
        <v>221.2</v>
      </c>
      <c r="O29" s="109"/>
      <c r="P29" s="3422">
        <f>ROUND(SUM(P25:P28),1)</f>
        <v>1502.5</v>
      </c>
      <c r="Q29" s="74"/>
      <c r="R29" s="332"/>
      <c r="S29" s="59">
        <f>ROUND(SUM(S25:S28),1)</f>
        <v>47825.599999999999</v>
      </c>
      <c r="T29" s="666"/>
      <c r="U29" s="3659">
        <f>ROUND(+S29/P29,3)</f>
        <v>31.831</v>
      </c>
      <c r="V29" s="57"/>
    </row>
    <row r="30" spans="1:22">
      <c r="A30" s="29"/>
      <c r="B30" s="641"/>
      <c r="C30" s="641"/>
      <c r="D30" s="641"/>
      <c r="E30" s="641"/>
      <c r="F30" s="641"/>
      <c r="G30" s="641"/>
      <c r="H30" s="641"/>
      <c r="I30" s="1386"/>
      <c r="J30" s="1386"/>
      <c r="K30" s="641"/>
      <c r="L30" s="641"/>
      <c r="M30" s="1386"/>
      <c r="N30" s="1022"/>
      <c r="O30" s="893"/>
      <c r="P30" s="1022"/>
      <c r="Q30" s="941"/>
      <c r="R30" s="1388"/>
      <c r="S30" s="918"/>
      <c r="T30" s="1391"/>
      <c r="U30" s="1431"/>
      <c r="V30" s="49"/>
    </row>
    <row r="31" spans="1:22" ht="16.399999999999999" customHeight="1">
      <c r="A31" s="29" t="s">
        <v>44</v>
      </c>
      <c r="B31" s="641"/>
      <c r="C31" s="641"/>
      <c r="D31" s="641"/>
      <c r="E31" s="641"/>
      <c r="F31" s="641"/>
      <c r="G31" s="641"/>
      <c r="H31" s="641"/>
      <c r="I31" s="1386"/>
      <c r="J31" s="1386"/>
      <c r="K31" s="641"/>
      <c r="L31" s="641"/>
      <c r="M31" s="1386"/>
      <c r="N31" s="1022"/>
      <c r="O31" s="893"/>
      <c r="P31" s="1022"/>
      <c r="Q31" s="941"/>
      <c r="R31" s="1388"/>
      <c r="S31" s="918"/>
      <c r="T31" s="1391"/>
      <c r="U31" s="1431"/>
      <c r="V31" s="49"/>
    </row>
    <row r="32" spans="1:22">
      <c r="A32" s="29" t="s">
        <v>71</v>
      </c>
      <c r="B32" s="71">
        <f>ROUND(SUM(B21-B29),1)</f>
        <v>-0.8</v>
      </c>
      <c r="C32" s="920"/>
      <c r="D32" s="72">
        <f>ROUND(SUM(D21-D29),1)</f>
        <v>8.6</v>
      </c>
      <c r="E32" s="920"/>
      <c r="F32" s="72">
        <f>ROUND(SUM(F21-F29),1)</f>
        <v>-23.3</v>
      </c>
      <c r="G32" s="920"/>
      <c r="H32" s="72">
        <f>ROUND(SUM(H21-H29),1)</f>
        <v>-170.9</v>
      </c>
      <c r="I32" s="62"/>
      <c r="J32" s="73">
        <f>ROUND(SUM(J21-J29),1)</f>
        <v>-24.1</v>
      </c>
      <c r="K32" s="920"/>
      <c r="L32" s="72">
        <f>ROUND(SUM(L21-L29),1)</f>
        <v>-162.30000000000001</v>
      </c>
      <c r="M32" s="62"/>
      <c r="N32" s="110">
        <f>ROUND(SUM(N21-N29),1)</f>
        <v>-19.899999999999999</v>
      </c>
      <c r="O32" s="112"/>
      <c r="P32" s="110">
        <f>ROUND(SUM(P21-P29),1)</f>
        <v>-27.3</v>
      </c>
      <c r="Q32" s="74"/>
      <c r="R32" s="332"/>
      <c r="S32" s="72">
        <f>ROUND(SUM(S21-S29),1)</f>
        <v>-135</v>
      </c>
      <c r="T32" s="1391"/>
      <c r="U32" s="1617">
        <f>-ROUND(+S32/P32,3)</f>
        <v>-4.9450000000000003</v>
      </c>
      <c r="V32" s="49"/>
    </row>
    <row r="33" spans="1:22">
      <c r="A33" s="31"/>
      <c r="B33" s="641"/>
      <c r="C33" s="641"/>
      <c r="D33" s="641"/>
      <c r="E33" s="641"/>
      <c r="F33" s="641"/>
      <c r="G33" s="641"/>
      <c r="H33" s="641"/>
      <c r="I33" s="1386"/>
      <c r="J33" s="1386"/>
      <c r="K33" s="641"/>
      <c r="L33" s="641"/>
      <c r="M33" s="1386"/>
      <c r="N33" s="1022"/>
      <c r="O33" s="893"/>
      <c r="P33" s="1022"/>
      <c r="Q33" s="941"/>
      <c r="R33" s="1388"/>
      <c r="S33" s="918"/>
      <c r="T33" s="1391"/>
      <c r="U33" s="1431"/>
      <c r="V33" s="49"/>
    </row>
    <row r="34" spans="1:22" ht="16.399999999999999" customHeight="1">
      <c r="A34" s="29" t="s">
        <v>46</v>
      </c>
      <c r="B34" s="641"/>
      <c r="C34" s="641"/>
      <c r="D34" s="641"/>
      <c r="E34" s="641"/>
      <c r="F34" s="641"/>
      <c r="G34" s="641"/>
      <c r="H34" s="641"/>
      <c r="I34" s="1386"/>
      <c r="J34" s="1386"/>
      <c r="K34" s="641"/>
      <c r="L34" s="641"/>
      <c r="M34" s="1386"/>
      <c r="N34" s="1022"/>
      <c r="O34" s="893"/>
      <c r="P34" s="1022"/>
      <c r="Q34" s="941"/>
      <c r="R34" s="1388"/>
      <c r="S34" s="918"/>
      <c r="T34" s="1391"/>
      <c r="U34" s="1431"/>
      <c r="V34" s="49"/>
    </row>
    <row r="35" spans="1:22" ht="16.399999999999999" customHeight="1">
      <c r="A35" s="31" t="s">
        <v>47</v>
      </c>
      <c r="B35" s="944">
        <f>+'Exhibit J'!O41</f>
        <v>0</v>
      </c>
      <c r="C35" s="641"/>
      <c r="D35" s="944">
        <f>+'Exhibit J'!AB41</f>
        <v>3</v>
      </c>
      <c r="E35" s="641"/>
      <c r="F35" s="641">
        <f>'Exhibit K'!N36</f>
        <v>6.9000000000000057</v>
      </c>
      <c r="G35" s="679"/>
      <c r="H35" s="1397">
        <f>+'Exhibit K'!AA36</f>
        <v>79.600000000000009</v>
      </c>
      <c r="I35" s="1386"/>
      <c r="J35" s="1386">
        <f>ROUND(SUM(B35)+SUM(F35),1)</f>
        <v>6.9</v>
      </c>
      <c r="K35" s="679"/>
      <c r="L35" s="1392">
        <f>ROUND(SUM(D35)+SUM(H35),1)</f>
        <v>82.6</v>
      </c>
      <c r="M35" s="941"/>
      <c r="N35" s="1022">
        <v>3.6</v>
      </c>
      <c r="O35" s="1022"/>
      <c r="P35" s="1715">
        <f>'Exhibit J'!AE41+'Exhibit K'!AD36</f>
        <v>49</v>
      </c>
      <c r="Q35" s="1393"/>
      <c r="R35" s="1398"/>
      <c r="S35" s="641">
        <f>ROUND(SUM(L35-P35),1)</f>
        <v>33.6</v>
      </c>
      <c r="T35" s="666"/>
      <c r="U35" s="1381">
        <f>ROUND(IF(S35=0,0,S35/(P35)),3)</f>
        <v>0.68600000000000005</v>
      </c>
      <c r="V35" s="78"/>
    </row>
    <row r="36" spans="1:22" s="1713" customFormat="1" ht="16.399999999999999" customHeight="1">
      <c r="A36" s="104" t="s">
        <v>72</v>
      </c>
      <c r="B36" s="3047">
        <f>+'Exhibit J'!O42</f>
        <v>0</v>
      </c>
      <c r="C36" s="1042"/>
      <c r="D36" s="1036">
        <f>+'Exhibit J'!AB42</f>
        <v>0</v>
      </c>
      <c r="E36" s="893"/>
      <c r="F36" s="893">
        <f>'Exhibit K'!N37</f>
        <v>0</v>
      </c>
      <c r="G36" s="893"/>
      <c r="H36" s="1026">
        <f>+'Exhibit K'!AA37</f>
        <v>-0.3</v>
      </c>
      <c r="I36" s="3048"/>
      <c r="J36" s="1413">
        <f>ROUND(SUM(B36)+SUM(F36),1)</f>
        <v>0</v>
      </c>
      <c r="K36" s="893"/>
      <c r="L36" s="1022">
        <f>ROUND(SUM(D36)+SUM(H36),1)</f>
        <v>-0.3</v>
      </c>
      <c r="M36" s="1413"/>
      <c r="N36" s="1022">
        <v>0</v>
      </c>
      <c r="O36" s="3501"/>
      <c r="P36" s="1715">
        <f>'Exhibit J'!AE42+'Exhibit K'!AD37</f>
        <v>-0.9</v>
      </c>
      <c r="Q36" s="1715"/>
      <c r="R36" s="3049"/>
      <c r="S36" s="3050">
        <f>-ROUND(SUM(L36-P36),1)</f>
        <v>-0.6</v>
      </c>
      <c r="T36" s="647"/>
      <c r="U36" s="3051">
        <f>ROUND(IF(P36=0,0,S36/ABS(P36)),3)</f>
        <v>-0.66700000000000004</v>
      </c>
      <c r="V36" s="3052"/>
    </row>
    <row r="37" spans="1:22">
      <c r="A37" s="29" t="s">
        <v>49</v>
      </c>
      <c r="B37" s="79">
        <f>ROUND(SUM(B35:B36),1)</f>
        <v>0</v>
      </c>
      <c r="C37" s="80"/>
      <c r="D37" s="79">
        <f>ROUND(SUM(D35:D36),1)</f>
        <v>3</v>
      </c>
      <c r="E37" s="920"/>
      <c r="F37" s="81">
        <f>ROUND(SUM(F35:F36),1)</f>
        <v>6.9</v>
      </c>
      <c r="G37" s="82"/>
      <c r="H37" s="83">
        <f>ROUND(SUM(H35:H36),1)</f>
        <v>79.3</v>
      </c>
      <c r="I37" s="74"/>
      <c r="J37" s="84">
        <f>ROUND(SUM(J35:J36),1)</f>
        <v>6.9</v>
      </c>
      <c r="K37" s="82"/>
      <c r="L37" s="83">
        <f>ROUND(SUM(L35:L36),1)</f>
        <v>82.3</v>
      </c>
      <c r="M37" s="62"/>
      <c r="N37" s="3504">
        <f>ROUND(SUM(N35:N36),1)</f>
        <v>3.6</v>
      </c>
      <c r="O37" s="109"/>
      <c r="P37" s="3504">
        <f>ROUND(SUM(P35:P36),1)</f>
        <v>48.1</v>
      </c>
      <c r="Q37" s="980"/>
      <c r="R37" s="986"/>
      <c r="S37" s="81">
        <f>L37-P37</f>
        <v>34.199999999999996</v>
      </c>
      <c r="T37" s="1399"/>
      <c r="U37" s="282">
        <f>ROUND(SUM(S37/P37),3)</f>
        <v>0.71099999999999997</v>
      </c>
      <c r="V37" s="85"/>
    </row>
    <row r="38" spans="1:22">
      <c r="A38" s="29"/>
      <c r="B38" s="686"/>
      <c r="C38" s="641"/>
      <c r="D38" s="686"/>
      <c r="E38" s="641"/>
      <c r="F38" s="941"/>
      <c r="G38" s="641"/>
      <c r="H38" s="941"/>
      <c r="I38" s="1386"/>
      <c r="J38" s="1386"/>
      <c r="K38" s="641"/>
      <c r="L38" s="686"/>
      <c r="M38" s="1386"/>
      <c r="N38" s="1022"/>
      <c r="O38" s="893"/>
      <c r="P38" s="1022"/>
      <c r="Q38" s="941"/>
      <c r="R38" s="1388"/>
      <c r="S38" s="918"/>
      <c r="T38" s="1391"/>
      <c r="U38" s="822"/>
      <c r="V38" s="49"/>
    </row>
    <row r="39" spans="1:22" ht="15.75" customHeight="1">
      <c r="A39" s="29" t="s">
        <v>44</v>
      </c>
      <c r="B39" s="641"/>
      <c r="C39" s="641"/>
      <c r="D39" s="641"/>
      <c r="E39" s="641"/>
      <c r="F39" s="893"/>
      <c r="G39" s="641"/>
      <c r="H39" s="641"/>
      <c r="I39" s="1386"/>
      <c r="J39" s="1386"/>
      <c r="K39" s="641"/>
      <c r="L39" s="641"/>
      <c r="M39" s="1386"/>
      <c r="N39" s="1022"/>
      <c r="O39" s="893"/>
      <c r="P39" s="1022"/>
      <c r="Q39" s="941"/>
      <c r="R39" s="1388"/>
      <c r="S39" s="918"/>
      <c r="T39" s="1391"/>
      <c r="U39" s="822"/>
      <c r="V39" s="49"/>
    </row>
    <row r="40" spans="1:22" ht="15.75" customHeight="1">
      <c r="A40" s="29" t="s">
        <v>73</v>
      </c>
      <c r="B40" s="641"/>
      <c r="C40" s="641"/>
      <c r="D40" s="641"/>
      <c r="E40" s="641"/>
      <c r="F40" s="893"/>
      <c r="G40" s="641"/>
      <c r="H40" s="641"/>
      <c r="I40" s="1386"/>
      <c r="J40" s="1386"/>
      <c r="K40" s="641"/>
      <c r="L40" s="641"/>
      <c r="M40" s="1386"/>
      <c r="N40" s="1022"/>
      <c r="O40" s="893"/>
      <c r="P40" s="1022"/>
      <c r="Q40" s="941"/>
      <c r="R40" s="1388"/>
      <c r="S40" s="918"/>
      <c r="T40" s="1391"/>
      <c r="U40" s="822"/>
      <c r="V40" s="49"/>
    </row>
    <row r="41" spans="1:22" ht="15.75" customHeight="1">
      <c r="A41" s="29" t="s">
        <v>74</v>
      </c>
      <c r="B41" s="641"/>
      <c r="C41" s="641"/>
      <c r="D41" s="641"/>
      <c r="E41" s="641"/>
      <c r="F41" s="893"/>
      <c r="G41" s="641"/>
      <c r="H41" s="641"/>
      <c r="I41" s="1386"/>
      <c r="J41" s="1386"/>
      <c r="K41" s="641"/>
      <c r="L41" s="641"/>
      <c r="M41" s="1386"/>
      <c r="N41" s="1022"/>
      <c r="O41" s="893"/>
      <c r="P41" s="1022"/>
      <c r="Q41" s="941"/>
      <c r="R41" s="1388"/>
      <c r="S41" s="918"/>
      <c r="T41" s="1391"/>
      <c r="U41" s="822"/>
      <c r="V41" s="49"/>
    </row>
    <row r="42" spans="1:22" ht="15.75" customHeight="1">
      <c r="A42" s="29" t="s">
        <v>75</v>
      </c>
      <c r="B42" s="87">
        <f>ROUND(SUM(B32,B37),1)</f>
        <v>-0.8</v>
      </c>
      <c r="C42" s="920"/>
      <c r="D42" s="87">
        <f>ROUND(SUM(D32,D37),1)</f>
        <v>11.6</v>
      </c>
      <c r="E42" s="920"/>
      <c r="F42" s="1616">
        <f>ROUND(SUM(F32,F37),1)</f>
        <v>-16.399999999999999</v>
      </c>
      <c r="G42" s="920"/>
      <c r="H42" s="87">
        <f>ROUND(SUM(H32,H37),1)</f>
        <v>-91.6</v>
      </c>
      <c r="I42" s="88"/>
      <c r="J42" s="87">
        <f>ROUND(SUM(J32,J37),1)</f>
        <v>-17.2</v>
      </c>
      <c r="K42" s="920"/>
      <c r="L42" s="87">
        <f>ROUND(SUM(L32,L37),1)</f>
        <v>-80</v>
      </c>
      <c r="M42" s="62"/>
      <c r="N42" s="1616">
        <f>ROUND(SUM(N32,N37),1)</f>
        <v>-16.3</v>
      </c>
      <c r="O42" s="109"/>
      <c r="P42" s="1616">
        <f>ROUND(SUM(P32,P37),1)</f>
        <v>20.8</v>
      </c>
      <c r="Q42" s="87"/>
      <c r="R42" s="987"/>
      <c r="S42" s="87">
        <f>ROUND(SUM(S32,S37),1)</f>
        <v>-100.8</v>
      </c>
      <c r="T42" s="89"/>
      <c r="U42" s="1501">
        <f>ROUND(S42/P42,3)</f>
        <v>-4.8460000000000001</v>
      </c>
      <c r="V42" s="49"/>
    </row>
    <row r="43" spans="1:22">
      <c r="A43" s="29"/>
      <c r="B43" s="641"/>
      <c r="C43" s="641"/>
      <c r="D43" s="641"/>
      <c r="E43" s="641"/>
      <c r="F43" s="893"/>
      <c r="G43" s="641"/>
      <c r="H43" s="641"/>
      <c r="I43" s="1386"/>
      <c r="J43" s="1386"/>
      <c r="K43" s="641"/>
      <c r="L43" s="641"/>
      <c r="M43" s="1386"/>
      <c r="N43" s="1022"/>
      <c r="O43" s="893"/>
      <c r="P43" s="1022"/>
      <c r="Q43" s="941"/>
      <c r="R43" s="1388"/>
      <c r="S43" s="918"/>
      <c r="T43" s="1391"/>
      <c r="U43" s="918"/>
      <c r="V43" s="49"/>
    </row>
    <row r="44" spans="1:22" s="63" customFormat="1">
      <c r="A44" s="29" t="s">
        <v>76</v>
      </c>
      <c r="B44" s="920">
        <f>+'Exhibit J'!O16</f>
        <v>42.1</v>
      </c>
      <c r="C44" s="920"/>
      <c r="D44" s="920">
        <f>+'Exhibit J'!AB16</f>
        <v>29.7</v>
      </c>
      <c r="E44" s="920"/>
      <c r="F44" s="3507">
        <f>+'Exhibit K'!N14</f>
        <v>-372.7</v>
      </c>
      <c r="G44" s="920"/>
      <c r="H44" s="920">
        <f>+'Exhibit K'!AA14</f>
        <v>-297.5</v>
      </c>
      <c r="I44" s="62"/>
      <c r="J44" s="62">
        <f>ROUND(SUM(B44)+SUM(F44),1)</f>
        <v>-330.6</v>
      </c>
      <c r="K44" s="920"/>
      <c r="L44" s="920">
        <f>ROUND(SUM(D44)+SUM(H44),1)</f>
        <v>-267.8</v>
      </c>
      <c r="M44" s="62"/>
      <c r="N44" s="117">
        <v>-239</v>
      </c>
      <c r="O44" s="109"/>
      <c r="P44" s="110">
        <f>'Exhibit J'!AE16+'Exhibit K'!AD14</f>
        <v>-276.09999999999997</v>
      </c>
      <c r="Q44" s="74"/>
      <c r="R44" s="332"/>
      <c r="S44" s="920">
        <f>ROUND(SUM(L44-P44),1)</f>
        <v>8.3000000000000007</v>
      </c>
      <c r="T44" s="89"/>
      <c r="U44" s="1501">
        <f>-ROUND(SUM(S44/P44),3)</f>
        <v>0.03</v>
      </c>
      <c r="V44" s="89"/>
    </row>
    <row r="45" spans="1:22" ht="16" thickBot="1">
      <c r="A45" s="29" t="s">
        <v>77</v>
      </c>
      <c r="B45" s="90">
        <f>ROUND(SUM(B42+B44),1)</f>
        <v>41.3</v>
      </c>
      <c r="C45" s="91"/>
      <c r="D45" s="90">
        <f>ROUND(SUM(D42+D44),1)</f>
        <v>41.3</v>
      </c>
      <c r="E45" s="91"/>
      <c r="F45" s="133">
        <f>ROUND(SUM(F42+F44),1)</f>
        <v>-389.1</v>
      </c>
      <c r="G45" s="91"/>
      <c r="H45" s="90">
        <f>ROUND(SUM(H42+H44),1)</f>
        <v>-389.1</v>
      </c>
      <c r="I45" s="92"/>
      <c r="J45" s="93">
        <f>ROUND(SUM(J42+J44),1)</f>
        <v>-347.8</v>
      </c>
      <c r="K45" s="91"/>
      <c r="L45" s="94">
        <f>ROUND(SUM(L42+L44),1)</f>
        <v>-347.8</v>
      </c>
      <c r="M45" s="92"/>
      <c r="N45" s="1484">
        <f>ROUND(SUM(N42+N44),1)</f>
        <v>-255.3</v>
      </c>
      <c r="O45" s="132"/>
      <c r="P45" s="1484">
        <f>ROUND(SUM(P42+P44),1)</f>
        <v>-255.3</v>
      </c>
      <c r="Q45" s="216"/>
      <c r="R45" s="324"/>
      <c r="S45" s="95">
        <f>ROUND(SUM(S42+S44),1)</f>
        <v>-92.5</v>
      </c>
      <c r="T45" s="1194"/>
      <c r="U45" s="1474">
        <f>ROUND(SUM(S45/ABS(P45)),3)</f>
        <v>-0.36199999999999999</v>
      </c>
      <c r="V45" s="51"/>
    </row>
    <row r="46" spans="1:22" ht="4.4000000000000004" customHeight="1" thickTop="1">
      <c r="A46" s="31"/>
      <c r="B46" s="1400"/>
      <c r="C46" s="924"/>
      <c r="D46" s="1400"/>
      <c r="E46" s="924"/>
      <c r="F46" s="1044"/>
      <c r="G46" s="924"/>
      <c r="H46" s="1400"/>
      <c r="I46" s="924"/>
      <c r="J46" s="1400"/>
      <c r="K46" s="924"/>
      <c r="L46" s="1400"/>
      <c r="M46" s="924"/>
      <c r="N46" s="1017"/>
      <c r="O46" s="1015"/>
      <c r="P46" s="1017"/>
      <c r="Q46" s="1194"/>
      <c r="R46" s="1194"/>
      <c r="S46" s="924"/>
      <c r="T46" s="1401"/>
      <c r="U46" s="1402"/>
      <c r="V46" s="97"/>
    </row>
    <row r="47" spans="1:22">
      <c r="A47" s="688"/>
      <c r="B47" s="38"/>
      <c r="C47" s="38"/>
      <c r="D47" s="38"/>
      <c r="E47" s="38"/>
      <c r="F47" s="1088"/>
      <c r="G47" s="38"/>
      <c r="H47" s="38"/>
      <c r="I47" s="38"/>
      <c r="J47" s="38"/>
      <c r="K47" s="38"/>
      <c r="L47" s="38"/>
      <c r="M47" s="38"/>
      <c r="N47" s="3505"/>
      <c r="O47" s="3505"/>
      <c r="P47" s="3505"/>
      <c r="Q47" s="38"/>
      <c r="R47" s="100"/>
      <c r="S47" s="38"/>
      <c r="T47" s="44"/>
      <c r="U47" s="40"/>
      <c r="V47" s="44"/>
    </row>
    <row r="48" spans="1:22" s="99" customFormat="1" ht="16.5" customHeight="1">
      <c r="A48" s="1049"/>
      <c r="N48" s="1712"/>
      <c r="O48" s="1712"/>
      <c r="P48" s="1712"/>
      <c r="R48" s="981"/>
    </row>
    <row r="49" spans="1:21">
      <c r="A49" s="688"/>
      <c r="B49" s="38"/>
      <c r="C49" s="38"/>
      <c r="D49" s="38"/>
      <c r="E49" s="38"/>
      <c r="F49" s="38"/>
      <c r="G49" s="38"/>
      <c r="H49" s="38"/>
      <c r="I49" s="38"/>
      <c r="J49" s="38"/>
      <c r="K49" s="38"/>
      <c r="L49" s="38"/>
      <c r="M49" s="38"/>
      <c r="N49" s="3506"/>
      <c r="O49" s="3505"/>
      <c r="P49" s="3506"/>
      <c r="Q49" s="38"/>
      <c r="R49" s="100"/>
      <c r="S49" s="38"/>
      <c r="T49" s="100"/>
      <c r="U49" s="38"/>
    </row>
    <row r="50" spans="1:21">
      <c r="A50" s="688"/>
      <c r="B50" s="38"/>
      <c r="C50" s="38"/>
      <c r="D50" s="38"/>
      <c r="E50" s="38"/>
      <c r="F50" s="38"/>
      <c r="G50" s="38"/>
      <c r="H50" s="38"/>
      <c r="I50" s="38"/>
      <c r="J50" s="38"/>
      <c r="K50" s="38"/>
      <c r="L50" s="38"/>
      <c r="M50" s="38"/>
      <c r="N50" s="275"/>
      <c r="O50" s="3505"/>
      <c r="P50" s="275"/>
      <c r="Q50" s="38"/>
      <c r="R50" s="100"/>
      <c r="S50" s="38"/>
      <c r="T50" s="100"/>
      <c r="U50" s="38"/>
    </row>
    <row r="51" spans="1:21">
      <c r="A51" s="688"/>
      <c r="B51" s="38"/>
      <c r="C51" s="38"/>
      <c r="D51" s="38"/>
      <c r="E51" s="38"/>
      <c r="F51" s="38"/>
      <c r="G51" s="38"/>
      <c r="H51" s="38"/>
      <c r="I51" s="38"/>
      <c r="J51" s="38"/>
      <c r="K51" s="38"/>
      <c r="L51" s="38"/>
      <c r="M51" s="38"/>
      <c r="N51" s="3505"/>
      <c r="O51" s="3505"/>
      <c r="P51" s="3505"/>
      <c r="Q51" s="38"/>
      <c r="R51" s="100"/>
      <c r="S51" s="38"/>
      <c r="T51" s="100"/>
      <c r="U51" s="38"/>
    </row>
    <row r="52" spans="1:21">
      <c r="A52" s="688"/>
      <c r="B52" s="38"/>
      <c r="C52" s="38"/>
      <c r="D52" s="38"/>
      <c r="E52" s="38"/>
      <c r="F52" s="38"/>
      <c r="G52" s="38"/>
      <c r="H52" s="38"/>
      <c r="I52" s="38"/>
      <c r="J52" s="38"/>
      <c r="K52" s="38"/>
      <c r="L52" s="38"/>
      <c r="M52" s="38"/>
      <c r="N52" s="3505"/>
      <c r="O52" s="3505"/>
      <c r="P52" s="3505"/>
      <c r="Q52" s="38"/>
      <c r="R52" s="100"/>
      <c r="S52" s="38"/>
      <c r="T52" s="100"/>
      <c r="U52" s="38"/>
    </row>
    <row r="53" spans="1:21">
      <c r="A53" s="918"/>
    </row>
    <row r="54" spans="1:21">
      <c r="A54" s="918"/>
    </row>
    <row r="55" spans="1:21">
      <c r="A55" s="918"/>
    </row>
    <row r="56" spans="1:21">
      <c r="A56" s="918"/>
    </row>
    <row r="57" spans="1:21">
      <c r="A57" s="918"/>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69140625" defaultRowHeight="15.5"/>
  <cols>
    <col min="1" max="1" width="38.07421875" style="886" customWidth="1"/>
    <col min="2" max="2" width="13.69140625" style="886" customWidth="1"/>
    <col min="3" max="3" width="1.69140625" style="886" customWidth="1"/>
    <col min="4" max="4" width="13.69140625" style="886" customWidth="1"/>
    <col min="5" max="5" width="2.4609375" style="886" customWidth="1"/>
    <col min="6" max="6" width="13.69140625" style="886" customWidth="1"/>
    <col min="7" max="7" width="1.69140625" style="886" customWidth="1"/>
    <col min="8" max="8" width="13.69140625" style="886" customWidth="1"/>
    <col min="9" max="9" width="1.69140625" style="886" customWidth="1"/>
    <col min="10" max="10" width="13.69140625" style="886" customWidth="1"/>
    <col min="11" max="11" width="1.69140625" style="886" customWidth="1"/>
    <col min="12" max="12" width="13.69140625" style="886" customWidth="1"/>
    <col min="13" max="13" width="0.53515625" style="886" customWidth="1"/>
    <col min="14" max="14" width="13.69140625" style="886" customWidth="1"/>
    <col min="15" max="15" width="2.53515625" style="886" customWidth="1"/>
    <col min="16" max="16" width="13.69140625" style="886" customWidth="1"/>
    <col min="17" max="17" width="1.53515625" style="886" customWidth="1"/>
    <col min="18" max="18" width="2.07421875" style="990" customWidth="1"/>
    <col min="19" max="19" width="10.53515625" style="886" bestFit="1" customWidth="1"/>
    <col min="20" max="20" width="2.4609375" style="990" customWidth="1"/>
    <col min="21" max="21" width="11.07421875" style="886" bestFit="1" customWidth="1"/>
    <col min="22" max="16384" width="8.69140625" style="886"/>
  </cols>
  <sheetData>
    <row r="1" spans="1:252">
      <c r="A1" s="642" t="s">
        <v>963</v>
      </c>
    </row>
    <row r="2" spans="1:252">
      <c r="A2" s="823"/>
    </row>
    <row r="3" spans="1:252" s="991" customFormat="1" ht="18" customHeight="1">
      <c r="A3" s="102" t="s">
        <v>0</v>
      </c>
      <c r="B3" s="102"/>
      <c r="C3" s="102"/>
      <c r="D3" s="102"/>
      <c r="E3" s="102"/>
      <c r="F3" s="886"/>
      <c r="G3" s="886"/>
      <c r="H3" s="102"/>
      <c r="I3" s="102"/>
      <c r="J3" s="102"/>
      <c r="K3" s="102"/>
      <c r="L3" s="102"/>
      <c r="M3" s="102"/>
      <c r="N3" s="3498"/>
      <c r="P3" s="1006"/>
      <c r="Q3" s="992"/>
      <c r="R3" s="993"/>
      <c r="S3" s="823"/>
      <c r="T3" s="993"/>
      <c r="U3" s="977" t="s">
        <v>78</v>
      </c>
      <c r="V3" s="823"/>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886"/>
      <c r="AZ3" s="886"/>
      <c r="BA3" s="886"/>
      <c r="BB3" s="886"/>
      <c r="BC3" s="886"/>
      <c r="BD3" s="886"/>
      <c r="BE3" s="886"/>
      <c r="BF3" s="886"/>
      <c r="BG3" s="886"/>
      <c r="BH3" s="886"/>
      <c r="BI3" s="886"/>
      <c r="BJ3" s="886"/>
      <c r="BK3" s="886"/>
      <c r="BL3" s="886"/>
      <c r="BM3" s="886"/>
      <c r="BN3" s="886"/>
      <c r="BO3" s="886"/>
      <c r="BP3" s="886"/>
      <c r="BQ3" s="886"/>
      <c r="BR3" s="886"/>
      <c r="BS3" s="886"/>
      <c r="BT3" s="886"/>
      <c r="BU3" s="886"/>
      <c r="BV3" s="886"/>
      <c r="BW3" s="886"/>
      <c r="BX3" s="886"/>
      <c r="BY3" s="886"/>
      <c r="BZ3" s="886"/>
      <c r="CA3" s="886"/>
      <c r="CB3" s="886"/>
      <c r="CC3" s="886"/>
      <c r="CD3" s="886"/>
      <c r="CE3" s="886"/>
      <c r="CF3" s="886"/>
      <c r="CG3" s="886"/>
      <c r="CH3" s="886"/>
      <c r="CI3" s="886"/>
      <c r="CJ3" s="886"/>
      <c r="CK3" s="886"/>
      <c r="CL3" s="886"/>
      <c r="CM3" s="886"/>
      <c r="CN3" s="886"/>
      <c r="CO3" s="886"/>
      <c r="CP3" s="886"/>
      <c r="CQ3" s="886"/>
      <c r="CR3" s="886"/>
      <c r="CS3" s="886"/>
      <c r="CT3" s="886"/>
      <c r="CU3" s="886"/>
      <c r="CV3" s="886"/>
      <c r="CW3" s="886"/>
      <c r="CX3" s="886"/>
      <c r="CY3" s="886"/>
      <c r="CZ3" s="886"/>
      <c r="DA3" s="886"/>
      <c r="DB3" s="886"/>
      <c r="DC3" s="886"/>
      <c r="DD3" s="886"/>
      <c r="DE3" s="886"/>
      <c r="DF3" s="886"/>
      <c r="DG3" s="886"/>
      <c r="DH3" s="886"/>
      <c r="DI3" s="886"/>
      <c r="DJ3" s="886"/>
      <c r="DK3" s="886"/>
      <c r="DL3" s="886"/>
      <c r="DM3" s="886"/>
      <c r="DN3" s="886"/>
      <c r="DO3" s="886"/>
      <c r="DP3" s="886"/>
      <c r="DQ3" s="886"/>
      <c r="DR3" s="886"/>
      <c r="DS3" s="886"/>
      <c r="DT3" s="886"/>
      <c r="DU3" s="886"/>
      <c r="DV3" s="886"/>
      <c r="DW3" s="886"/>
      <c r="DX3" s="886"/>
      <c r="DY3" s="886"/>
      <c r="DZ3" s="886"/>
      <c r="EA3" s="886"/>
      <c r="EB3" s="886"/>
      <c r="EC3" s="886"/>
      <c r="ED3" s="886"/>
      <c r="EE3" s="886"/>
      <c r="EF3" s="886"/>
      <c r="EG3" s="886"/>
      <c r="EH3" s="886"/>
      <c r="EI3" s="886"/>
      <c r="EJ3" s="886"/>
      <c r="EK3" s="886"/>
      <c r="EL3" s="886"/>
      <c r="EM3" s="886"/>
      <c r="EN3" s="886"/>
      <c r="EO3" s="886"/>
      <c r="EP3" s="886"/>
      <c r="EQ3" s="886"/>
      <c r="ER3" s="886"/>
      <c r="ES3" s="886"/>
      <c r="ET3" s="886"/>
      <c r="EU3" s="886"/>
      <c r="EV3" s="886"/>
      <c r="EW3" s="886"/>
      <c r="EX3" s="886"/>
      <c r="EY3" s="886"/>
      <c r="EZ3" s="886"/>
      <c r="FA3" s="886"/>
      <c r="FB3" s="886"/>
      <c r="FC3" s="886"/>
      <c r="FD3" s="886"/>
      <c r="FE3" s="886"/>
      <c r="FF3" s="886"/>
      <c r="FG3" s="886"/>
      <c r="FH3" s="886"/>
      <c r="FI3" s="886"/>
      <c r="FJ3" s="886"/>
      <c r="FK3" s="886"/>
      <c r="FL3" s="886"/>
      <c r="FM3" s="886"/>
      <c r="FN3" s="886"/>
      <c r="FO3" s="886"/>
      <c r="FP3" s="886"/>
      <c r="FQ3" s="886"/>
      <c r="FR3" s="886"/>
      <c r="FS3" s="886"/>
      <c r="FT3" s="886"/>
      <c r="FU3" s="886"/>
      <c r="FV3" s="886"/>
      <c r="FW3" s="886"/>
      <c r="FX3" s="886"/>
      <c r="FY3" s="886"/>
      <c r="FZ3" s="886"/>
      <c r="GA3" s="886"/>
      <c r="GB3" s="886"/>
      <c r="GC3" s="886"/>
      <c r="GD3" s="886"/>
      <c r="GE3" s="886"/>
      <c r="GF3" s="886"/>
      <c r="GG3" s="886"/>
      <c r="GH3" s="886"/>
      <c r="GI3" s="886"/>
      <c r="GJ3" s="886"/>
      <c r="GK3" s="886"/>
      <c r="GL3" s="886"/>
      <c r="GM3" s="886"/>
      <c r="GN3" s="886"/>
      <c r="GO3" s="886"/>
      <c r="GP3" s="886"/>
      <c r="GQ3" s="886"/>
      <c r="GR3" s="886"/>
      <c r="GS3" s="886"/>
      <c r="GT3" s="886"/>
      <c r="GU3" s="886"/>
      <c r="GV3" s="886"/>
      <c r="GW3" s="886"/>
      <c r="GX3" s="886"/>
      <c r="GY3" s="886"/>
      <c r="GZ3" s="886"/>
      <c r="HA3" s="886"/>
      <c r="HB3" s="886"/>
      <c r="HC3" s="886"/>
      <c r="HD3" s="886"/>
      <c r="HE3" s="886"/>
      <c r="HF3" s="886"/>
      <c r="HG3" s="886"/>
      <c r="HH3" s="886"/>
      <c r="HI3" s="886"/>
      <c r="HJ3" s="886"/>
      <c r="HK3" s="886"/>
      <c r="HL3" s="886"/>
      <c r="HM3" s="886"/>
      <c r="HN3" s="886"/>
      <c r="HO3" s="886"/>
      <c r="HP3" s="886"/>
      <c r="HQ3" s="886"/>
      <c r="HR3" s="886"/>
      <c r="HS3" s="886"/>
      <c r="HT3" s="886"/>
      <c r="HU3" s="886"/>
      <c r="HV3" s="886"/>
      <c r="HW3" s="886"/>
      <c r="HX3" s="886"/>
      <c r="HY3" s="886"/>
      <c r="HZ3" s="886"/>
      <c r="IA3" s="886"/>
      <c r="IB3" s="886"/>
      <c r="IC3" s="886"/>
      <c r="ID3" s="886"/>
      <c r="IE3" s="886"/>
      <c r="IF3" s="886"/>
      <c r="IG3" s="886"/>
      <c r="IH3" s="886"/>
      <c r="II3" s="886"/>
      <c r="IJ3" s="886"/>
      <c r="IK3" s="886"/>
      <c r="IL3" s="886"/>
      <c r="IM3" s="886"/>
      <c r="IN3" s="886"/>
      <c r="IO3" s="886"/>
      <c r="IP3" s="886"/>
      <c r="IQ3" s="886"/>
      <c r="IR3" s="886"/>
    </row>
    <row r="4" spans="1:252" s="991" customFormat="1" ht="15.75" customHeight="1">
      <c r="A4" s="102" t="s">
        <v>872</v>
      </c>
      <c r="B4" s="102"/>
      <c r="C4" s="102"/>
      <c r="D4" s="102"/>
      <c r="E4" s="102"/>
      <c r="F4" s="886"/>
      <c r="G4" s="886"/>
      <c r="H4" s="102"/>
      <c r="I4" s="102"/>
      <c r="J4" s="102"/>
      <c r="K4" s="102"/>
      <c r="L4" s="102"/>
      <c r="M4" s="102"/>
      <c r="N4" s="102"/>
      <c r="O4" s="102"/>
      <c r="P4" s="102"/>
      <c r="Q4" s="992"/>
      <c r="R4" s="993"/>
      <c r="S4" s="823"/>
      <c r="T4" s="993"/>
      <c r="U4" s="823"/>
      <c r="V4" s="823"/>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886"/>
      <c r="AZ4" s="886"/>
      <c r="BA4" s="886"/>
      <c r="BB4" s="886"/>
      <c r="BC4" s="886"/>
      <c r="BD4" s="886"/>
      <c r="BE4" s="886"/>
      <c r="BF4" s="886"/>
      <c r="BG4" s="886"/>
      <c r="BH4" s="886"/>
      <c r="BI4" s="886"/>
      <c r="BJ4" s="886"/>
      <c r="BK4" s="886"/>
      <c r="BL4" s="886"/>
      <c r="BM4" s="886"/>
      <c r="BN4" s="886"/>
      <c r="BO4" s="886"/>
      <c r="BP4" s="886"/>
      <c r="BQ4" s="886"/>
      <c r="BR4" s="886"/>
      <c r="BS4" s="886"/>
      <c r="BT4" s="886"/>
      <c r="BU4" s="886"/>
      <c r="BV4" s="886"/>
      <c r="BW4" s="886"/>
      <c r="BX4" s="886"/>
      <c r="BY4" s="886"/>
      <c r="BZ4" s="886"/>
      <c r="CA4" s="886"/>
      <c r="CB4" s="886"/>
      <c r="CC4" s="886"/>
      <c r="CD4" s="886"/>
      <c r="CE4" s="886"/>
      <c r="CF4" s="886"/>
      <c r="CG4" s="886"/>
      <c r="CH4" s="886"/>
      <c r="CI4" s="886"/>
      <c r="CJ4" s="886"/>
      <c r="CK4" s="886"/>
      <c r="CL4" s="886"/>
      <c r="CM4" s="886"/>
      <c r="CN4" s="886"/>
      <c r="CO4" s="886"/>
      <c r="CP4" s="886"/>
      <c r="CQ4" s="886"/>
      <c r="CR4" s="886"/>
      <c r="CS4" s="886"/>
      <c r="CT4" s="886"/>
      <c r="CU4" s="886"/>
      <c r="CV4" s="886"/>
      <c r="CW4" s="886"/>
      <c r="CX4" s="886"/>
      <c r="CY4" s="886"/>
      <c r="CZ4" s="886"/>
      <c r="DA4" s="886"/>
      <c r="DB4" s="886"/>
      <c r="DC4" s="886"/>
      <c r="DD4" s="886"/>
      <c r="DE4" s="886"/>
      <c r="DF4" s="886"/>
      <c r="DG4" s="886"/>
      <c r="DH4" s="886"/>
      <c r="DI4" s="886"/>
      <c r="DJ4" s="886"/>
      <c r="DK4" s="886"/>
      <c r="DL4" s="886"/>
      <c r="DM4" s="886"/>
      <c r="DN4" s="886"/>
      <c r="DO4" s="886"/>
      <c r="DP4" s="886"/>
      <c r="DQ4" s="886"/>
      <c r="DR4" s="886"/>
      <c r="DS4" s="886"/>
      <c r="DT4" s="886"/>
      <c r="DU4" s="886"/>
      <c r="DV4" s="886"/>
      <c r="DW4" s="886"/>
      <c r="DX4" s="886"/>
      <c r="DY4" s="886"/>
      <c r="DZ4" s="886"/>
      <c r="EA4" s="886"/>
      <c r="EB4" s="886"/>
      <c r="EC4" s="886"/>
      <c r="ED4" s="886"/>
      <c r="EE4" s="886"/>
      <c r="EF4" s="886"/>
      <c r="EG4" s="886"/>
      <c r="EH4" s="886"/>
      <c r="EI4" s="886"/>
      <c r="EJ4" s="886"/>
      <c r="EK4" s="886"/>
      <c r="EL4" s="886"/>
      <c r="EM4" s="886"/>
      <c r="EN4" s="886"/>
      <c r="EO4" s="886"/>
      <c r="EP4" s="886"/>
      <c r="EQ4" s="886"/>
      <c r="ER4" s="886"/>
      <c r="ES4" s="886"/>
      <c r="ET4" s="886"/>
      <c r="EU4" s="886"/>
      <c r="EV4" s="886"/>
      <c r="EW4" s="886"/>
      <c r="EX4" s="886"/>
      <c r="EY4" s="886"/>
      <c r="EZ4" s="886"/>
      <c r="FA4" s="886"/>
      <c r="FB4" s="886"/>
      <c r="FC4" s="886"/>
      <c r="FD4" s="886"/>
      <c r="FE4" s="886"/>
      <c r="FF4" s="886"/>
      <c r="FG4" s="886"/>
      <c r="FH4" s="886"/>
      <c r="FI4" s="886"/>
      <c r="FJ4" s="886"/>
      <c r="FK4" s="886"/>
      <c r="FL4" s="886"/>
      <c r="FM4" s="886"/>
      <c r="FN4" s="886"/>
      <c r="FO4" s="886"/>
      <c r="FP4" s="886"/>
      <c r="FQ4" s="886"/>
      <c r="FR4" s="886"/>
      <c r="FS4" s="886"/>
      <c r="FT4" s="886"/>
      <c r="FU4" s="886"/>
      <c r="FV4" s="886"/>
      <c r="FW4" s="886"/>
      <c r="FX4" s="886"/>
      <c r="FY4" s="886"/>
      <c r="FZ4" s="886"/>
      <c r="GA4" s="886"/>
      <c r="GB4" s="886"/>
      <c r="GC4" s="886"/>
      <c r="GD4" s="886"/>
      <c r="GE4" s="886"/>
      <c r="GF4" s="886"/>
      <c r="GG4" s="886"/>
      <c r="GH4" s="886"/>
      <c r="GI4" s="886"/>
      <c r="GJ4" s="886"/>
      <c r="GK4" s="886"/>
      <c r="GL4" s="886"/>
      <c r="GM4" s="886"/>
      <c r="GN4" s="886"/>
      <c r="GO4" s="886"/>
      <c r="GP4" s="886"/>
      <c r="GQ4" s="886"/>
      <c r="GR4" s="886"/>
      <c r="GS4" s="886"/>
      <c r="GT4" s="886"/>
      <c r="GU4" s="886"/>
      <c r="GV4" s="886"/>
      <c r="GW4" s="886"/>
      <c r="GX4" s="886"/>
      <c r="GY4" s="886"/>
      <c r="GZ4" s="886"/>
      <c r="HA4" s="886"/>
      <c r="HB4" s="886"/>
      <c r="HC4" s="886"/>
      <c r="HD4" s="886"/>
      <c r="HE4" s="886"/>
      <c r="HF4" s="886"/>
      <c r="HG4" s="886"/>
      <c r="HH4" s="886"/>
      <c r="HI4" s="886"/>
      <c r="HJ4" s="886"/>
      <c r="HK4" s="886"/>
      <c r="HL4" s="886"/>
      <c r="HM4" s="886"/>
      <c r="HN4" s="886"/>
      <c r="HO4" s="886"/>
      <c r="HP4" s="886"/>
      <c r="HQ4" s="886"/>
      <c r="HR4" s="886"/>
      <c r="HS4" s="886"/>
      <c r="HT4" s="886"/>
      <c r="HU4" s="886"/>
      <c r="HV4" s="886"/>
      <c r="HW4" s="886"/>
      <c r="HX4" s="886"/>
      <c r="HY4" s="886"/>
      <c r="HZ4" s="886"/>
      <c r="IA4" s="886"/>
      <c r="IB4" s="886"/>
      <c r="IC4" s="886"/>
      <c r="ID4" s="886"/>
      <c r="IE4" s="886"/>
      <c r="IF4" s="886"/>
      <c r="IG4" s="886"/>
      <c r="IH4" s="886"/>
      <c r="II4" s="886"/>
      <c r="IJ4" s="886"/>
      <c r="IK4" s="886"/>
      <c r="IL4" s="886"/>
      <c r="IM4" s="886"/>
      <c r="IN4" s="886"/>
      <c r="IO4" s="886"/>
      <c r="IP4" s="886"/>
      <c r="IQ4" s="886"/>
      <c r="IR4" s="886"/>
    </row>
    <row r="5" spans="1:252" s="991" customFormat="1" ht="15.75" customHeight="1">
      <c r="A5" s="258" t="s">
        <v>873</v>
      </c>
      <c r="B5" s="102"/>
      <c r="C5" s="102"/>
      <c r="D5" s="102"/>
      <c r="E5" s="102"/>
      <c r="F5" s="886"/>
      <c r="G5" s="886"/>
      <c r="H5" s="102"/>
      <c r="I5" s="102"/>
      <c r="J5" s="102"/>
      <c r="K5" s="102"/>
      <c r="L5" s="102"/>
      <c r="M5" s="102"/>
      <c r="N5" s="102"/>
      <c r="O5" s="102"/>
      <c r="P5" s="102" t="s">
        <v>15</v>
      </c>
      <c r="Q5" s="992"/>
      <c r="R5" s="993"/>
      <c r="S5" s="823"/>
      <c r="T5" s="993"/>
      <c r="U5" s="823"/>
      <c r="V5" s="823"/>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Q5" s="886"/>
      <c r="BR5" s="886"/>
      <c r="BS5" s="886"/>
      <c r="BT5" s="886"/>
      <c r="BU5" s="886"/>
      <c r="BV5" s="886"/>
      <c r="BW5" s="886"/>
      <c r="BX5" s="886"/>
      <c r="BY5" s="886"/>
      <c r="BZ5" s="886"/>
      <c r="CA5" s="886"/>
      <c r="CB5" s="886"/>
      <c r="CC5" s="886"/>
      <c r="CD5" s="886"/>
      <c r="CE5" s="886"/>
      <c r="CF5" s="886"/>
      <c r="CG5" s="886"/>
      <c r="CH5" s="886"/>
      <c r="CI5" s="886"/>
      <c r="CJ5" s="886"/>
      <c r="CK5" s="886"/>
      <c r="CL5" s="886"/>
      <c r="CM5" s="886"/>
      <c r="CN5" s="886"/>
      <c r="CO5" s="886"/>
      <c r="CP5" s="886"/>
      <c r="CQ5" s="886"/>
      <c r="CR5" s="886"/>
      <c r="CS5" s="886"/>
      <c r="CT5" s="886"/>
      <c r="CU5" s="886"/>
      <c r="CV5" s="886"/>
      <c r="CW5" s="886"/>
      <c r="CX5" s="886"/>
      <c r="CY5" s="886"/>
      <c r="CZ5" s="886"/>
      <c r="DA5" s="886"/>
      <c r="DB5" s="886"/>
      <c r="DC5" s="886"/>
      <c r="DD5" s="886"/>
      <c r="DE5" s="886"/>
      <c r="DF5" s="886"/>
      <c r="DG5" s="886"/>
      <c r="DH5" s="886"/>
      <c r="DI5" s="886"/>
      <c r="DJ5" s="886"/>
      <c r="DK5" s="886"/>
      <c r="DL5" s="886"/>
      <c r="DM5" s="886"/>
      <c r="DN5" s="886"/>
      <c r="DO5" s="886"/>
      <c r="DP5" s="886"/>
      <c r="DQ5" s="886"/>
      <c r="DR5" s="886"/>
      <c r="DS5" s="886"/>
      <c r="DT5" s="886"/>
      <c r="DU5" s="886"/>
      <c r="DV5" s="886"/>
      <c r="DW5" s="886"/>
      <c r="DX5" s="886"/>
      <c r="DY5" s="886"/>
      <c r="DZ5" s="886"/>
      <c r="EA5" s="886"/>
      <c r="EB5" s="886"/>
      <c r="EC5" s="886"/>
      <c r="ED5" s="886"/>
      <c r="EE5" s="886"/>
      <c r="EF5" s="886"/>
      <c r="EG5" s="886"/>
      <c r="EH5" s="886"/>
      <c r="EI5" s="886"/>
      <c r="EJ5" s="886"/>
      <c r="EK5" s="886"/>
      <c r="EL5" s="886"/>
      <c r="EM5" s="886"/>
      <c r="EN5" s="886"/>
      <c r="EO5" s="886"/>
      <c r="EP5" s="886"/>
      <c r="EQ5" s="886"/>
      <c r="ER5" s="886"/>
      <c r="ES5" s="886"/>
      <c r="ET5" s="886"/>
      <c r="EU5" s="886"/>
      <c r="EV5" s="886"/>
      <c r="EW5" s="886"/>
      <c r="EX5" s="886"/>
      <c r="EY5" s="886"/>
      <c r="EZ5" s="886"/>
      <c r="FA5" s="886"/>
      <c r="FB5" s="886"/>
      <c r="FC5" s="886"/>
      <c r="FD5" s="886"/>
      <c r="FE5" s="886"/>
      <c r="FF5" s="886"/>
      <c r="FG5" s="886"/>
      <c r="FH5" s="886"/>
      <c r="FI5" s="886"/>
      <c r="FJ5" s="886"/>
      <c r="FK5" s="886"/>
      <c r="FL5" s="886"/>
      <c r="FM5" s="886"/>
      <c r="FN5" s="886"/>
      <c r="FO5" s="886"/>
      <c r="FP5" s="886"/>
      <c r="FQ5" s="886"/>
      <c r="FR5" s="886"/>
      <c r="FS5" s="886"/>
      <c r="FT5" s="886"/>
      <c r="FU5" s="886"/>
      <c r="FV5" s="886"/>
      <c r="FW5" s="886"/>
      <c r="FX5" s="886"/>
      <c r="FY5" s="886"/>
      <c r="FZ5" s="886"/>
      <c r="GA5" s="886"/>
      <c r="GB5" s="886"/>
      <c r="GC5" s="886"/>
      <c r="GD5" s="886"/>
      <c r="GE5" s="886"/>
      <c r="GF5" s="886"/>
      <c r="GG5" s="886"/>
      <c r="GH5" s="886"/>
      <c r="GI5" s="886"/>
      <c r="GJ5" s="886"/>
      <c r="GK5" s="886"/>
      <c r="GL5" s="886"/>
      <c r="GM5" s="886"/>
      <c r="GN5" s="886"/>
      <c r="GO5" s="886"/>
      <c r="GP5" s="886"/>
      <c r="GQ5" s="886"/>
      <c r="GR5" s="886"/>
      <c r="GS5" s="886"/>
      <c r="GT5" s="886"/>
      <c r="GU5" s="886"/>
      <c r="GV5" s="886"/>
      <c r="GW5" s="886"/>
      <c r="GX5" s="886"/>
      <c r="GY5" s="886"/>
      <c r="GZ5" s="886"/>
      <c r="HA5" s="886"/>
      <c r="HB5" s="886"/>
      <c r="HC5" s="886"/>
      <c r="HD5" s="886"/>
      <c r="HE5" s="886"/>
      <c r="HF5" s="886"/>
      <c r="HG5" s="886"/>
      <c r="HH5" s="886"/>
      <c r="HI5" s="886"/>
      <c r="HJ5" s="886"/>
      <c r="HK5" s="886"/>
      <c r="HL5" s="886"/>
      <c r="HM5" s="886"/>
      <c r="HN5" s="886"/>
      <c r="HO5" s="886"/>
      <c r="HP5" s="886"/>
      <c r="HQ5" s="886"/>
      <c r="HR5" s="886"/>
      <c r="HS5" s="886"/>
      <c r="HT5" s="886"/>
      <c r="HU5" s="886"/>
      <c r="HV5" s="886"/>
      <c r="HW5" s="886"/>
      <c r="HX5" s="886"/>
      <c r="HY5" s="886"/>
      <c r="HZ5" s="886"/>
      <c r="IA5" s="886"/>
      <c r="IB5" s="886"/>
      <c r="IC5" s="886"/>
      <c r="ID5" s="886"/>
      <c r="IE5" s="886"/>
      <c r="IF5" s="886"/>
      <c r="IG5" s="886"/>
      <c r="IH5" s="886"/>
      <c r="II5" s="886"/>
      <c r="IJ5" s="886"/>
      <c r="IK5" s="886"/>
      <c r="IL5" s="886"/>
      <c r="IM5" s="886"/>
      <c r="IN5" s="886"/>
      <c r="IO5" s="886"/>
      <c r="IP5" s="886"/>
      <c r="IQ5" s="886"/>
      <c r="IR5" s="886"/>
    </row>
    <row r="6" spans="1:252" s="991" customFormat="1" ht="15.75" customHeight="1">
      <c r="A6" s="102" t="s">
        <v>1365</v>
      </c>
      <c r="B6" s="102"/>
      <c r="C6" s="102"/>
      <c r="D6" s="102"/>
      <c r="E6" s="102"/>
      <c r="F6" s="886"/>
      <c r="G6" s="886"/>
      <c r="H6" s="102"/>
      <c r="I6" s="102"/>
      <c r="J6" s="102"/>
      <c r="K6" s="102"/>
      <c r="L6" s="102"/>
      <c r="M6" s="102"/>
      <c r="N6" s="102"/>
      <c r="O6" s="102"/>
      <c r="P6" s="102"/>
      <c r="Q6" s="992"/>
      <c r="R6" s="993"/>
      <c r="S6" s="823"/>
      <c r="T6" s="993"/>
      <c r="U6" s="823"/>
      <c r="V6" s="823"/>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6"/>
      <c r="AU6" s="886"/>
      <c r="AV6" s="886"/>
      <c r="AW6" s="886"/>
      <c r="AX6" s="886"/>
      <c r="AY6" s="886"/>
      <c r="AZ6" s="886"/>
      <c r="BA6" s="886"/>
      <c r="BB6" s="886"/>
      <c r="BC6" s="886"/>
      <c r="BD6" s="886"/>
      <c r="BE6" s="886"/>
      <c r="BF6" s="886"/>
      <c r="BG6" s="886"/>
      <c r="BH6" s="886"/>
      <c r="BI6" s="886"/>
      <c r="BJ6" s="886"/>
      <c r="BK6" s="886"/>
      <c r="BL6" s="886"/>
      <c r="BM6" s="886"/>
      <c r="BN6" s="886"/>
      <c r="BO6" s="886"/>
      <c r="BP6" s="886"/>
      <c r="BQ6" s="886"/>
      <c r="BR6" s="886"/>
      <c r="BS6" s="886"/>
      <c r="BT6" s="886"/>
      <c r="BU6" s="886"/>
      <c r="BV6" s="886"/>
      <c r="BW6" s="886"/>
      <c r="BX6" s="886"/>
      <c r="BY6" s="886"/>
      <c r="BZ6" s="886"/>
      <c r="CA6" s="886"/>
      <c r="CB6" s="886"/>
      <c r="CC6" s="886"/>
      <c r="CD6" s="886"/>
      <c r="CE6" s="886"/>
      <c r="CF6" s="886"/>
      <c r="CG6" s="886"/>
      <c r="CH6" s="886"/>
      <c r="CI6" s="886"/>
      <c r="CJ6" s="886"/>
      <c r="CK6" s="886"/>
      <c r="CL6" s="886"/>
      <c r="CM6" s="886"/>
      <c r="CN6" s="886"/>
      <c r="CO6" s="886"/>
      <c r="CP6" s="886"/>
      <c r="CQ6" s="886"/>
      <c r="CR6" s="886"/>
      <c r="CS6" s="886"/>
      <c r="CT6" s="886"/>
      <c r="CU6" s="886"/>
      <c r="CV6" s="886"/>
      <c r="CW6" s="886"/>
      <c r="CX6" s="886"/>
      <c r="CY6" s="886"/>
      <c r="CZ6" s="886"/>
      <c r="DA6" s="886"/>
      <c r="DB6" s="886"/>
      <c r="DC6" s="886"/>
      <c r="DD6" s="886"/>
      <c r="DE6" s="886"/>
      <c r="DF6" s="886"/>
      <c r="DG6" s="886"/>
      <c r="DH6" s="886"/>
      <c r="DI6" s="886"/>
      <c r="DJ6" s="886"/>
      <c r="DK6" s="886"/>
      <c r="DL6" s="886"/>
      <c r="DM6" s="886"/>
      <c r="DN6" s="886"/>
      <c r="DO6" s="886"/>
      <c r="DP6" s="886"/>
      <c r="DQ6" s="886"/>
      <c r="DR6" s="886"/>
      <c r="DS6" s="886"/>
      <c r="DT6" s="886"/>
      <c r="DU6" s="886"/>
      <c r="DV6" s="886"/>
      <c r="DW6" s="886"/>
      <c r="DX6" s="886"/>
      <c r="DY6" s="886"/>
      <c r="DZ6" s="886"/>
      <c r="EA6" s="886"/>
      <c r="EB6" s="886"/>
      <c r="EC6" s="886"/>
      <c r="ED6" s="886"/>
      <c r="EE6" s="886"/>
      <c r="EF6" s="886"/>
      <c r="EG6" s="886"/>
      <c r="EH6" s="886"/>
      <c r="EI6" s="886"/>
      <c r="EJ6" s="886"/>
      <c r="EK6" s="886"/>
      <c r="EL6" s="886"/>
      <c r="EM6" s="886"/>
      <c r="EN6" s="886"/>
      <c r="EO6" s="886"/>
      <c r="EP6" s="886"/>
      <c r="EQ6" s="886"/>
      <c r="ER6" s="886"/>
      <c r="ES6" s="886"/>
      <c r="ET6" s="886"/>
      <c r="EU6" s="886"/>
      <c r="EV6" s="886"/>
      <c r="EW6" s="886"/>
      <c r="EX6" s="886"/>
      <c r="EY6" s="886"/>
      <c r="EZ6" s="886"/>
      <c r="FA6" s="886"/>
      <c r="FB6" s="886"/>
      <c r="FC6" s="886"/>
      <c r="FD6" s="886"/>
      <c r="FE6" s="886"/>
      <c r="FF6" s="886"/>
      <c r="FG6" s="886"/>
      <c r="FH6" s="886"/>
      <c r="FI6" s="886"/>
      <c r="FJ6" s="886"/>
      <c r="FK6" s="886"/>
      <c r="FL6" s="886"/>
      <c r="FM6" s="886"/>
      <c r="FN6" s="886"/>
      <c r="FO6" s="886"/>
      <c r="FP6" s="886"/>
      <c r="FQ6" s="886"/>
      <c r="FR6" s="886"/>
      <c r="FS6" s="886"/>
      <c r="FT6" s="886"/>
      <c r="FU6" s="886"/>
      <c r="FV6" s="886"/>
      <c r="FW6" s="886"/>
      <c r="FX6" s="886"/>
      <c r="FY6" s="886"/>
      <c r="FZ6" s="886"/>
      <c r="GA6" s="886"/>
      <c r="GB6" s="886"/>
      <c r="GC6" s="886"/>
      <c r="GD6" s="886"/>
      <c r="GE6" s="886"/>
      <c r="GF6" s="886"/>
      <c r="GG6" s="886"/>
      <c r="GH6" s="886"/>
      <c r="GI6" s="886"/>
      <c r="GJ6" s="886"/>
      <c r="GK6" s="886"/>
      <c r="GL6" s="886"/>
      <c r="GM6" s="886"/>
      <c r="GN6" s="886"/>
      <c r="GO6" s="886"/>
      <c r="GP6" s="886"/>
      <c r="GQ6" s="886"/>
      <c r="GR6" s="886"/>
      <c r="GS6" s="886"/>
      <c r="GT6" s="886"/>
      <c r="GU6" s="886"/>
      <c r="GV6" s="886"/>
      <c r="GW6" s="886"/>
      <c r="GX6" s="886"/>
      <c r="GY6" s="886"/>
      <c r="GZ6" s="886"/>
      <c r="HA6" s="886"/>
      <c r="HB6" s="886"/>
      <c r="HC6" s="886"/>
      <c r="HD6" s="886"/>
      <c r="HE6" s="886"/>
      <c r="HF6" s="886"/>
      <c r="HG6" s="886"/>
      <c r="HH6" s="886"/>
      <c r="HI6" s="886"/>
      <c r="HJ6" s="886"/>
      <c r="HK6" s="886"/>
      <c r="HL6" s="886"/>
      <c r="HM6" s="886"/>
      <c r="HN6" s="886"/>
      <c r="HO6" s="886"/>
      <c r="HP6" s="886"/>
      <c r="HQ6" s="886"/>
      <c r="HR6" s="886"/>
      <c r="HS6" s="886"/>
      <c r="HT6" s="886"/>
      <c r="HU6" s="886"/>
      <c r="HV6" s="886"/>
      <c r="HW6" s="886"/>
      <c r="HX6" s="886"/>
      <c r="HY6" s="886"/>
      <c r="HZ6" s="886"/>
      <c r="IA6" s="886"/>
      <c r="IB6" s="886"/>
      <c r="IC6" s="886"/>
      <c r="ID6" s="886"/>
      <c r="IE6" s="886"/>
      <c r="IF6" s="886"/>
      <c r="IG6" s="886"/>
      <c r="IH6" s="886"/>
      <c r="II6" s="886"/>
      <c r="IJ6" s="886"/>
      <c r="IK6" s="886"/>
      <c r="IL6" s="886"/>
      <c r="IM6" s="886"/>
      <c r="IN6" s="886"/>
      <c r="IO6" s="886"/>
      <c r="IP6" s="886"/>
      <c r="IQ6" s="886"/>
      <c r="IR6" s="886"/>
    </row>
    <row r="7" spans="1:252" s="991" customFormat="1">
      <c r="A7" s="105"/>
      <c r="B7" s="102"/>
      <c r="C7" s="102"/>
      <c r="D7" s="102"/>
      <c r="E7" s="102"/>
      <c r="F7" s="886"/>
      <c r="G7" s="886"/>
      <c r="H7" s="102"/>
      <c r="I7" s="102"/>
      <c r="J7" s="102"/>
      <c r="K7" s="102"/>
      <c r="L7" s="102"/>
      <c r="M7" s="102"/>
      <c r="N7" s="102"/>
      <c r="O7" s="102"/>
      <c r="P7" s="102"/>
      <c r="Q7" s="992"/>
      <c r="R7" s="993"/>
      <c r="S7" s="823"/>
      <c r="T7" s="993"/>
      <c r="U7" s="823"/>
      <c r="V7" s="823"/>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H7" s="886"/>
      <c r="CI7" s="886"/>
      <c r="CJ7" s="886"/>
      <c r="CK7" s="886"/>
      <c r="CL7" s="886"/>
      <c r="CM7" s="886"/>
      <c r="CN7" s="886"/>
      <c r="CO7" s="886"/>
      <c r="CP7" s="886"/>
      <c r="CQ7" s="886"/>
      <c r="CR7" s="886"/>
      <c r="CS7" s="886"/>
      <c r="CT7" s="886"/>
      <c r="CU7" s="886"/>
      <c r="CV7" s="886"/>
      <c r="CW7" s="886"/>
      <c r="CX7" s="886"/>
      <c r="CY7" s="886"/>
      <c r="CZ7" s="886"/>
      <c r="DA7" s="886"/>
      <c r="DB7" s="886"/>
      <c r="DC7" s="886"/>
      <c r="DD7" s="886"/>
      <c r="DE7" s="886"/>
      <c r="DF7" s="886"/>
      <c r="DG7" s="886"/>
      <c r="DH7" s="886"/>
      <c r="DI7" s="886"/>
      <c r="DJ7" s="886"/>
      <c r="DK7" s="886"/>
      <c r="DL7" s="886"/>
      <c r="DM7" s="886"/>
      <c r="DN7" s="886"/>
      <c r="DO7" s="886"/>
      <c r="DP7" s="886"/>
      <c r="DQ7" s="886"/>
      <c r="DR7" s="886"/>
      <c r="DS7" s="886"/>
      <c r="DT7" s="886"/>
      <c r="DU7" s="886"/>
      <c r="DV7" s="886"/>
      <c r="DW7" s="886"/>
      <c r="DX7" s="886"/>
      <c r="DY7" s="886"/>
      <c r="DZ7" s="886"/>
      <c r="EA7" s="886"/>
      <c r="EB7" s="886"/>
      <c r="EC7" s="886"/>
      <c r="ED7" s="886"/>
      <c r="EE7" s="886"/>
      <c r="EF7" s="886"/>
      <c r="EG7" s="886"/>
      <c r="EH7" s="886"/>
      <c r="EI7" s="886"/>
      <c r="EJ7" s="886"/>
      <c r="EK7" s="886"/>
      <c r="EL7" s="886"/>
      <c r="EM7" s="886"/>
      <c r="EN7" s="886"/>
      <c r="EO7" s="886"/>
      <c r="EP7" s="886"/>
      <c r="EQ7" s="886"/>
      <c r="ER7" s="886"/>
      <c r="ES7" s="886"/>
      <c r="ET7" s="886"/>
      <c r="EU7" s="886"/>
      <c r="EV7" s="886"/>
      <c r="EW7" s="886"/>
      <c r="EX7" s="886"/>
      <c r="EY7" s="886"/>
      <c r="EZ7" s="886"/>
      <c r="FA7" s="886"/>
      <c r="FB7" s="886"/>
      <c r="FC7" s="886"/>
      <c r="FD7" s="886"/>
      <c r="FE7" s="886"/>
      <c r="FF7" s="886"/>
      <c r="FG7" s="886"/>
      <c r="FH7" s="886"/>
      <c r="FI7" s="886"/>
      <c r="FJ7" s="886"/>
      <c r="FK7" s="886"/>
      <c r="FL7" s="886"/>
      <c r="FM7" s="886"/>
      <c r="FN7" s="886"/>
      <c r="FO7" s="886"/>
      <c r="FP7" s="886"/>
      <c r="FQ7" s="886"/>
      <c r="FR7" s="886"/>
      <c r="FS7" s="886"/>
      <c r="FT7" s="886"/>
      <c r="FU7" s="886"/>
      <c r="FV7" s="886"/>
      <c r="FW7" s="886"/>
      <c r="FX7" s="886"/>
      <c r="FY7" s="886"/>
      <c r="FZ7" s="886"/>
      <c r="GA7" s="886"/>
      <c r="GB7" s="886"/>
      <c r="GC7" s="886"/>
      <c r="GD7" s="886"/>
      <c r="GE7" s="886"/>
      <c r="GF7" s="886"/>
      <c r="GG7" s="886"/>
      <c r="GH7" s="886"/>
      <c r="GI7" s="886"/>
      <c r="GJ7" s="886"/>
      <c r="GK7" s="886"/>
      <c r="GL7" s="886"/>
      <c r="GM7" s="886"/>
      <c r="GN7" s="886"/>
      <c r="GO7" s="886"/>
      <c r="GP7" s="886"/>
      <c r="GQ7" s="886"/>
      <c r="GR7" s="886"/>
      <c r="GS7" s="886"/>
      <c r="GT7" s="886"/>
      <c r="GU7" s="886"/>
      <c r="GV7" s="886"/>
      <c r="GW7" s="886"/>
      <c r="GX7" s="886"/>
      <c r="GY7" s="886"/>
      <c r="GZ7" s="886"/>
      <c r="HA7" s="886"/>
      <c r="HB7" s="886"/>
      <c r="HC7" s="886"/>
      <c r="HD7" s="886"/>
      <c r="HE7" s="886"/>
      <c r="HF7" s="886"/>
      <c r="HG7" s="886"/>
      <c r="HH7" s="886"/>
      <c r="HI7" s="886"/>
      <c r="HJ7" s="886"/>
      <c r="HK7" s="886"/>
      <c r="HL7" s="886"/>
      <c r="HM7" s="886"/>
      <c r="HN7" s="886"/>
      <c r="HO7" s="886"/>
      <c r="HP7" s="886"/>
      <c r="HQ7" s="886"/>
      <c r="HR7" s="886"/>
      <c r="HS7" s="886"/>
      <c r="HT7" s="886"/>
      <c r="HU7" s="886"/>
      <c r="HV7" s="886"/>
      <c r="HW7" s="886"/>
      <c r="HX7" s="886"/>
      <c r="HY7" s="886"/>
      <c r="HZ7" s="886"/>
      <c r="IA7" s="886"/>
      <c r="IB7" s="886"/>
      <c r="IC7" s="886"/>
      <c r="ID7" s="886"/>
      <c r="IE7" s="886"/>
      <c r="IF7" s="886"/>
      <c r="IG7" s="886"/>
      <c r="IH7" s="886"/>
      <c r="II7" s="886"/>
      <c r="IJ7" s="886"/>
      <c r="IK7" s="886"/>
      <c r="IL7" s="886"/>
      <c r="IM7" s="886"/>
      <c r="IN7" s="886"/>
      <c r="IO7" s="886"/>
      <c r="IP7" s="886"/>
      <c r="IQ7" s="886"/>
      <c r="IR7" s="886"/>
    </row>
    <row r="8" spans="1:252" s="991" customFormat="1">
      <c r="B8" s="102"/>
      <c r="C8" s="102"/>
      <c r="D8" s="102"/>
      <c r="E8" s="102"/>
      <c r="F8" s="886"/>
      <c r="G8" s="886"/>
      <c r="H8" s="102"/>
      <c r="I8" s="102"/>
      <c r="J8" s="102"/>
      <c r="K8" s="102"/>
      <c r="L8" s="102"/>
      <c r="M8" s="102"/>
      <c r="N8" s="102"/>
      <c r="O8" s="102"/>
      <c r="P8" s="102"/>
      <c r="Q8" s="992"/>
      <c r="R8" s="993"/>
      <c r="S8" s="823"/>
      <c r="T8" s="993"/>
      <c r="U8" s="823"/>
      <c r="V8" s="823"/>
      <c r="W8" s="886"/>
      <c r="X8" s="886"/>
      <c r="Y8" s="886"/>
      <c r="Z8" s="886"/>
      <c r="AA8" s="886"/>
      <c r="AB8" s="886"/>
      <c r="AC8" s="886"/>
      <c r="AD8" s="886"/>
      <c r="AE8" s="886"/>
      <c r="AF8" s="886"/>
      <c r="AG8" s="886"/>
      <c r="AH8" s="886"/>
      <c r="AI8" s="886"/>
      <c r="AJ8" s="886"/>
      <c r="AK8" s="886"/>
      <c r="AL8" s="886"/>
      <c r="AM8" s="886"/>
      <c r="AN8" s="886"/>
      <c r="AO8" s="886"/>
      <c r="AP8" s="886"/>
      <c r="AQ8" s="886"/>
      <c r="AR8" s="886"/>
      <c r="AS8" s="886"/>
      <c r="AT8" s="886"/>
      <c r="AU8" s="886"/>
      <c r="AV8" s="886"/>
      <c r="AW8" s="886"/>
      <c r="AX8" s="886"/>
      <c r="AY8" s="886"/>
      <c r="AZ8" s="886"/>
      <c r="BA8" s="886"/>
      <c r="BB8" s="886"/>
      <c r="BC8" s="886"/>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c r="CC8" s="886"/>
      <c r="CD8" s="886"/>
      <c r="CE8" s="886"/>
      <c r="CF8" s="886"/>
      <c r="CG8" s="886"/>
      <c r="CH8" s="886"/>
      <c r="CI8" s="886"/>
      <c r="CJ8" s="886"/>
      <c r="CK8" s="886"/>
      <c r="CL8" s="886"/>
      <c r="CM8" s="886"/>
      <c r="CN8" s="886"/>
      <c r="CO8" s="886"/>
      <c r="CP8" s="886"/>
      <c r="CQ8" s="886"/>
      <c r="CR8" s="886"/>
      <c r="CS8" s="886"/>
      <c r="CT8" s="886"/>
      <c r="CU8" s="886"/>
      <c r="CV8" s="886"/>
      <c r="CW8" s="886"/>
      <c r="CX8" s="886"/>
      <c r="CY8" s="886"/>
      <c r="CZ8" s="886"/>
      <c r="DA8" s="886"/>
      <c r="DB8" s="886"/>
      <c r="DC8" s="886"/>
      <c r="DD8" s="886"/>
      <c r="DE8" s="886"/>
      <c r="DF8" s="886"/>
      <c r="DG8" s="886"/>
      <c r="DH8" s="886"/>
      <c r="DI8" s="886"/>
      <c r="DJ8" s="886"/>
      <c r="DK8" s="886"/>
      <c r="DL8" s="886"/>
      <c r="DM8" s="886"/>
      <c r="DN8" s="886"/>
      <c r="DO8" s="886"/>
      <c r="DP8" s="886"/>
      <c r="DQ8" s="886"/>
      <c r="DR8" s="886"/>
      <c r="DS8" s="886"/>
      <c r="DT8" s="886"/>
      <c r="DU8" s="886"/>
      <c r="DV8" s="886"/>
      <c r="DW8" s="886"/>
      <c r="DX8" s="886"/>
      <c r="DY8" s="886"/>
      <c r="DZ8" s="886"/>
      <c r="EA8" s="886"/>
      <c r="EB8" s="886"/>
      <c r="EC8" s="886"/>
      <c r="ED8" s="886"/>
      <c r="EE8" s="886"/>
      <c r="EF8" s="886"/>
      <c r="EG8" s="886"/>
      <c r="EH8" s="886"/>
      <c r="EI8" s="886"/>
      <c r="EJ8" s="886"/>
      <c r="EK8" s="886"/>
      <c r="EL8" s="886"/>
      <c r="EM8" s="886"/>
      <c r="EN8" s="886"/>
      <c r="EO8" s="886"/>
      <c r="EP8" s="886"/>
      <c r="EQ8" s="886"/>
      <c r="ER8" s="886"/>
      <c r="ES8" s="886"/>
      <c r="ET8" s="886"/>
      <c r="EU8" s="886"/>
      <c r="EV8" s="886"/>
      <c r="EW8" s="886"/>
      <c r="EX8" s="886"/>
      <c r="EY8" s="886"/>
      <c r="EZ8" s="886"/>
      <c r="FA8" s="886"/>
      <c r="FB8" s="886"/>
      <c r="FC8" s="886"/>
      <c r="FD8" s="886"/>
      <c r="FE8" s="886"/>
      <c r="FF8" s="886"/>
      <c r="FG8" s="886"/>
      <c r="FH8" s="886"/>
      <c r="FI8" s="886"/>
      <c r="FJ8" s="886"/>
      <c r="FK8" s="886"/>
      <c r="FL8" s="886"/>
      <c r="FM8" s="886"/>
      <c r="FN8" s="886"/>
      <c r="FO8" s="886"/>
      <c r="FP8" s="886"/>
      <c r="FQ8" s="886"/>
      <c r="FR8" s="886"/>
      <c r="FS8" s="886"/>
      <c r="FT8" s="886"/>
      <c r="FU8" s="886"/>
      <c r="FV8" s="886"/>
      <c r="FW8" s="886"/>
      <c r="FX8" s="886"/>
      <c r="FY8" s="886"/>
      <c r="FZ8" s="886"/>
      <c r="GA8" s="886"/>
      <c r="GB8" s="886"/>
      <c r="GC8" s="886"/>
      <c r="GD8" s="886"/>
      <c r="GE8" s="886"/>
      <c r="GF8" s="886"/>
      <c r="GG8" s="886"/>
      <c r="GH8" s="886"/>
      <c r="GI8" s="886"/>
      <c r="GJ8" s="886"/>
      <c r="GK8" s="886"/>
      <c r="GL8" s="886"/>
      <c r="GM8" s="886"/>
      <c r="GN8" s="886"/>
      <c r="GO8" s="886"/>
      <c r="GP8" s="886"/>
      <c r="GQ8" s="886"/>
      <c r="GR8" s="886"/>
      <c r="GS8" s="886"/>
      <c r="GT8" s="886"/>
      <c r="GU8" s="886"/>
      <c r="GV8" s="886"/>
      <c r="GW8" s="886"/>
      <c r="GX8" s="886"/>
      <c r="GY8" s="886"/>
      <c r="GZ8" s="886"/>
      <c r="HA8" s="886"/>
      <c r="HB8" s="886"/>
      <c r="HC8" s="886"/>
      <c r="HD8" s="886"/>
      <c r="HE8" s="886"/>
      <c r="HF8" s="886"/>
      <c r="HG8" s="886"/>
      <c r="HH8" s="886"/>
      <c r="HI8" s="886"/>
      <c r="HJ8" s="886"/>
      <c r="HK8" s="886"/>
      <c r="HL8" s="886"/>
      <c r="HM8" s="886"/>
      <c r="HN8" s="886"/>
      <c r="HO8" s="886"/>
      <c r="HP8" s="886"/>
      <c r="HQ8" s="886"/>
      <c r="HR8" s="886"/>
      <c r="HS8" s="886"/>
      <c r="HT8" s="886"/>
      <c r="HU8" s="886"/>
      <c r="HV8" s="886"/>
      <c r="HW8" s="886"/>
      <c r="HX8" s="886"/>
      <c r="HY8" s="886"/>
      <c r="HZ8" s="886"/>
      <c r="IA8" s="886"/>
      <c r="IB8" s="886"/>
      <c r="IC8" s="886"/>
      <c r="ID8" s="886"/>
      <c r="IE8" s="886"/>
      <c r="IF8" s="886"/>
      <c r="IG8" s="886"/>
      <c r="IH8" s="886"/>
      <c r="II8" s="886"/>
      <c r="IJ8" s="886"/>
      <c r="IK8" s="886"/>
      <c r="IL8" s="886"/>
      <c r="IM8" s="886"/>
      <c r="IN8" s="886"/>
      <c r="IO8" s="886"/>
      <c r="IP8" s="886"/>
      <c r="IQ8" s="886"/>
      <c r="IR8" s="886"/>
    </row>
    <row r="9" spans="1:252" s="991" customFormat="1" ht="8.15" customHeight="1">
      <c r="A9" s="992"/>
      <c r="B9" s="102"/>
      <c r="C9" s="102"/>
      <c r="D9" s="102"/>
      <c r="E9" s="102"/>
      <c r="F9" s="102"/>
      <c r="G9" s="886"/>
      <c r="H9" s="102"/>
      <c r="I9" s="102"/>
      <c r="J9" s="102"/>
      <c r="K9" s="102"/>
      <c r="L9" s="102"/>
      <c r="M9" s="102"/>
      <c r="N9" s="102"/>
      <c r="O9" s="102"/>
      <c r="P9" s="102"/>
      <c r="Q9" s="992"/>
      <c r="R9" s="994"/>
      <c r="S9" s="992"/>
      <c r="T9" s="990"/>
      <c r="U9" s="886"/>
      <c r="V9" s="886"/>
      <c r="W9" s="886"/>
      <c r="X9" s="886"/>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886"/>
      <c r="BH9" s="886"/>
      <c r="BI9" s="886"/>
      <c r="BJ9" s="886"/>
      <c r="BK9" s="886"/>
      <c r="BL9" s="886"/>
      <c r="BM9" s="886"/>
      <c r="BN9" s="886"/>
      <c r="BO9" s="886"/>
      <c r="BP9" s="886"/>
      <c r="BQ9" s="886"/>
      <c r="BR9" s="886"/>
      <c r="BS9" s="886"/>
      <c r="BT9" s="886"/>
      <c r="BU9" s="886"/>
      <c r="BV9" s="886"/>
      <c r="BW9" s="886"/>
      <c r="BX9" s="886"/>
      <c r="BY9" s="886"/>
      <c r="BZ9" s="886"/>
      <c r="CA9" s="886"/>
      <c r="CB9" s="886"/>
      <c r="CC9" s="886"/>
      <c r="CD9" s="886"/>
      <c r="CE9" s="886"/>
      <c r="CF9" s="886"/>
      <c r="CG9" s="886"/>
      <c r="CH9" s="886"/>
      <c r="CI9" s="886"/>
      <c r="CJ9" s="886"/>
      <c r="CK9" s="886"/>
      <c r="CL9" s="886"/>
      <c r="CM9" s="886"/>
      <c r="CN9" s="886"/>
      <c r="CO9" s="886"/>
      <c r="CP9" s="886"/>
      <c r="CQ9" s="886"/>
      <c r="CR9" s="886"/>
      <c r="CS9" s="886"/>
      <c r="CT9" s="886"/>
      <c r="CU9" s="886"/>
      <c r="CV9" s="886"/>
      <c r="CW9" s="886"/>
      <c r="CX9" s="886"/>
      <c r="CY9" s="886"/>
      <c r="CZ9" s="886"/>
      <c r="DA9" s="886"/>
      <c r="DB9" s="886"/>
      <c r="DC9" s="886"/>
      <c r="DD9" s="886"/>
      <c r="DE9" s="886"/>
      <c r="DF9" s="886"/>
      <c r="DG9" s="886"/>
      <c r="DH9" s="886"/>
      <c r="DI9" s="886"/>
      <c r="DJ9" s="886"/>
      <c r="DK9" s="886"/>
      <c r="DL9" s="886"/>
      <c r="DM9" s="886"/>
      <c r="DN9" s="886"/>
      <c r="DO9" s="886"/>
      <c r="DP9" s="886"/>
      <c r="DQ9" s="886"/>
      <c r="DR9" s="886"/>
      <c r="DS9" s="886"/>
      <c r="DT9" s="886"/>
      <c r="DU9" s="886"/>
      <c r="DV9" s="886"/>
      <c r="DW9" s="886"/>
      <c r="DX9" s="886"/>
      <c r="DY9" s="886"/>
      <c r="DZ9" s="886"/>
      <c r="EA9" s="886"/>
      <c r="EB9" s="886"/>
      <c r="EC9" s="886"/>
      <c r="ED9" s="886"/>
      <c r="EE9" s="886"/>
      <c r="EF9" s="886"/>
      <c r="EG9" s="886"/>
      <c r="EH9" s="886"/>
      <c r="EI9" s="886"/>
      <c r="EJ9" s="886"/>
      <c r="EK9" s="886"/>
      <c r="EL9" s="886"/>
      <c r="EM9" s="886"/>
      <c r="EN9" s="886"/>
      <c r="EO9" s="886"/>
      <c r="EP9" s="886"/>
      <c r="EQ9" s="886"/>
      <c r="ER9" s="886"/>
      <c r="ES9" s="886"/>
      <c r="ET9" s="886"/>
      <c r="EU9" s="886"/>
      <c r="EV9" s="886"/>
      <c r="EW9" s="886"/>
      <c r="EX9" s="886"/>
      <c r="EY9" s="886"/>
      <c r="EZ9" s="886"/>
      <c r="FA9" s="886"/>
      <c r="FB9" s="886"/>
      <c r="FC9" s="886"/>
      <c r="FD9" s="886"/>
      <c r="FE9" s="886"/>
      <c r="FF9" s="886"/>
      <c r="FG9" s="886"/>
      <c r="FH9" s="886"/>
      <c r="FI9" s="886"/>
      <c r="FJ9" s="886"/>
      <c r="FK9" s="886"/>
      <c r="FL9" s="886"/>
      <c r="FM9" s="886"/>
      <c r="FN9" s="886"/>
      <c r="FO9" s="886"/>
      <c r="FP9" s="886"/>
      <c r="FQ9" s="886"/>
      <c r="FR9" s="886"/>
      <c r="FS9" s="886"/>
      <c r="FT9" s="886"/>
      <c r="FU9" s="886"/>
      <c r="FV9" s="886"/>
      <c r="FW9" s="886"/>
      <c r="FX9" s="886"/>
      <c r="FY9" s="886"/>
      <c r="FZ9" s="886"/>
      <c r="GA9" s="886"/>
      <c r="GB9" s="886"/>
      <c r="GC9" s="886"/>
      <c r="GD9" s="886"/>
      <c r="GE9" s="886"/>
      <c r="GF9" s="886"/>
      <c r="GG9" s="886"/>
      <c r="GH9" s="886"/>
      <c r="GI9" s="886"/>
      <c r="GJ9" s="886"/>
      <c r="GK9" s="886"/>
      <c r="GL9" s="886"/>
      <c r="GM9" s="886"/>
      <c r="GN9" s="886"/>
      <c r="GO9" s="886"/>
      <c r="GP9" s="886"/>
      <c r="GQ9" s="886"/>
      <c r="GR9" s="886"/>
      <c r="GS9" s="886"/>
      <c r="GT9" s="886"/>
      <c r="GU9" s="886"/>
      <c r="GV9" s="886"/>
      <c r="GW9" s="886"/>
      <c r="GX9" s="886"/>
      <c r="GY9" s="886"/>
      <c r="GZ9" s="886"/>
      <c r="HA9" s="886"/>
      <c r="HB9" s="886"/>
      <c r="HC9" s="886"/>
      <c r="HD9" s="886"/>
      <c r="HE9" s="886"/>
      <c r="HF9" s="886"/>
      <c r="HG9" s="886"/>
      <c r="HH9" s="886"/>
      <c r="HI9" s="886"/>
      <c r="HJ9" s="886"/>
      <c r="HK9" s="886"/>
      <c r="HL9" s="886"/>
      <c r="HM9" s="886"/>
      <c r="HN9" s="886"/>
      <c r="HO9" s="886"/>
      <c r="HP9" s="886"/>
      <c r="HQ9" s="886"/>
      <c r="HR9" s="886"/>
      <c r="HS9" s="886"/>
      <c r="HT9" s="886"/>
      <c r="HU9" s="886"/>
      <c r="HV9" s="886"/>
      <c r="HW9" s="886"/>
      <c r="HX9" s="886"/>
      <c r="HY9" s="886"/>
      <c r="HZ9" s="886"/>
      <c r="IA9" s="886"/>
      <c r="IB9" s="886"/>
      <c r="IC9" s="886"/>
      <c r="ID9" s="886"/>
      <c r="IE9" s="886"/>
      <c r="IF9" s="886"/>
      <c r="IG9" s="886"/>
      <c r="IH9" s="886"/>
      <c r="II9" s="886"/>
      <c r="IJ9" s="886"/>
      <c r="IK9" s="886"/>
      <c r="IL9" s="886"/>
      <c r="IM9" s="886"/>
      <c r="IN9" s="886"/>
      <c r="IO9" s="886"/>
      <c r="IP9" s="886"/>
      <c r="IQ9" s="886"/>
      <c r="IR9" s="886"/>
    </row>
    <row r="10" spans="1:252" s="991" customFormat="1">
      <c r="A10" s="992"/>
      <c r="B10" s="102"/>
      <c r="C10" s="102"/>
      <c r="D10" s="102"/>
      <c r="E10" s="102"/>
      <c r="F10" s="102"/>
      <c r="G10" s="886"/>
      <c r="H10" s="102"/>
      <c r="I10" s="102"/>
      <c r="J10" s="102"/>
      <c r="K10" s="102"/>
      <c r="L10" s="102"/>
      <c r="M10" s="102"/>
      <c r="N10" s="102"/>
      <c r="O10" s="102"/>
      <c r="P10" s="102"/>
      <c r="Q10" s="992"/>
      <c r="R10" s="993"/>
      <c r="S10" s="823"/>
      <c r="T10" s="993"/>
      <c r="U10" s="823"/>
      <c r="V10" s="823"/>
      <c r="W10" s="886"/>
      <c r="X10" s="886"/>
      <c r="Y10" s="886"/>
      <c r="Z10" s="886"/>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886"/>
      <c r="AX10" s="886"/>
      <c r="AY10" s="886"/>
      <c r="AZ10" s="886"/>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86"/>
      <c r="CG10" s="886"/>
      <c r="CH10" s="886"/>
      <c r="CI10" s="886"/>
      <c r="CJ10" s="886"/>
      <c r="CK10" s="886"/>
      <c r="CL10" s="886"/>
      <c r="CM10" s="886"/>
      <c r="CN10" s="886"/>
      <c r="CO10" s="886"/>
      <c r="CP10" s="886"/>
      <c r="CQ10" s="886"/>
      <c r="CR10" s="886"/>
      <c r="CS10" s="886"/>
      <c r="CT10" s="886"/>
      <c r="CU10" s="886"/>
      <c r="CV10" s="886"/>
      <c r="CW10" s="886"/>
      <c r="CX10" s="886"/>
      <c r="CY10" s="886"/>
      <c r="CZ10" s="886"/>
      <c r="DA10" s="886"/>
      <c r="DB10" s="886"/>
      <c r="DC10" s="886"/>
      <c r="DD10" s="886"/>
      <c r="DE10" s="886"/>
      <c r="DF10" s="886"/>
      <c r="DG10" s="886"/>
      <c r="DH10" s="886"/>
      <c r="DI10" s="886"/>
      <c r="DJ10" s="886"/>
      <c r="DK10" s="886"/>
      <c r="DL10" s="886"/>
      <c r="DM10" s="886"/>
      <c r="DN10" s="886"/>
      <c r="DO10" s="886"/>
      <c r="DP10" s="886"/>
      <c r="DQ10" s="886"/>
      <c r="DR10" s="886"/>
      <c r="DS10" s="886"/>
      <c r="DT10" s="886"/>
      <c r="DU10" s="886"/>
      <c r="DV10" s="886"/>
      <c r="DW10" s="886"/>
      <c r="DX10" s="886"/>
      <c r="DY10" s="886"/>
      <c r="DZ10" s="886"/>
      <c r="EA10" s="886"/>
      <c r="EB10" s="886"/>
      <c r="EC10" s="886"/>
      <c r="ED10" s="886"/>
      <c r="EE10" s="886"/>
      <c r="EF10" s="886"/>
      <c r="EG10" s="886"/>
      <c r="EH10" s="886"/>
      <c r="EI10" s="886"/>
      <c r="EJ10" s="886"/>
      <c r="EK10" s="886"/>
      <c r="EL10" s="886"/>
      <c r="EM10" s="886"/>
      <c r="EN10" s="886"/>
      <c r="EO10" s="886"/>
      <c r="EP10" s="886"/>
      <c r="EQ10" s="886"/>
      <c r="ER10" s="886"/>
      <c r="ES10" s="886"/>
      <c r="ET10" s="886"/>
      <c r="EU10" s="886"/>
      <c r="EV10" s="886"/>
      <c r="EW10" s="886"/>
      <c r="EX10" s="886"/>
      <c r="EY10" s="886"/>
      <c r="EZ10" s="886"/>
      <c r="FA10" s="886"/>
      <c r="FB10" s="886"/>
      <c r="FC10" s="886"/>
      <c r="FD10" s="886"/>
      <c r="FE10" s="886"/>
      <c r="FF10" s="886"/>
      <c r="FG10" s="886"/>
      <c r="FH10" s="886"/>
      <c r="FI10" s="886"/>
      <c r="FJ10" s="886"/>
      <c r="FK10" s="886"/>
      <c r="FL10" s="886"/>
      <c r="FM10" s="886"/>
      <c r="FN10" s="886"/>
      <c r="FO10" s="886"/>
      <c r="FP10" s="886"/>
      <c r="FQ10" s="886"/>
      <c r="FR10" s="886"/>
      <c r="FS10" s="886"/>
      <c r="FT10" s="886"/>
      <c r="FU10" s="886"/>
      <c r="FV10" s="886"/>
      <c r="FW10" s="886"/>
      <c r="FX10" s="886"/>
      <c r="FY10" s="886"/>
      <c r="FZ10" s="886"/>
      <c r="GA10" s="886"/>
      <c r="GB10" s="886"/>
      <c r="GC10" s="886"/>
      <c r="GD10" s="886"/>
      <c r="GE10" s="886"/>
      <c r="GF10" s="886"/>
      <c r="GG10" s="886"/>
      <c r="GH10" s="886"/>
      <c r="GI10" s="886"/>
      <c r="GJ10" s="886"/>
      <c r="GK10" s="886"/>
      <c r="GL10" s="886"/>
      <c r="GM10" s="886"/>
      <c r="GN10" s="886"/>
      <c r="GO10" s="886"/>
      <c r="GP10" s="886"/>
      <c r="GQ10" s="886"/>
      <c r="GR10" s="886"/>
      <c r="GS10" s="886"/>
      <c r="GT10" s="886"/>
      <c r="GU10" s="886"/>
      <c r="GV10" s="886"/>
      <c r="GW10" s="886"/>
      <c r="GX10" s="886"/>
      <c r="GY10" s="886"/>
      <c r="GZ10" s="886"/>
      <c r="HA10" s="886"/>
      <c r="HB10" s="886"/>
      <c r="HC10" s="886"/>
      <c r="HD10" s="886"/>
      <c r="HE10" s="886"/>
      <c r="HF10" s="886"/>
      <c r="HG10" s="886"/>
      <c r="HH10" s="886"/>
      <c r="HI10" s="886"/>
      <c r="HJ10" s="886"/>
      <c r="HK10" s="886"/>
      <c r="HL10" s="886"/>
      <c r="HM10" s="886"/>
      <c r="HN10" s="886"/>
      <c r="HO10" s="886"/>
      <c r="HP10" s="886"/>
      <c r="HQ10" s="886"/>
      <c r="HR10" s="886"/>
      <c r="HS10" s="886"/>
      <c r="HT10" s="886"/>
      <c r="HU10" s="886"/>
      <c r="HV10" s="886"/>
      <c r="HW10" s="886"/>
      <c r="HX10" s="886"/>
      <c r="HY10" s="886"/>
      <c r="HZ10" s="886"/>
      <c r="IA10" s="886"/>
      <c r="IB10" s="886"/>
      <c r="IC10" s="886"/>
      <c r="ID10" s="886"/>
      <c r="IE10" s="886"/>
      <c r="IF10" s="886"/>
      <c r="IG10" s="886"/>
      <c r="IH10" s="886"/>
      <c r="II10" s="886"/>
      <c r="IJ10" s="886"/>
      <c r="IK10" s="886"/>
      <c r="IL10" s="886"/>
      <c r="IM10" s="886"/>
      <c r="IN10" s="886"/>
      <c r="IO10" s="886"/>
      <c r="IP10" s="886"/>
      <c r="IQ10" s="886"/>
      <c r="IR10" s="886"/>
    </row>
    <row r="11" spans="1:252" s="991" customFormat="1">
      <c r="A11" s="992"/>
      <c r="B11" s="102"/>
      <c r="C11" s="102"/>
      <c r="D11" s="102"/>
      <c r="E11" s="102"/>
      <c r="F11" s="102"/>
      <c r="G11" s="886"/>
      <c r="H11" s="102"/>
      <c r="I11" s="102"/>
      <c r="K11" s="107"/>
      <c r="L11" s="887"/>
      <c r="M11" s="887"/>
      <c r="N11" s="107"/>
      <c r="O11" s="107"/>
      <c r="P11" s="107"/>
      <c r="Q11" s="992"/>
      <c r="R11" s="993"/>
      <c r="S11" s="823"/>
      <c r="T11" s="993"/>
      <c r="U11" s="823"/>
      <c r="V11" s="823"/>
      <c r="W11" s="886"/>
      <c r="X11" s="886"/>
      <c r="Y11" s="886"/>
      <c r="Z11" s="886"/>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886"/>
      <c r="AX11" s="886"/>
      <c r="AY11" s="886"/>
      <c r="AZ11" s="886"/>
      <c r="BA11" s="886"/>
      <c r="BB11" s="886"/>
      <c r="BC11" s="886"/>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c r="CC11" s="886"/>
      <c r="CD11" s="886"/>
      <c r="CE11" s="886"/>
      <c r="CF11" s="886"/>
      <c r="CG11" s="886"/>
      <c r="CH11" s="886"/>
      <c r="CI11" s="886"/>
      <c r="CJ11" s="886"/>
      <c r="CK11" s="886"/>
      <c r="CL11" s="886"/>
      <c r="CM11" s="886"/>
      <c r="CN11" s="886"/>
      <c r="CO11" s="886"/>
      <c r="CP11" s="886"/>
      <c r="CQ11" s="886"/>
      <c r="CR11" s="886"/>
      <c r="CS11" s="886"/>
      <c r="CT11" s="886"/>
      <c r="CU11" s="886"/>
      <c r="CV11" s="886"/>
      <c r="CW11" s="886"/>
      <c r="CX11" s="886"/>
      <c r="CY11" s="886"/>
      <c r="CZ11" s="886"/>
      <c r="DA11" s="886"/>
      <c r="DB11" s="886"/>
      <c r="DC11" s="886"/>
      <c r="DD11" s="886"/>
      <c r="DE11" s="886"/>
      <c r="DF11" s="886"/>
      <c r="DG11" s="886"/>
      <c r="DH11" s="886"/>
      <c r="DI11" s="886"/>
      <c r="DJ11" s="886"/>
      <c r="DK11" s="886"/>
      <c r="DL11" s="886"/>
      <c r="DM11" s="886"/>
      <c r="DN11" s="886"/>
      <c r="DO11" s="886"/>
      <c r="DP11" s="886"/>
      <c r="DQ11" s="886"/>
      <c r="DR11" s="886"/>
      <c r="DS11" s="886"/>
      <c r="DT11" s="886"/>
      <c r="DU11" s="886"/>
      <c r="DV11" s="886"/>
      <c r="DW11" s="886"/>
      <c r="DX11" s="886"/>
      <c r="DY11" s="886"/>
      <c r="DZ11" s="886"/>
      <c r="EA11" s="886"/>
      <c r="EB11" s="886"/>
      <c r="EC11" s="886"/>
      <c r="ED11" s="886"/>
      <c r="EE11" s="886"/>
      <c r="EF11" s="886"/>
      <c r="EG11" s="886"/>
      <c r="EH11" s="886"/>
      <c r="EI11" s="886"/>
      <c r="EJ11" s="886"/>
      <c r="EK11" s="886"/>
      <c r="EL11" s="886"/>
      <c r="EM11" s="886"/>
      <c r="EN11" s="886"/>
      <c r="EO11" s="886"/>
      <c r="EP11" s="886"/>
      <c r="EQ11" s="886"/>
      <c r="ER11" s="886"/>
      <c r="ES11" s="886"/>
      <c r="ET11" s="886"/>
      <c r="EU11" s="886"/>
      <c r="EV11" s="886"/>
      <c r="EW11" s="886"/>
      <c r="EX11" s="886"/>
      <c r="EY11" s="886"/>
      <c r="EZ11" s="886"/>
      <c r="FA11" s="886"/>
      <c r="FB11" s="886"/>
      <c r="FC11" s="886"/>
      <c r="FD11" s="886"/>
      <c r="FE11" s="886"/>
      <c r="FF11" s="886"/>
      <c r="FG11" s="886"/>
      <c r="FH11" s="886"/>
      <c r="FI11" s="886"/>
      <c r="FJ11" s="886"/>
      <c r="FK11" s="886"/>
      <c r="FL11" s="886"/>
      <c r="FM11" s="886"/>
      <c r="FN11" s="886"/>
      <c r="FO11" s="886"/>
      <c r="FP11" s="886"/>
      <c r="FQ11" s="886"/>
      <c r="FR11" s="886"/>
      <c r="FS11" s="886"/>
      <c r="FT11" s="886"/>
      <c r="FU11" s="886"/>
      <c r="FV11" s="886"/>
      <c r="FW11" s="886"/>
      <c r="FX11" s="886"/>
      <c r="FY11" s="886"/>
      <c r="FZ11" s="886"/>
      <c r="GA11" s="886"/>
      <c r="GB11" s="886"/>
      <c r="GC11" s="886"/>
      <c r="GD11" s="886"/>
      <c r="GE11" s="886"/>
      <c r="GF11" s="886"/>
      <c r="GG11" s="886"/>
      <c r="GH11" s="886"/>
      <c r="GI11" s="886"/>
      <c r="GJ11" s="886"/>
      <c r="GK11" s="886"/>
      <c r="GL11" s="886"/>
      <c r="GM11" s="886"/>
      <c r="GN11" s="886"/>
      <c r="GO11" s="886"/>
      <c r="GP11" s="886"/>
      <c r="GQ11" s="886"/>
      <c r="GR11" s="886"/>
      <c r="GS11" s="886"/>
      <c r="GT11" s="886"/>
      <c r="GU11" s="886"/>
      <c r="GV11" s="886"/>
      <c r="GW11" s="886"/>
      <c r="GX11" s="886"/>
      <c r="GY11" s="886"/>
      <c r="GZ11" s="886"/>
      <c r="HA11" s="886"/>
      <c r="HB11" s="886"/>
      <c r="HC11" s="886"/>
      <c r="HD11" s="886"/>
      <c r="HE11" s="886"/>
      <c r="HF11" s="886"/>
      <c r="HG11" s="886"/>
      <c r="HH11" s="886"/>
      <c r="HI11" s="886"/>
      <c r="HJ11" s="886"/>
      <c r="HK11" s="886"/>
      <c r="HL11" s="886"/>
      <c r="HM11" s="886"/>
      <c r="HN11" s="886"/>
      <c r="HO11" s="886"/>
      <c r="HP11" s="886"/>
      <c r="HQ11" s="886"/>
      <c r="HR11" s="886"/>
      <c r="HS11" s="886"/>
      <c r="HT11" s="886"/>
      <c r="HU11" s="886"/>
      <c r="HV11" s="886"/>
      <c r="HW11" s="886"/>
      <c r="HX11" s="886"/>
      <c r="HY11" s="886"/>
      <c r="HZ11" s="886"/>
      <c r="IA11" s="886"/>
      <c r="IB11" s="886"/>
      <c r="IC11" s="886"/>
      <c r="ID11" s="886"/>
      <c r="IE11" s="886"/>
      <c r="IF11" s="886"/>
      <c r="IG11" s="886"/>
      <c r="IH11" s="886"/>
      <c r="II11" s="886"/>
      <c r="IJ11" s="886"/>
      <c r="IK11" s="886"/>
      <c r="IL11" s="886"/>
      <c r="IM11" s="886"/>
      <c r="IN11" s="886"/>
      <c r="IO11" s="886"/>
      <c r="IP11" s="886"/>
      <c r="IQ11" s="886"/>
      <c r="IR11" s="886"/>
    </row>
    <row r="12" spans="1:252" ht="16.399999999999999" customHeight="1">
      <c r="A12" s="992"/>
      <c r="B12" s="107" t="s">
        <v>79</v>
      </c>
      <c r="C12" s="995"/>
      <c r="D12" s="107"/>
      <c r="E12" s="102"/>
      <c r="F12" s="107" t="s">
        <v>80</v>
      </c>
      <c r="G12" s="995"/>
      <c r="H12" s="107"/>
      <c r="I12" s="102"/>
      <c r="J12" s="107" t="s">
        <v>81</v>
      </c>
      <c r="K12" s="107"/>
      <c r="L12" s="887"/>
      <c r="M12" s="107"/>
      <c r="N12" s="107"/>
      <c r="O12" s="107"/>
      <c r="P12" s="107"/>
      <c r="Q12" s="992"/>
      <c r="R12" s="996"/>
      <c r="S12" s="3919" t="s">
        <v>892</v>
      </c>
      <c r="T12" s="3919"/>
      <c r="U12" s="3919"/>
      <c r="V12" s="823"/>
    </row>
    <row r="13" spans="1:252" ht="13.4" customHeight="1">
      <c r="A13" s="992"/>
      <c r="B13" s="997"/>
      <c r="C13" s="997"/>
      <c r="D13" s="997"/>
      <c r="E13" s="992"/>
      <c r="F13" s="997"/>
      <c r="G13" s="998"/>
      <c r="H13" s="997"/>
      <c r="I13" s="992"/>
      <c r="J13" s="997"/>
      <c r="K13" s="997"/>
      <c r="L13" s="997"/>
      <c r="M13" s="997"/>
      <c r="N13" s="997"/>
      <c r="O13" s="997"/>
      <c r="P13" s="997"/>
      <c r="Q13" s="992"/>
      <c r="R13" s="999"/>
      <c r="S13" s="992"/>
      <c r="T13" s="1000"/>
      <c r="U13" s="822"/>
      <c r="V13" s="823"/>
    </row>
    <row r="14" spans="1:252" ht="16.399999999999999" customHeight="1">
      <c r="A14" s="992"/>
      <c r="B14" s="738" t="s">
        <v>7</v>
      </c>
      <c r="C14" s="102"/>
      <c r="D14" s="739" t="str">
        <f>'Exhibit A'!F11</f>
        <v>7 MOS. ENDED</v>
      </c>
      <c r="E14" s="102"/>
      <c r="F14" s="738" t="s">
        <v>7</v>
      </c>
      <c r="G14" s="740"/>
      <c r="H14" s="738" t="str">
        <f>D14</f>
        <v>7 MOS. ENDED</v>
      </c>
      <c r="I14" s="102"/>
      <c r="J14" s="738" t="s">
        <v>7</v>
      </c>
      <c r="K14" s="102"/>
      <c r="L14" s="738" t="str">
        <f>D14</f>
        <v>7 MOS. ENDED</v>
      </c>
      <c r="M14" s="102"/>
      <c r="N14" s="738" t="s">
        <v>7</v>
      </c>
      <c r="O14" s="102"/>
      <c r="P14" s="738" t="str">
        <f>H14</f>
        <v>7 MOS. ENDED</v>
      </c>
      <c r="Q14" s="992"/>
      <c r="R14" s="999"/>
      <c r="S14" s="3314" t="s">
        <v>8</v>
      </c>
      <c r="T14" s="207"/>
      <c r="U14" s="747" t="s">
        <v>9</v>
      </c>
      <c r="V14" s="823"/>
    </row>
    <row r="15" spans="1:252" ht="16.399999999999999" customHeight="1">
      <c r="A15" s="992"/>
      <c r="B15" s="903" t="str">
        <f>'Exhibit A'!D12</f>
        <v>OCT. 2020</v>
      </c>
      <c r="C15" s="102"/>
      <c r="D15" s="903" t="str">
        <f>'Exhibit A'!F12</f>
        <v>OCT. 31, 2020</v>
      </c>
      <c r="E15" s="102"/>
      <c r="F15" s="741" t="str">
        <f>+B15</f>
        <v>OCT. 2020</v>
      </c>
      <c r="G15" s="102"/>
      <c r="H15" s="742" t="str">
        <f>D15</f>
        <v>OCT. 31, 2020</v>
      </c>
      <c r="I15" s="102"/>
      <c r="J15" s="741" t="str">
        <f>+F15</f>
        <v>OCT. 2020</v>
      </c>
      <c r="K15" s="102"/>
      <c r="L15" s="742" t="str">
        <f>D15</f>
        <v>OCT. 31, 2020</v>
      </c>
      <c r="M15" s="102"/>
      <c r="N15" s="3499" t="str">
        <f>'Exhibit A'!AB12</f>
        <v>OCT. 2019</v>
      </c>
      <c r="O15" s="102"/>
      <c r="P15" s="903" t="str">
        <f>'Exhibit A'!AD12</f>
        <v>OCT. 31, 2019</v>
      </c>
      <c r="Q15" s="992"/>
      <c r="R15" s="999"/>
      <c r="S15" s="3315" t="s">
        <v>12</v>
      </c>
      <c r="T15" s="206"/>
      <c r="U15" s="750" t="s">
        <v>13</v>
      </c>
      <c r="V15" s="823"/>
    </row>
    <row r="16" spans="1:252" ht="13.4" customHeight="1">
      <c r="A16" s="992"/>
      <c r="B16" s="994"/>
      <c r="C16" s="992"/>
      <c r="D16" s="994" t="s">
        <v>15</v>
      </c>
      <c r="E16" s="992"/>
      <c r="F16" s="997"/>
      <c r="G16" s="992"/>
      <c r="H16" s="1001" t="s">
        <v>15</v>
      </c>
      <c r="I16" s="994"/>
      <c r="J16" s="1002"/>
      <c r="K16" s="992"/>
      <c r="L16" s="1003"/>
      <c r="M16" s="994"/>
      <c r="N16" s="994"/>
      <c r="O16" s="992"/>
      <c r="P16" s="994"/>
      <c r="Q16" s="992"/>
      <c r="R16" s="1004"/>
      <c r="S16" s="823"/>
      <c r="T16" s="994"/>
      <c r="U16" s="823"/>
      <c r="V16" s="823"/>
    </row>
    <row r="17" spans="1:245" ht="16.399999999999999" customHeight="1">
      <c r="A17" s="102" t="s">
        <v>14</v>
      </c>
      <c r="B17" s="1005"/>
      <c r="C17" s="1005"/>
      <c r="D17" s="1005"/>
      <c r="E17" s="1005"/>
      <c r="F17" s="1006"/>
      <c r="G17" s="1005"/>
      <c r="H17" s="1007"/>
      <c r="I17" s="1006"/>
      <c r="J17" s="1008"/>
      <c r="K17" s="1005"/>
      <c r="L17" s="1007"/>
      <c r="M17" s="1006"/>
      <c r="N17" s="1006"/>
      <c r="O17" s="1005"/>
      <c r="P17" s="1006"/>
      <c r="Q17" s="992"/>
      <c r="R17" s="1009"/>
      <c r="S17" s="823"/>
      <c r="T17" s="1006"/>
      <c r="U17" s="823"/>
      <c r="V17" s="823"/>
    </row>
    <row r="18" spans="1:245" ht="16.399999999999999" customHeight="1">
      <c r="A18" s="992" t="s">
        <v>20</v>
      </c>
      <c r="B18" s="1010">
        <f>+'Exhibit L'!N16</f>
        <v>11.000000000000014</v>
      </c>
      <c r="C18" s="892"/>
      <c r="D18" s="891">
        <f>+'Exhibit L'!AA16</f>
        <v>73.600000000000009</v>
      </c>
      <c r="E18" s="892"/>
      <c r="F18" s="1011">
        <f>'Exhibit M'!N16</f>
        <v>0.2</v>
      </c>
      <c r="G18" s="892"/>
      <c r="H18" s="1012">
        <f>+'Exhibit M'!AA16</f>
        <v>0.2</v>
      </c>
      <c r="I18" s="1013"/>
      <c r="J18" s="1014">
        <f>SUM(B18)+SUM(F18)</f>
        <v>11.200000000000014</v>
      </c>
      <c r="K18" s="892"/>
      <c r="L18" s="1012">
        <f>D18+SUM(H18)</f>
        <v>73.800000000000011</v>
      </c>
      <c r="M18" s="1013"/>
      <c r="N18" s="3500">
        <v>12.799999999999999</v>
      </c>
      <c r="O18" s="892"/>
      <c r="P18" s="3500">
        <f>'Exhibit L'!AD16+'Exhibit M'!AD16</f>
        <v>72.100000000000009</v>
      </c>
      <c r="Q18" s="1015"/>
      <c r="R18" s="1016"/>
      <c r="S18" s="1121">
        <f>ROUND(SUM(L18-P18),1)</f>
        <v>1.7</v>
      </c>
      <c r="T18" s="1017"/>
      <c r="U18" s="1381">
        <f>ROUND(IF(S18=0,0,S18/ABS(P18)),3)</f>
        <v>2.4E-2</v>
      </c>
      <c r="V18" s="1018"/>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1019"/>
      <c r="AS18" s="1019"/>
      <c r="AT18" s="1019"/>
      <c r="AU18" s="1019"/>
      <c r="AV18" s="1019"/>
      <c r="AW18" s="1019"/>
      <c r="AX18" s="1019"/>
      <c r="AY18" s="1019"/>
      <c r="AZ18" s="1019"/>
      <c r="BA18" s="1019"/>
      <c r="BB18" s="1019"/>
      <c r="BC18" s="1019"/>
      <c r="BD18" s="1019"/>
      <c r="BE18" s="1019"/>
      <c r="BF18" s="1019"/>
      <c r="BG18" s="1019"/>
      <c r="BH18" s="1019"/>
      <c r="BI18" s="1019"/>
      <c r="BJ18" s="1019"/>
      <c r="BK18" s="1019"/>
      <c r="BL18" s="1019"/>
      <c r="BM18" s="1019"/>
      <c r="BN18" s="1019"/>
      <c r="BO18" s="1019"/>
      <c r="BP18" s="1019"/>
      <c r="BQ18" s="1019"/>
      <c r="BR18" s="1019"/>
      <c r="BS18" s="1019"/>
      <c r="BT18" s="1019"/>
      <c r="BU18" s="1019"/>
      <c r="BV18" s="1019"/>
      <c r="BW18" s="1019"/>
      <c r="BX18" s="1019"/>
      <c r="BY18" s="1019"/>
      <c r="BZ18" s="1019"/>
      <c r="CA18" s="1019"/>
      <c r="CB18" s="1019"/>
      <c r="CC18" s="1019"/>
      <c r="CD18" s="1019"/>
      <c r="CE18" s="1019"/>
      <c r="CF18" s="1019"/>
      <c r="CG18" s="1019"/>
      <c r="CH18" s="1019"/>
      <c r="CI18" s="1019"/>
      <c r="CJ18" s="1019"/>
      <c r="CK18" s="1019"/>
      <c r="CL18" s="1019"/>
      <c r="CM18" s="1019"/>
      <c r="CN18" s="1019"/>
      <c r="CO18" s="1019"/>
      <c r="CP18" s="1019"/>
      <c r="CQ18" s="1019"/>
      <c r="CR18" s="1019"/>
      <c r="CS18" s="1019"/>
      <c r="CT18" s="1019"/>
      <c r="CU18" s="1019"/>
      <c r="CV18" s="1019"/>
      <c r="CW18" s="1019"/>
      <c r="CX18" s="1019"/>
      <c r="CY18" s="1019"/>
      <c r="CZ18" s="1019"/>
      <c r="DA18" s="1019"/>
      <c r="DB18" s="1019"/>
      <c r="DC18" s="1019"/>
      <c r="DD18" s="1019"/>
      <c r="DE18" s="1019"/>
      <c r="DF18" s="1019"/>
      <c r="DG18" s="1019"/>
      <c r="DH18" s="1019"/>
      <c r="DI18" s="1019"/>
      <c r="DJ18" s="1019"/>
      <c r="DK18" s="1019"/>
      <c r="DL18" s="1019"/>
      <c r="DM18" s="1019"/>
      <c r="DN18" s="1019"/>
      <c r="DO18" s="1019"/>
      <c r="DP18" s="1019"/>
      <c r="DQ18" s="1019"/>
      <c r="DR18" s="1019"/>
      <c r="DS18" s="1019"/>
      <c r="DT18" s="1019"/>
      <c r="DU18" s="1019"/>
      <c r="DV18" s="1019"/>
      <c r="DW18" s="1019"/>
      <c r="DX18" s="1019"/>
      <c r="DY18" s="1019"/>
      <c r="DZ18" s="1019"/>
      <c r="EA18" s="1019"/>
      <c r="EB18" s="1019"/>
      <c r="EC18" s="1019"/>
      <c r="ED18" s="1019"/>
      <c r="EE18" s="1019"/>
      <c r="EF18" s="1019"/>
      <c r="EG18" s="1019"/>
      <c r="EH18" s="1019"/>
      <c r="EI18" s="1019"/>
      <c r="EJ18" s="1019"/>
      <c r="EK18" s="1019"/>
      <c r="EL18" s="1019"/>
      <c r="EM18" s="1019"/>
      <c r="EN18" s="1019"/>
      <c r="EO18" s="1019"/>
      <c r="EP18" s="1019"/>
      <c r="EQ18" s="1019"/>
      <c r="ER18" s="1019"/>
      <c r="ES18" s="1019"/>
      <c r="ET18" s="1019"/>
      <c r="EU18" s="1019"/>
      <c r="EV18" s="1019"/>
      <c r="EW18" s="1019"/>
      <c r="EX18" s="1019"/>
      <c r="EY18" s="1019"/>
      <c r="EZ18" s="1019"/>
      <c r="FA18" s="1019"/>
      <c r="FB18" s="1019"/>
      <c r="FC18" s="1019"/>
      <c r="FD18" s="1019"/>
      <c r="FE18" s="1019"/>
      <c r="FF18" s="1019"/>
      <c r="FG18" s="1019"/>
      <c r="FH18" s="1019"/>
      <c r="FI18" s="1019"/>
      <c r="FJ18" s="1019"/>
      <c r="FK18" s="1019"/>
      <c r="FL18" s="1019"/>
      <c r="FM18" s="1019"/>
      <c r="FN18" s="1019"/>
      <c r="FO18" s="1019"/>
      <c r="FP18" s="1019"/>
      <c r="FQ18" s="1019"/>
      <c r="FR18" s="1019"/>
      <c r="FS18" s="1019"/>
      <c r="FT18" s="1019"/>
      <c r="FU18" s="1019"/>
      <c r="FV18" s="1019"/>
      <c r="FW18" s="1019"/>
      <c r="FX18" s="1019"/>
      <c r="FY18" s="1019"/>
      <c r="FZ18" s="1019"/>
      <c r="GA18" s="1019"/>
      <c r="GB18" s="1019"/>
      <c r="GC18" s="1019"/>
      <c r="GD18" s="1019"/>
      <c r="GE18" s="1019"/>
      <c r="GF18" s="1019"/>
      <c r="GG18" s="1019"/>
      <c r="GH18" s="1019"/>
      <c r="GI18" s="1019"/>
      <c r="GJ18" s="1019"/>
      <c r="GK18" s="1019"/>
      <c r="GL18" s="1019"/>
      <c r="GM18" s="1019"/>
      <c r="GN18" s="1019"/>
      <c r="GO18" s="1019"/>
      <c r="GP18" s="1019"/>
      <c r="GQ18" s="1019"/>
      <c r="GR18" s="1019"/>
      <c r="GS18" s="1019"/>
      <c r="GT18" s="1019"/>
      <c r="GU18" s="1019"/>
      <c r="GV18" s="1019"/>
      <c r="GW18" s="1019"/>
      <c r="GX18" s="1019"/>
      <c r="GY18" s="1019"/>
      <c r="GZ18" s="1019"/>
      <c r="HA18" s="1019"/>
      <c r="HB18" s="1019"/>
      <c r="HC18" s="1019"/>
      <c r="HD18" s="1019"/>
      <c r="HE18" s="1019"/>
      <c r="HF18" s="1019"/>
      <c r="HG18" s="1019"/>
      <c r="HH18" s="1019"/>
      <c r="HI18" s="1019"/>
      <c r="HJ18" s="1019"/>
      <c r="HK18" s="1019"/>
      <c r="HL18" s="1019"/>
      <c r="HM18" s="1019"/>
      <c r="HN18" s="1019"/>
      <c r="HO18" s="1019"/>
      <c r="HP18" s="1019"/>
      <c r="HQ18" s="1019"/>
      <c r="HR18" s="1019"/>
      <c r="HS18" s="1019"/>
      <c r="HT18" s="1019"/>
      <c r="HU18" s="1019"/>
      <c r="HV18" s="1019"/>
      <c r="HW18" s="1019"/>
      <c r="HX18" s="1019"/>
      <c r="HY18" s="1019"/>
      <c r="HZ18" s="1019"/>
      <c r="IA18" s="1019"/>
      <c r="IB18" s="1019"/>
      <c r="IC18" s="1019"/>
      <c r="ID18" s="1019"/>
      <c r="IE18" s="1019"/>
      <c r="IF18" s="1019"/>
      <c r="IG18" s="1019"/>
      <c r="IH18" s="1019"/>
      <c r="II18" s="1019"/>
      <c r="IJ18" s="1019"/>
      <c r="IK18" s="1019"/>
    </row>
    <row r="19" spans="1:245">
      <c r="A19" s="102" t="s">
        <v>22</v>
      </c>
      <c r="B19" s="108">
        <f>ROUND(SUM(B18),1)</f>
        <v>11</v>
      </c>
      <c r="C19" s="109"/>
      <c r="D19" s="108">
        <f>ROUND(SUM(D18),1)</f>
        <v>73.599999999999994</v>
      </c>
      <c r="E19" s="109"/>
      <c r="F19" s="110">
        <f>ROUND(SUM(F18),1)</f>
        <v>0.2</v>
      </c>
      <c r="G19" s="109"/>
      <c r="H19" s="111">
        <f>ROUND(SUM(H18),1)</f>
        <v>0.2</v>
      </c>
      <c r="I19" s="112"/>
      <c r="J19" s="113">
        <f>ROUND(SUM(J18),1)</f>
        <v>11.2</v>
      </c>
      <c r="K19" s="109"/>
      <c r="L19" s="111">
        <f>ROUND(SUM(L18),1)</f>
        <v>73.8</v>
      </c>
      <c r="M19" s="112"/>
      <c r="N19" s="108">
        <f>ROUND(SUM(N18),1)</f>
        <v>12.8</v>
      </c>
      <c r="O19" s="109"/>
      <c r="P19" s="108">
        <f>ROUND(SUM(P18),1)</f>
        <v>72.099999999999994</v>
      </c>
      <c r="Q19" s="740"/>
      <c r="R19" s="1020"/>
      <c r="S19" s="1047">
        <f>ROUND(SUM(S18),3)</f>
        <v>1.7</v>
      </c>
      <c r="T19" s="647"/>
      <c r="U19" s="1048">
        <f>ROUND(+S19/P19,3)</f>
        <v>2.4E-2</v>
      </c>
      <c r="V19" s="823"/>
    </row>
    <row r="20" spans="1:245">
      <c r="A20" s="102"/>
      <c r="B20" s="893"/>
      <c r="C20" s="893"/>
      <c r="D20" s="893"/>
      <c r="E20" s="893"/>
      <c r="F20" s="893"/>
      <c r="G20" s="893"/>
      <c r="H20" s="1021"/>
      <c r="I20" s="1022"/>
      <c r="J20" s="1023"/>
      <c r="K20" s="893"/>
      <c r="L20" s="1024"/>
      <c r="M20" s="1022"/>
      <c r="N20" s="1022"/>
      <c r="O20" s="893"/>
      <c r="P20" s="1022"/>
      <c r="R20" s="1009"/>
      <c r="S20" s="1046"/>
      <c r="T20" s="1006"/>
      <c r="U20" s="823"/>
      <c r="V20" s="823"/>
    </row>
    <row r="21" spans="1:245" ht="16.399999999999999" customHeight="1">
      <c r="A21" s="102" t="s">
        <v>23</v>
      </c>
      <c r="B21" s="893"/>
      <c r="C21" s="893"/>
      <c r="D21" s="893"/>
      <c r="E21" s="893"/>
      <c r="F21" s="893"/>
      <c r="G21" s="893"/>
      <c r="H21" s="1024"/>
      <c r="I21" s="1022"/>
      <c r="J21" s="1023"/>
      <c r="K21" s="893"/>
      <c r="L21" s="1024"/>
      <c r="M21" s="1022"/>
      <c r="N21" s="1022"/>
      <c r="O21" s="893"/>
      <c r="P21" s="1022"/>
      <c r="R21" s="1009"/>
      <c r="S21" s="1046"/>
      <c r="T21" s="1006"/>
      <c r="U21" s="823"/>
      <c r="V21" s="823"/>
    </row>
    <row r="22" spans="1:245" ht="16.399999999999999" customHeight="1">
      <c r="A22" s="992" t="s">
        <v>36</v>
      </c>
      <c r="B22" s="893"/>
      <c r="C22" s="893"/>
      <c r="D22" s="893"/>
      <c r="E22" s="893"/>
      <c r="F22" s="893"/>
      <c r="G22" s="893"/>
      <c r="H22" s="1024"/>
      <c r="I22" s="1022"/>
      <c r="J22" s="1023"/>
      <c r="K22" s="893"/>
      <c r="L22" s="1024"/>
      <c r="M22" s="1022"/>
      <c r="N22" s="1022"/>
      <c r="O22" s="893"/>
      <c r="P22" s="1022"/>
      <c r="R22" s="1009"/>
      <c r="S22" s="1046"/>
      <c r="T22" s="1006"/>
      <c r="U22" s="823"/>
      <c r="V22" s="823"/>
    </row>
    <row r="23" spans="1:245" ht="16.399999999999999" customHeight="1">
      <c r="A23" s="992" t="s">
        <v>67</v>
      </c>
      <c r="B23" s="682">
        <f>+'Exhibit L'!N22</f>
        <v>5.5999999999999979</v>
      </c>
      <c r="C23" s="893"/>
      <c r="D23" s="682">
        <f>+'Exhibit L'!AA22</f>
        <v>44.3</v>
      </c>
      <c r="E23" s="893"/>
      <c r="F23" s="1025">
        <f>+'Exhibit M'!N22</f>
        <v>0.1</v>
      </c>
      <c r="G23" s="893"/>
      <c r="H23" s="1026">
        <f>+'Exhibit M'!AA22</f>
        <v>0.2</v>
      </c>
      <c r="I23" s="1022"/>
      <c r="J23" s="1027">
        <f>SUM(B23)+SUM(F23)</f>
        <v>5.6999999999999975</v>
      </c>
      <c r="K23" s="893"/>
      <c r="L23" s="1028">
        <f>SUM(D23)+SUM(H23)</f>
        <v>44.5</v>
      </c>
      <c r="M23" s="1022"/>
      <c r="N23" s="1029">
        <v>7.7</v>
      </c>
      <c r="O23" s="893"/>
      <c r="P23" s="1029">
        <f>'Exhibit L'!AD22+'Exhibit M'!AD22</f>
        <v>41.6</v>
      </c>
      <c r="R23" s="1009"/>
      <c r="S23" s="1046">
        <f>ROUND(SUM(L23-P23),1)</f>
        <v>2.9</v>
      </c>
      <c r="T23" s="1006"/>
      <c r="U23" s="1381">
        <f>ROUND(IF(S23=0,0,S23/ABS(P23)),3)</f>
        <v>7.0000000000000007E-2</v>
      </c>
      <c r="V23" s="823"/>
    </row>
    <row r="24" spans="1:245" ht="16.399999999999999" customHeight="1">
      <c r="A24" s="992" t="s">
        <v>68</v>
      </c>
      <c r="B24" s="682">
        <f>+'Exhibit L'!N23</f>
        <v>0.7000000000000004</v>
      </c>
      <c r="C24" s="893"/>
      <c r="D24" s="1029">
        <f>+'Exhibit L'!AA23</f>
        <v>5.3</v>
      </c>
      <c r="E24" s="893"/>
      <c r="F24" s="1025">
        <f>+'Exhibit M'!N23</f>
        <v>0</v>
      </c>
      <c r="G24" s="893"/>
      <c r="H24" s="1026">
        <f>+'Exhibit M'!AA23</f>
        <v>0</v>
      </c>
      <c r="I24" s="1022"/>
      <c r="J24" s="1027">
        <f>SUM(B24)+SUM(F24)</f>
        <v>0.7000000000000004</v>
      </c>
      <c r="K24" s="893"/>
      <c r="L24" s="1028">
        <f>SUM(D24)+SUM(H24)</f>
        <v>5.3</v>
      </c>
      <c r="M24" s="1022"/>
      <c r="N24" s="1029">
        <v>1</v>
      </c>
      <c r="O24" s="1022"/>
      <c r="P24" s="1029">
        <f>'Exhibit L'!AD23+'Exhibit M'!AD23</f>
        <v>8.3000000000000007</v>
      </c>
      <c r="R24" s="1009"/>
      <c r="S24" s="1046">
        <f>ROUND(SUM(L24-P24),1)</f>
        <v>-3</v>
      </c>
      <c r="T24" s="1006"/>
      <c r="U24" s="1381">
        <f>ROUND(IF(S24=0,0,S24/ABS(P24)),3)</f>
        <v>-0.36099999999999999</v>
      </c>
      <c r="V24" s="823"/>
    </row>
    <row r="25" spans="1:245" ht="16.399999999999999" customHeight="1">
      <c r="A25" s="992" t="s">
        <v>69</v>
      </c>
      <c r="B25" s="682">
        <f>+'Exhibit L'!N24</f>
        <v>3.3999999999999968</v>
      </c>
      <c r="C25" s="893"/>
      <c r="D25" s="1030">
        <f>+'Exhibit L'!AA24</f>
        <v>25.8</v>
      </c>
      <c r="E25" s="893"/>
      <c r="F25" s="1025">
        <f>+'Exhibit M'!N24</f>
        <v>0</v>
      </c>
      <c r="G25" s="893"/>
      <c r="H25" s="1031">
        <f>+'Exhibit M'!AA24</f>
        <v>0.1</v>
      </c>
      <c r="I25" s="1022"/>
      <c r="J25" s="1027">
        <f>SUM(B25)+SUM(F25)</f>
        <v>3.3999999999999968</v>
      </c>
      <c r="K25" s="893"/>
      <c r="L25" s="1032">
        <f>SUM(D25)+SUM(H25)</f>
        <v>25.900000000000002</v>
      </c>
      <c r="M25" s="1022"/>
      <c r="N25" s="1029">
        <v>0.2</v>
      </c>
      <c r="O25" s="3501"/>
      <c r="P25" s="1029">
        <f>'Exhibit L'!AD24+'Exhibit M'!AD24</f>
        <v>21.7</v>
      </c>
      <c r="R25" s="1009"/>
      <c r="S25" s="1046">
        <f>ROUND(SUM(L25-P25),1)</f>
        <v>4.2</v>
      </c>
      <c r="T25" s="1006"/>
      <c r="U25" s="3688">
        <f>ROUND(IF(P25=0,1,S25/ABS(P25)),3)</f>
        <v>0.19400000000000001</v>
      </c>
      <c r="V25" s="823"/>
    </row>
    <row r="26" spans="1:245">
      <c r="A26" s="102" t="s">
        <v>57</v>
      </c>
      <c r="B26" s="108">
        <f>ROUND(SUM(B23:B25),1)</f>
        <v>9.6999999999999993</v>
      </c>
      <c r="C26" s="109"/>
      <c r="D26" s="108">
        <f>ROUND(SUM(D23:D25),1)</f>
        <v>75.400000000000006</v>
      </c>
      <c r="E26" s="109"/>
      <c r="F26" s="108">
        <f>ROUND(SUM(F23:F25),1)</f>
        <v>0.1</v>
      </c>
      <c r="G26" s="109"/>
      <c r="H26" s="111">
        <f>ROUND(SUM(H23:H25),1)</f>
        <v>0.3</v>
      </c>
      <c r="I26" s="112"/>
      <c r="J26" s="113">
        <f>ROUND(SUM(J23:J25),1)</f>
        <v>9.8000000000000007</v>
      </c>
      <c r="K26" s="109"/>
      <c r="L26" s="111">
        <f>ROUND(SUM(L23:L25),1)</f>
        <v>75.7</v>
      </c>
      <c r="M26" s="112"/>
      <c r="N26" s="108">
        <f>ROUND(SUM(N23:N25),1)</f>
        <v>8.9</v>
      </c>
      <c r="O26" s="109"/>
      <c r="P26" s="108">
        <f>ROUND(SUM(P23:P25),1)</f>
        <v>71.599999999999994</v>
      </c>
      <c r="Q26" s="740"/>
      <c r="R26" s="988"/>
      <c r="S26" s="1047">
        <f>ROUND(SUM(S23:S25),3)</f>
        <v>4.0999999999999996</v>
      </c>
      <c r="T26" s="647"/>
      <c r="U26" s="3694">
        <f>ROUND(S26/P26,3)</f>
        <v>5.7000000000000002E-2</v>
      </c>
      <c r="V26" s="823"/>
    </row>
    <row r="27" spans="1:245">
      <c r="A27" s="102"/>
      <c r="B27" s="893"/>
      <c r="C27" s="893"/>
      <c r="D27" s="893"/>
      <c r="E27" s="893"/>
      <c r="F27" s="893"/>
      <c r="G27" s="893"/>
      <c r="H27" s="1024"/>
      <c r="I27" s="1022"/>
      <c r="J27" s="1023"/>
      <c r="K27" s="893"/>
      <c r="L27" s="1024"/>
      <c r="M27" s="1022"/>
      <c r="N27" s="1022"/>
      <c r="O27" s="893"/>
      <c r="P27" s="1022"/>
      <c r="R27" s="1009"/>
      <c r="S27" s="1046"/>
      <c r="T27" s="1006"/>
      <c r="U27" s="823"/>
      <c r="V27" s="823"/>
    </row>
    <row r="28" spans="1:245" ht="16.399999999999999" customHeight="1">
      <c r="A28" s="102" t="s">
        <v>44</v>
      </c>
      <c r="B28" s="893"/>
      <c r="C28" s="893"/>
      <c r="D28" s="893"/>
      <c r="E28" s="893"/>
      <c r="F28" s="893"/>
      <c r="G28" s="893"/>
      <c r="H28" s="1024"/>
      <c r="I28" s="1022"/>
      <c r="J28" s="1023"/>
      <c r="K28" s="893"/>
      <c r="L28" s="1024"/>
      <c r="M28" s="1022"/>
      <c r="N28" s="1022"/>
      <c r="O28" s="893"/>
      <c r="P28" s="1022"/>
      <c r="R28" s="1009"/>
      <c r="S28" s="1046"/>
      <c r="T28" s="1006"/>
      <c r="U28" s="823"/>
      <c r="V28" s="823"/>
    </row>
    <row r="29" spans="1:245">
      <c r="A29" s="102" t="s">
        <v>71</v>
      </c>
      <c r="B29" s="117">
        <f>ROUND(SUM(B19-B26),1)</f>
        <v>1.3</v>
      </c>
      <c r="C29" s="109"/>
      <c r="D29" s="117">
        <f>ROUND(SUM(D19-D26),1)</f>
        <v>-1.8</v>
      </c>
      <c r="E29" s="109"/>
      <c r="F29" s="117">
        <f>ROUND(SUM(F19-F26),1)</f>
        <v>0.1</v>
      </c>
      <c r="G29" s="109"/>
      <c r="H29" s="118">
        <f>ROUND(SUM(H19-H26),1)</f>
        <v>-0.1</v>
      </c>
      <c r="I29" s="112"/>
      <c r="J29" s="119">
        <f>ROUND(SUM(J19-J26),1)</f>
        <v>1.4</v>
      </c>
      <c r="K29" s="112"/>
      <c r="L29" s="118">
        <f>ROUND(SUM(L19-L26),1)</f>
        <v>-1.9</v>
      </c>
      <c r="M29" s="112"/>
      <c r="N29" s="117">
        <f>ROUND(SUM(N19-N26),1)</f>
        <v>3.9</v>
      </c>
      <c r="O29" s="112"/>
      <c r="P29" s="117">
        <f>ROUND(SUM(P19-P26),1)</f>
        <v>0.5</v>
      </c>
      <c r="Q29" s="740"/>
      <c r="R29" s="1009"/>
      <c r="S29" s="1558">
        <f>ROUND(SUM(L29-P29),1)</f>
        <v>-2.4</v>
      </c>
      <c r="T29" s="1006"/>
      <c r="U29" s="2123">
        <f>ROUND(IF(P29=0,1,S29/ABS(P29)),3)</f>
        <v>-4.8</v>
      </c>
      <c r="V29" s="823"/>
    </row>
    <row r="30" spans="1:245">
      <c r="A30" s="992"/>
      <c r="B30" s="893"/>
      <c r="C30" s="893"/>
      <c r="D30" s="893"/>
      <c r="E30" s="893"/>
      <c r="F30" s="893"/>
      <c r="G30" s="893"/>
      <c r="H30" s="1024"/>
      <c r="I30" s="1022"/>
      <c r="J30" s="1023"/>
      <c r="K30" s="893"/>
      <c r="L30" s="1024"/>
      <c r="M30" s="1022"/>
      <c r="N30" s="1022"/>
      <c r="O30" s="893"/>
      <c r="P30" s="1022"/>
      <c r="R30" s="1009"/>
      <c r="S30" s="1046"/>
      <c r="T30" s="1006"/>
      <c r="U30" s="823"/>
      <c r="V30" s="823"/>
    </row>
    <row r="31" spans="1:245" ht="16.399999999999999" customHeight="1">
      <c r="A31" s="102" t="s">
        <v>46</v>
      </c>
      <c r="B31" s="893"/>
      <c r="C31" s="893"/>
      <c r="D31" s="893"/>
      <c r="E31" s="893"/>
      <c r="F31" s="893"/>
      <c r="G31" s="893"/>
      <c r="H31" s="1024"/>
      <c r="I31" s="1022"/>
      <c r="J31" s="1023"/>
      <c r="K31" s="893"/>
      <c r="L31" s="1024"/>
      <c r="M31" s="1022"/>
      <c r="N31" s="1022"/>
      <c r="O31" s="893"/>
      <c r="P31" s="1022"/>
      <c r="R31" s="1009"/>
      <c r="S31" s="1046"/>
      <c r="T31" s="1006"/>
      <c r="U31" s="823"/>
      <c r="V31" s="823"/>
    </row>
    <row r="32" spans="1:245" ht="16.399999999999999" customHeight="1">
      <c r="A32" s="992" t="s">
        <v>47</v>
      </c>
      <c r="B32" s="1025">
        <f>+'Exhibit L'!N31</f>
        <v>0</v>
      </c>
      <c r="C32" s="893"/>
      <c r="D32" s="1025">
        <f>+'Exhibit L'!AA31</f>
        <v>0</v>
      </c>
      <c r="E32" s="893"/>
      <c r="F32" s="1025">
        <f>+'Exhibit M'!N31</f>
        <v>0</v>
      </c>
      <c r="G32" s="682"/>
      <c r="H32" s="1033">
        <f>+'Exhibit M'!AA31</f>
        <v>0</v>
      </c>
      <c r="I32" s="1022"/>
      <c r="J32" s="1034">
        <f>SUM(B32)+SUM(F32)</f>
        <v>0</v>
      </c>
      <c r="K32" s="893"/>
      <c r="L32" s="1026">
        <f>SUM(D32)+SUM(H32)</f>
        <v>0</v>
      </c>
      <c r="M32" s="1022"/>
      <c r="N32" s="1029">
        <v>0</v>
      </c>
      <c r="O32" s="1022"/>
      <c r="P32" s="1030">
        <f>'Exhibit L'!AD31+'Exhibit M'!AD31</f>
        <v>0</v>
      </c>
      <c r="R32" s="1035"/>
      <c r="S32" s="1046">
        <f>ROUND(SUM(L32-P32),1)</f>
        <v>0</v>
      </c>
      <c r="T32" s="666"/>
      <c r="U32" s="1381">
        <f>ROUND(IF(S32=0,0,S32/ABS(P32)),3)</f>
        <v>0</v>
      </c>
      <c r="V32" s="823"/>
    </row>
    <row r="33" spans="1:245" ht="16.399999999999999" customHeight="1">
      <c r="A33" s="992" t="s">
        <v>72</v>
      </c>
      <c r="B33" s="1025">
        <f>+'Exhibit L'!N32</f>
        <v>0</v>
      </c>
      <c r="C33" s="893"/>
      <c r="D33" s="1036">
        <f>+'Exhibit L'!AA32</f>
        <v>0</v>
      </c>
      <c r="E33" s="893"/>
      <c r="F33" s="1025">
        <f>+'Exhibit M'!N32</f>
        <v>0</v>
      </c>
      <c r="G33" s="893"/>
      <c r="H33" s="1033">
        <f>+'Exhibit M'!AA32</f>
        <v>0</v>
      </c>
      <c r="I33" s="1022"/>
      <c r="J33" s="1034">
        <f>SUM(B33)+SUM(F33)</f>
        <v>0</v>
      </c>
      <c r="K33" s="893"/>
      <c r="L33" s="1037">
        <f>SUM(D33)+SUM(H33)</f>
        <v>0</v>
      </c>
      <c r="M33" s="1022"/>
      <c r="N33" s="1029">
        <v>0</v>
      </c>
      <c r="O33" s="3501"/>
      <c r="P33" s="1030">
        <f>'Exhibit L'!AD32+'Exhibit M'!AD32</f>
        <v>0</v>
      </c>
      <c r="R33" s="1038"/>
      <c r="S33" s="1046">
        <f>ROUND(SUM(L33-P33),1)</f>
        <v>0</v>
      </c>
      <c r="T33" s="666"/>
      <c r="U33" s="1381">
        <f>ROUND(IF(S33=0,0,S33/ABS(P33)),3)</f>
        <v>0</v>
      </c>
      <c r="V33" s="823"/>
    </row>
    <row r="34" spans="1:245">
      <c r="A34" s="102" t="s">
        <v>49</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39"/>
      <c r="S34" s="3316">
        <f>ROUND(SUM(S32-S33),3)</f>
        <v>0</v>
      </c>
      <c r="T34" s="1399"/>
      <c r="U34" s="1077">
        <f>ROUND(IF(P34=0,0,S34/ABS(P34)),3)</f>
        <v>0</v>
      </c>
      <c r="V34" s="823"/>
    </row>
    <row r="35" spans="1:245">
      <c r="A35" s="102"/>
      <c r="B35" s="1040"/>
      <c r="C35" s="893"/>
      <c r="D35" s="1040"/>
      <c r="E35" s="893"/>
      <c r="F35" s="1022"/>
      <c r="G35" s="893"/>
      <c r="H35" s="1024"/>
      <c r="I35" s="1022"/>
      <c r="J35" s="1023"/>
      <c r="K35" s="893"/>
      <c r="L35" s="1041"/>
      <c r="M35" s="1022"/>
      <c r="N35" s="1022"/>
      <c r="O35" s="893"/>
      <c r="P35" s="1022"/>
      <c r="R35" s="1009"/>
      <c r="S35" s="1046"/>
      <c r="T35" s="1006"/>
      <c r="U35" s="823"/>
      <c r="V35" s="823"/>
    </row>
    <row r="36" spans="1:245" ht="15.75" customHeight="1">
      <c r="A36" s="102" t="s">
        <v>44</v>
      </c>
      <c r="B36" s="893"/>
      <c r="C36" s="893"/>
      <c r="D36" s="893"/>
      <c r="E36" s="893"/>
      <c r="F36" s="893"/>
      <c r="G36" s="893"/>
      <c r="H36" s="1024"/>
      <c r="I36" s="1022"/>
      <c r="J36" s="1023"/>
      <c r="K36" s="893"/>
      <c r="L36" s="1024"/>
      <c r="M36" s="1022"/>
      <c r="N36" s="1022"/>
      <c r="O36" s="893"/>
      <c r="P36" s="1022"/>
      <c r="R36" s="1009"/>
      <c r="S36" s="1046"/>
      <c r="T36" s="1006"/>
      <c r="U36" s="823"/>
      <c r="V36" s="823"/>
    </row>
    <row r="37" spans="1:245" ht="15.75" customHeight="1">
      <c r="A37" s="102" t="s">
        <v>73</v>
      </c>
      <c r="B37" s="893"/>
      <c r="C37" s="893"/>
      <c r="D37" s="893"/>
      <c r="E37" s="893"/>
      <c r="F37" s="893"/>
      <c r="G37" s="893"/>
      <c r="H37" s="1024"/>
      <c r="I37" s="1022"/>
      <c r="J37" s="1023"/>
      <c r="K37" s="893"/>
      <c r="L37" s="1024"/>
      <c r="M37" s="1022"/>
      <c r="N37" s="1022"/>
      <c r="O37" s="893"/>
      <c r="P37" s="1022"/>
      <c r="R37" s="1009"/>
      <c r="S37" s="1046"/>
      <c r="T37" s="1006"/>
      <c r="U37" s="823"/>
      <c r="V37" s="823"/>
    </row>
    <row r="38" spans="1:245" ht="15.75" customHeight="1">
      <c r="A38" s="102" t="s">
        <v>74</v>
      </c>
      <c r="B38" s="893"/>
      <c r="C38" s="893"/>
      <c r="D38" s="893"/>
      <c r="E38" s="893"/>
      <c r="F38" s="1042"/>
      <c r="G38" s="893"/>
      <c r="H38" s="1024"/>
      <c r="I38" s="1022"/>
      <c r="J38" s="1023"/>
      <c r="K38" s="893"/>
      <c r="L38" s="1024"/>
      <c r="M38" s="1022"/>
      <c r="N38" s="1022"/>
      <c r="O38" s="893"/>
      <c r="P38" s="1022"/>
      <c r="R38" s="1009"/>
      <c r="S38" s="1046"/>
      <c r="T38" s="1006"/>
      <c r="U38" s="823"/>
      <c r="V38" s="823"/>
    </row>
    <row r="39" spans="1:245" ht="15.75" customHeight="1">
      <c r="A39" s="102" t="s">
        <v>75</v>
      </c>
      <c r="B39" s="125">
        <f>ROUND(SUM(B29+B34),1)</f>
        <v>1.3</v>
      </c>
      <c r="C39" s="109"/>
      <c r="D39" s="125">
        <f>ROUND(SUM(D29+D34),1)</f>
        <v>-1.8</v>
      </c>
      <c r="E39" s="109"/>
      <c r="F39" s="125">
        <f>ROUND(SUM(F29+F34),1)</f>
        <v>0.1</v>
      </c>
      <c r="G39" s="109"/>
      <c r="H39" s="126">
        <f>ROUND(SUM(H29+H34),1)</f>
        <v>-0.1</v>
      </c>
      <c r="I39" s="112"/>
      <c r="J39" s="127">
        <f>ROUND(SUM(J29+J34),1)</f>
        <v>1.4</v>
      </c>
      <c r="K39" s="109"/>
      <c r="L39" s="126">
        <f>ROUND(SUM(L29+L34),1)</f>
        <v>-1.9</v>
      </c>
      <c r="M39" s="112"/>
      <c r="N39" s="125">
        <f>ROUND(SUM(N29+N34),1)</f>
        <v>3.9</v>
      </c>
      <c r="O39" s="112"/>
      <c r="P39" s="125">
        <f>ROUND(SUM(P29+P34),1)</f>
        <v>0.5</v>
      </c>
      <c r="Q39" s="740"/>
      <c r="R39" s="1009"/>
      <c r="S39" s="1460">
        <f>ROUND(SUM(L39-P39),1)</f>
        <v>-2.4</v>
      </c>
      <c r="T39" s="1006"/>
      <c r="U39" s="2124">
        <f>ROUND(IF(P39=0,1,S39/ABS(P39)),3)</f>
        <v>-4.8</v>
      </c>
      <c r="V39" s="823"/>
    </row>
    <row r="40" spans="1:245">
      <c r="A40" s="102"/>
      <c r="B40" s="893"/>
      <c r="C40" s="893"/>
      <c r="D40" s="893"/>
      <c r="E40" s="893"/>
      <c r="F40" s="893"/>
      <c r="G40" s="893"/>
      <c r="H40" s="1024"/>
      <c r="I40" s="1022"/>
      <c r="J40" s="1023"/>
      <c r="K40" s="893"/>
      <c r="L40" s="1024"/>
      <c r="M40" s="1022"/>
      <c r="N40" s="1022"/>
      <c r="O40" s="893"/>
      <c r="P40" s="1022"/>
      <c r="R40" s="1009"/>
      <c r="T40" s="1391"/>
      <c r="U40" s="918"/>
      <c r="V40" s="823"/>
    </row>
    <row r="41" spans="1:245" s="740" customFormat="1">
      <c r="A41" s="102" t="s">
        <v>52</v>
      </c>
      <c r="B41" s="128">
        <f>+'Exhibit L'!N13</f>
        <v>-4.2</v>
      </c>
      <c r="C41" s="109"/>
      <c r="D41" s="128">
        <f>+'Exhibit L'!AA13</f>
        <v>-1.1000000000000001</v>
      </c>
      <c r="E41" s="109"/>
      <c r="F41" s="128">
        <f>+'Exhibit M'!N13</f>
        <v>14.1</v>
      </c>
      <c r="G41" s="109"/>
      <c r="H41" s="129">
        <f>+'Exhibit M'!AA13</f>
        <v>14.3</v>
      </c>
      <c r="I41" s="112"/>
      <c r="J41" s="130">
        <f>ROUND(SUM(B41)+SUM(F41),1)</f>
        <v>9.9</v>
      </c>
      <c r="K41" s="109"/>
      <c r="L41" s="126">
        <f>ROUND(SUM(D41+H41),1)</f>
        <v>13.2</v>
      </c>
      <c r="M41" s="112"/>
      <c r="N41" s="117">
        <v>6.7999999999999989</v>
      </c>
      <c r="O41" s="109"/>
      <c r="P41" s="117">
        <f>'Exhibit L'!AD13+'Exhibit M'!AD13</f>
        <v>10.199999999999999</v>
      </c>
      <c r="R41" s="989"/>
      <c r="S41" s="1616">
        <f>ROUND(SUM(+L41-P41),1)</f>
        <v>3</v>
      </c>
      <c r="T41" s="89"/>
      <c r="U41" s="1382">
        <f>ROUND(IF(S41=0,0,S41/ABS(P41)),3)</f>
        <v>0.29399999999999998</v>
      </c>
      <c r="V41" s="1043"/>
    </row>
    <row r="42" spans="1:245" ht="16" thickBot="1">
      <c r="A42" s="102" t="s">
        <v>77</v>
      </c>
      <c r="B42" s="131">
        <f>ROUND(SUM(B41)+SUM(B39),1)</f>
        <v>-2.9</v>
      </c>
      <c r="C42" s="132"/>
      <c r="D42" s="131">
        <f>ROUND(SUM(D41)+SUM(D39),1)</f>
        <v>-2.9</v>
      </c>
      <c r="E42" s="132"/>
      <c r="F42" s="133">
        <f>ROUND(SUM(F41)+SUM(F39),1)</f>
        <v>14.2</v>
      </c>
      <c r="G42" s="134"/>
      <c r="H42" s="799">
        <f>ROUND(SUM(H41)+SUM(H39),1)</f>
        <v>14.2</v>
      </c>
      <c r="I42" s="800"/>
      <c r="J42" s="799">
        <f>ROUND(SUM(J41)+SUM(J39),1)</f>
        <v>11.3</v>
      </c>
      <c r="K42" s="136"/>
      <c r="L42" s="135">
        <f>ROUND(SUM(L41)+SUM(L39),1)</f>
        <v>11.3</v>
      </c>
      <c r="M42" s="136"/>
      <c r="N42" s="799">
        <f>ROUND(SUM(N41)+SUM(N39),1)</f>
        <v>10.7</v>
      </c>
      <c r="O42" s="136"/>
      <c r="P42" s="799">
        <f>ROUND(SUM(P41)+SUM(P39),1)</f>
        <v>10.7</v>
      </c>
      <c r="Q42" s="260"/>
      <c r="R42" s="1016"/>
      <c r="S42" s="3317">
        <f>ROUND(SUM(S39+S41),3)</f>
        <v>0.6</v>
      </c>
      <c r="T42" s="1194"/>
      <c r="U42" s="3546">
        <f>ROUND(S42/P42,3)</f>
        <v>5.6000000000000001E-2</v>
      </c>
      <c r="V42" s="823"/>
    </row>
    <row r="43" spans="1:245" ht="16" thickTop="1">
      <c r="A43" s="992"/>
      <c r="B43" s="1044"/>
      <c r="C43" s="1015"/>
      <c r="D43" s="1044"/>
      <c r="E43" s="1015"/>
      <c r="F43" s="1044"/>
      <c r="G43" s="1015"/>
      <c r="H43" s="1044"/>
      <c r="I43" s="1017"/>
      <c r="J43" s="1044"/>
      <c r="K43" s="1015"/>
      <c r="L43" s="1044"/>
      <c r="M43" s="1015"/>
      <c r="N43" s="1044"/>
      <c r="O43" s="1015"/>
      <c r="P43" s="1044"/>
      <c r="Q43" s="1015"/>
      <c r="R43" s="1045"/>
      <c r="S43" s="1018"/>
      <c r="T43" s="1045"/>
      <c r="U43" s="1018"/>
      <c r="V43" s="1018"/>
      <c r="W43" s="1019"/>
      <c r="X43" s="1019"/>
      <c r="Y43" s="1019"/>
      <c r="Z43" s="1019"/>
      <c r="AA43" s="1019"/>
      <c r="AB43" s="1019"/>
      <c r="AC43" s="1019"/>
      <c r="AD43" s="1019"/>
      <c r="AE43" s="1019"/>
      <c r="AF43" s="1019"/>
      <c r="AG43" s="1019"/>
      <c r="AH43" s="1019"/>
      <c r="AI43" s="1019"/>
      <c r="AJ43" s="1019"/>
      <c r="AK43" s="1019"/>
      <c r="AL43" s="1019"/>
      <c r="AM43" s="1019"/>
      <c r="AN43" s="1019"/>
      <c r="AO43" s="1019"/>
      <c r="AP43" s="1019"/>
      <c r="AQ43" s="1019"/>
      <c r="AR43" s="1019"/>
      <c r="AS43" s="1019"/>
      <c r="AT43" s="1019"/>
      <c r="AU43" s="1019"/>
      <c r="AV43" s="1019"/>
      <c r="AW43" s="1019"/>
      <c r="AX43" s="1019"/>
      <c r="AY43" s="1019"/>
      <c r="AZ43" s="1019"/>
      <c r="BA43" s="1019"/>
      <c r="BB43" s="1019"/>
      <c r="BC43" s="1019"/>
      <c r="BD43" s="1019"/>
      <c r="BE43" s="1019"/>
      <c r="BF43" s="1019"/>
      <c r="BG43" s="1019"/>
      <c r="BH43" s="1019"/>
      <c r="BI43" s="1019"/>
      <c r="BJ43" s="1019"/>
      <c r="BK43" s="1019"/>
      <c r="BL43" s="1019"/>
      <c r="BM43" s="1019"/>
      <c r="BN43" s="1019"/>
      <c r="BO43" s="1019"/>
      <c r="BP43" s="1019"/>
      <c r="BQ43" s="1019"/>
      <c r="BR43" s="1019"/>
      <c r="BS43" s="1019"/>
      <c r="BT43" s="1019"/>
      <c r="BU43" s="1019"/>
      <c r="BV43" s="1019"/>
      <c r="BW43" s="1019"/>
      <c r="BX43" s="1019"/>
      <c r="BY43" s="1019"/>
      <c r="BZ43" s="1019"/>
      <c r="CA43" s="1019"/>
      <c r="CB43" s="1019"/>
      <c r="CC43" s="1019"/>
      <c r="CD43" s="1019"/>
      <c r="CE43" s="1019"/>
      <c r="CF43" s="1019"/>
      <c r="CG43" s="1019"/>
      <c r="CH43" s="1019"/>
      <c r="CI43" s="1019"/>
      <c r="CJ43" s="1019"/>
      <c r="CK43" s="1019"/>
      <c r="CL43" s="1019"/>
      <c r="CM43" s="1019"/>
      <c r="CN43" s="1019"/>
      <c r="CO43" s="1019"/>
      <c r="CP43" s="1019"/>
      <c r="CQ43" s="1019"/>
      <c r="CR43" s="1019"/>
      <c r="CS43" s="1019"/>
      <c r="CT43" s="1019"/>
      <c r="CU43" s="1019"/>
      <c r="CV43" s="1019"/>
      <c r="CW43" s="1019"/>
      <c r="CX43" s="1019"/>
      <c r="CY43" s="1019"/>
      <c r="CZ43" s="1019"/>
      <c r="DA43" s="1019"/>
      <c r="DB43" s="1019"/>
      <c r="DC43" s="1019"/>
      <c r="DD43" s="1019"/>
      <c r="DE43" s="1019"/>
      <c r="DF43" s="1019"/>
      <c r="DG43" s="1019"/>
      <c r="DH43" s="1019"/>
      <c r="DI43" s="1019"/>
      <c r="DJ43" s="1019"/>
      <c r="DK43" s="1019"/>
      <c r="DL43" s="1019"/>
      <c r="DM43" s="1019"/>
      <c r="DN43" s="1019"/>
      <c r="DO43" s="1019"/>
      <c r="DP43" s="1019"/>
      <c r="DQ43" s="1019"/>
      <c r="DR43" s="1019"/>
      <c r="DS43" s="1019"/>
      <c r="DT43" s="1019"/>
      <c r="DU43" s="1019"/>
      <c r="DV43" s="1019"/>
      <c r="DW43" s="1019"/>
      <c r="DX43" s="1019"/>
      <c r="DY43" s="1019"/>
      <c r="DZ43" s="1019"/>
      <c r="EA43" s="1019"/>
      <c r="EB43" s="1019"/>
      <c r="EC43" s="1019"/>
      <c r="ED43" s="1019"/>
      <c r="EE43" s="1019"/>
      <c r="EF43" s="1019"/>
      <c r="EG43" s="1019"/>
      <c r="EH43" s="1019"/>
      <c r="EI43" s="1019"/>
      <c r="EJ43" s="1019"/>
      <c r="EK43" s="1019"/>
      <c r="EL43" s="1019"/>
      <c r="EM43" s="1019"/>
      <c r="EN43" s="1019"/>
      <c r="EO43" s="1019"/>
      <c r="EP43" s="1019"/>
      <c r="EQ43" s="1019"/>
      <c r="ER43" s="1019"/>
      <c r="ES43" s="1019"/>
      <c r="ET43" s="1019"/>
      <c r="EU43" s="1019"/>
      <c r="EV43" s="1019"/>
      <c r="EW43" s="1019"/>
      <c r="EX43" s="1019"/>
      <c r="EY43" s="1019"/>
      <c r="EZ43" s="1019"/>
      <c r="FA43" s="1019"/>
      <c r="FB43" s="1019"/>
      <c r="FC43" s="1019"/>
      <c r="FD43" s="1019"/>
      <c r="FE43" s="1019"/>
      <c r="FF43" s="1019"/>
      <c r="FG43" s="1019"/>
      <c r="FH43" s="1019"/>
      <c r="FI43" s="1019"/>
      <c r="FJ43" s="1019"/>
      <c r="FK43" s="1019"/>
      <c r="FL43" s="1019"/>
      <c r="FM43" s="1019"/>
      <c r="FN43" s="1019"/>
      <c r="FO43" s="1019"/>
      <c r="FP43" s="1019"/>
      <c r="FQ43" s="1019"/>
      <c r="FR43" s="1019"/>
      <c r="FS43" s="1019"/>
      <c r="FT43" s="1019"/>
      <c r="FU43" s="1019"/>
      <c r="FV43" s="1019"/>
      <c r="FW43" s="1019"/>
      <c r="FX43" s="1019"/>
      <c r="FY43" s="1019"/>
      <c r="FZ43" s="1019"/>
      <c r="GA43" s="1019"/>
      <c r="GB43" s="1019"/>
      <c r="GC43" s="1019"/>
      <c r="GD43" s="1019"/>
      <c r="GE43" s="1019"/>
      <c r="GF43" s="1019"/>
      <c r="GG43" s="1019"/>
      <c r="GH43" s="1019"/>
      <c r="GI43" s="1019"/>
      <c r="GJ43" s="1019"/>
      <c r="GK43" s="1019"/>
      <c r="GL43" s="1019"/>
      <c r="GM43" s="1019"/>
      <c r="GN43" s="1019"/>
      <c r="GO43" s="1019"/>
      <c r="GP43" s="1019"/>
      <c r="GQ43" s="1019"/>
      <c r="GR43" s="1019"/>
      <c r="GS43" s="1019"/>
      <c r="GT43" s="1019"/>
      <c r="GU43" s="1019"/>
      <c r="GV43" s="1019"/>
      <c r="GW43" s="1019"/>
      <c r="GX43" s="1019"/>
      <c r="GY43" s="1019"/>
      <c r="GZ43" s="1019"/>
      <c r="HA43" s="1019"/>
      <c r="HB43" s="1019"/>
      <c r="HC43" s="1019"/>
      <c r="HD43" s="1019"/>
      <c r="HE43" s="1019"/>
      <c r="HF43" s="1019"/>
      <c r="HG43" s="1019"/>
      <c r="HH43" s="1019"/>
      <c r="HI43" s="1019"/>
      <c r="HJ43" s="1019"/>
      <c r="HK43" s="1019"/>
      <c r="HL43" s="1019"/>
      <c r="HM43" s="1019"/>
      <c r="HN43" s="1019"/>
      <c r="HO43" s="1019"/>
      <c r="HP43" s="1019"/>
      <c r="HQ43" s="1019"/>
      <c r="HR43" s="1019"/>
      <c r="HS43" s="1019"/>
      <c r="HT43" s="1019"/>
      <c r="HU43" s="1019"/>
      <c r="HV43" s="1019"/>
      <c r="HW43" s="1019"/>
      <c r="HX43" s="1019"/>
      <c r="HY43" s="1019"/>
      <c r="HZ43" s="1019"/>
      <c r="IA43" s="1019"/>
      <c r="IB43" s="1019"/>
      <c r="IC43" s="1019"/>
      <c r="ID43" s="1019"/>
      <c r="IE43" s="1019"/>
      <c r="IF43" s="1019"/>
      <c r="IG43" s="1019"/>
      <c r="IH43" s="1019"/>
      <c r="II43" s="1019"/>
      <c r="IJ43" s="1019"/>
      <c r="IK43" s="1019"/>
    </row>
    <row r="44" spans="1:245">
      <c r="A44" s="992"/>
      <c r="B44" s="992"/>
      <c r="C44" s="992"/>
      <c r="D44" s="992"/>
      <c r="E44" s="992"/>
      <c r="F44" s="991"/>
      <c r="G44" s="992"/>
      <c r="H44" s="992"/>
      <c r="I44" s="992"/>
      <c r="J44" s="992"/>
      <c r="K44" s="992"/>
      <c r="L44" s="992"/>
      <c r="M44" s="992"/>
      <c r="N44" s="992"/>
      <c r="O44" s="992"/>
      <c r="P44" s="992"/>
      <c r="Q44" s="992"/>
      <c r="R44" s="993"/>
      <c r="S44" s="1349"/>
      <c r="T44" s="993"/>
      <c r="U44" s="823"/>
      <c r="V44" s="823"/>
    </row>
    <row r="45" spans="1:245">
      <c r="A45" s="992"/>
      <c r="B45" s="992"/>
      <c r="C45" s="992"/>
      <c r="D45" s="992"/>
      <c r="E45" s="992"/>
      <c r="F45" s="991" t="s">
        <v>15</v>
      </c>
      <c r="G45" s="992"/>
      <c r="H45" s="992"/>
      <c r="I45" s="992"/>
      <c r="J45" s="992"/>
      <c r="K45" s="992"/>
      <c r="L45" s="992"/>
      <c r="N45" s="992"/>
      <c r="O45" s="992"/>
      <c r="P45" s="992"/>
      <c r="Q45" s="992"/>
      <c r="R45" s="993"/>
      <c r="S45" s="823"/>
      <c r="T45" s="993"/>
      <c r="U45" s="823"/>
      <c r="V45" s="823"/>
    </row>
    <row r="46" spans="1:245">
      <c r="A46" s="889"/>
      <c r="B46" s="992"/>
      <c r="C46" s="992"/>
      <c r="D46" s="992"/>
      <c r="E46" s="992"/>
      <c r="F46" s="992"/>
      <c r="G46" s="992"/>
      <c r="H46" s="992"/>
      <c r="I46" s="992"/>
      <c r="J46" s="992"/>
      <c r="K46" s="992"/>
      <c r="L46" s="992"/>
      <c r="M46" s="992"/>
      <c r="N46" s="992"/>
      <c r="O46" s="992"/>
      <c r="P46" s="992"/>
      <c r="Q46" s="992"/>
      <c r="R46" s="993"/>
      <c r="S46" s="823"/>
      <c r="T46" s="993"/>
      <c r="U46" s="823"/>
      <c r="V46" s="823"/>
    </row>
    <row r="47" spans="1:245">
      <c r="A47" s="992"/>
      <c r="B47" s="992"/>
      <c r="C47" s="992"/>
      <c r="D47" s="992"/>
      <c r="E47" s="992"/>
      <c r="F47" s="992"/>
      <c r="G47" s="992"/>
      <c r="H47" s="992"/>
      <c r="I47" s="992"/>
      <c r="J47" s="992"/>
      <c r="K47" s="992"/>
      <c r="L47" s="992"/>
      <c r="M47" s="992"/>
      <c r="N47" s="992"/>
      <c r="O47" s="992"/>
      <c r="P47" s="992"/>
      <c r="Q47" s="992"/>
      <c r="R47" s="993"/>
      <c r="S47" s="823"/>
      <c r="T47" s="993"/>
      <c r="U47" s="823"/>
      <c r="V47" s="823"/>
    </row>
    <row r="48" spans="1:245">
      <c r="A48" s="992"/>
      <c r="B48" s="992"/>
      <c r="C48" s="992"/>
      <c r="D48" s="992"/>
      <c r="E48" s="992"/>
      <c r="F48" s="992"/>
      <c r="G48" s="992"/>
      <c r="H48" s="992"/>
      <c r="I48" s="992"/>
      <c r="J48" s="992"/>
      <c r="K48" s="992"/>
      <c r="L48" s="992"/>
      <c r="M48" s="992"/>
      <c r="N48" s="992"/>
      <c r="O48" s="992"/>
      <c r="P48" s="992"/>
      <c r="Q48" s="992"/>
      <c r="R48" s="993"/>
      <c r="S48" s="823"/>
      <c r="T48" s="993"/>
      <c r="U48" s="823"/>
      <c r="V48" s="823"/>
    </row>
    <row r="49" spans="1:22">
      <c r="A49" s="992"/>
      <c r="B49" s="992"/>
      <c r="C49" s="992"/>
      <c r="D49" s="992"/>
      <c r="E49" s="992"/>
      <c r="F49" s="992"/>
      <c r="G49" s="992"/>
      <c r="H49" s="992"/>
      <c r="I49" s="992"/>
      <c r="J49" s="992"/>
      <c r="K49" s="992"/>
      <c r="L49" s="992"/>
      <c r="M49" s="992"/>
      <c r="N49" s="992"/>
      <c r="O49" s="992"/>
      <c r="P49" s="992"/>
      <c r="Q49" s="992"/>
      <c r="R49" s="993"/>
      <c r="S49" s="823"/>
      <c r="T49" s="993"/>
      <c r="U49" s="823"/>
      <c r="V49" s="823"/>
    </row>
    <row r="50" spans="1:22">
      <c r="A50" s="992"/>
      <c r="B50" s="992"/>
      <c r="C50" s="992"/>
      <c r="D50" s="992"/>
      <c r="E50" s="992"/>
      <c r="F50" s="992"/>
      <c r="G50" s="992"/>
      <c r="H50" s="992"/>
      <c r="I50" s="992"/>
      <c r="J50" s="992"/>
      <c r="K50" s="992"/>
      <c r="L50" s="992"/>
      <c r="M50" s="992"/>
      <c r="N50" s="992"/>
      <c r="O50" s="992"/>
      <c r="P50" s="992"/>
      <c r="Q50" s="992"/>
      <c r="R50" s="993"/>
      <c r="S50" s="823"/>
      <c r="T50" s="993"/>
      <c r="U50" s="823"/>
      <c r="V50" s="823"/>
    </row>
    <row r="51" spans="1:22">
      <c r="A51" s="992"/>
      <c r="B51" s="992"/>
      <c r="C51" s="992"/>
      <c r="D51" s="992"/>
      <c r="E51" s="992"/>
      <c r="F51" s="992"/>
      <c r="G51" s="992"/>
      <c r="H51" s="992"/>
      <c r="I51" s="992"/>
      <c r="J51" s="992"/>
      <c r="K51" s="992"/>
      <c r="L51" s="992"/>
      <c r="M51" s="992"/>
      <c r="N51" s="992"/>
      <c r="O51" s="992"/>
      <c r="P51" s="992"/>
      <c r="Q51" s="992"/>
      <c r="R51" s="993"/>
      <c r="S51" s="823"/>
      <c r="T51" s="993"/>
      <c r="U51" s="823"/>
      <c r="V51" s="823"/>
    </row>
    <row r="52" spans="1:22">
      <c r="A52" s="992"/>
      <c r="B52" s="992"/>
      <c r="C52" s="992"/>
      <c r="D52" s="992"/>
      <c r="E52" s="992"/>
      <c r="F52" s="992"/>
      <c r="G52" s="992"/>
      <c r="H52" s="992"/>
      <c r="I52" s="992"/>
      <c r="J52" s="992"/>
      <c r="K52" s="992"/>
      <c r="L52" s="992"/>
      <c r="M52" s="992"/>
      <c r="N52" s="992"/>
      <c r="O52" s="992"/>
      <c r="P52" s="992"/>
      <c r="Q52" s="992"/>
      <c r="R52" s="993"/>
      <c r="S52" s="823"/>
      <c r="T52" s="993"/>
      <c r="U52" s="823"/>
      <c r="V52" s="823"/>
    </row>
    <row r="53" spans="1:22">
      <c r="A53" s="992"/>
      <c r="B53" s="992"/>
      <c r="C53" s="992"/>
      <c r="D53" s="992"/>
      <c r="E53" s="992"/>
      <c r="F53" s="992"/>
      <c r="G53" s="992"/>
      <c r="H53" s="992"/>
      <c r="I53" s="992"/>
      <c r="J53" s="992"/>
      <c r="K53" s="992"/>
      <c r="L53" s="992"/>
      <c r="M53" s="992"/>
      <c r="N53" s="992"/>
      <c r="O53" s="992"/>
      <c r="P53" s="992"/>
      <c r="Q53" s="992"/>
      <c r="R53" s="993"/>
      <c r="S53" s="823"/>
      <c r="T53" s="993"/>
      <c r="U53" s="823"/>
      <c r="V53" s="823"/>
    </row>
    <row r="54" spans="1:22">
      <c r="A54" s="992"/>
      <c r="B54" s="992"/>
      <c r="C54" s="992"/>
      <c r="D54" s="992"/>
      <c r="E54" s="992"/>
      <c r="F54" s="992"/>
      <c r="G54" s="992"/>
      <c r="H54" s="992"/>
      <c r="I54" s="992"/>
      <c r="J54" s="992"/>
      <c r="K54" s="992"/>
      <c r="L54" s="992"/>
      <c r="M54" s="992"/>
      <c r="N54" s="992"/>
      <c r="O54" s="992"/>
      <c r="P54" s="992"/>
      <c r="Q54" s="992"/>
      <c r="R54" s="993"/>
      <c r="S54" s="823"/>
      <c r="T54" s="993"/>
      <c r="U54" s="823"/>
      <c r="V54" s="823"/>
    </row>
    <row r="55" spans="1:22">
      <c r="A55" s="992"/>
      <c r="B55" s="992"/>
      <c r="C55" s="992"/>
      <c r="D55" s="992"/>
      <c r="E55" s="992"/>
      <c r="F55" s="992"/>
      <c r="G55" s="992"/>
      <c r="H55" s="992"/>
      <c r="I55" s="992"/>
      <c r="J55" s="992"/>
      <c r="K55" s="992"/>
      <c r="L55" s="992"/>
      <c r="M55" s="992"/>
      <c r="N55" s="992"/>
      <c r="O55" s="992"/>
      <c r="P55" s="992"/>
      <c r="Q55" s="992"/>
      <c r="R55" s="993"/>
      <c r="S55" s="823"/>
      <c r="T55" s="993"/>
      <c r="U55" s="823"/>
      <c r="V55" s="823"/>
    </row>
    <row r="56" spans="1:22">
      <c r="A56" s="992"/>
      <c r="B56" s="992"/>
      <c r="C56" s="992"/>
      <c r="D56" s="992"/>
      <c r="E56" s="992"/>
      <c r="F56" s="992"/>
      <c r="G56" s="992"/>
      <c r="H56" s="992"/>
      <c r="I56" s="992"/>
      <c r="J56" s="992"/>
      <c r="K56" s="992"/>
      <c r="L56" s="992"/>
      <c r="M56" s="992"/>
      <c r="N56" s="992"/>
      <c r="O56" s="992"/>
      <c r="P56" s="992"/>
      <c r="Q56" s="992"/>
      <c r="R56" s="994"/>
      <c r="S56" s="992"/>
    </row>
    <row r="57" spans="1:22">
      <c r="A57" s="992"/>
      <c r="B57" s="992"/>
      <c r="C57" s="992"/>
      <c r="D57" s="992"/>
      <c r="E57" s="992"/>
      <c r="F57" s="992"/>
      <c r="G57" s="992"/>
      <c r="H57" s="992"/>
      <c r="I57" s="992"/>
      <c r="J57" s="992"/>
      <c r="K57" s="992"/>
      <c r="L57" s="992"/>
      <c r="M57" s="992"/>
      <c r="N57" s="992"/>
      <c r="O57" s="992"/>
      <c r="P57" s="992"/>
      <c r="Q57" s="992"/>
      <c r="R57" s="994"/>
      <c r="S57" s="992"/>
    </row>
    <row r="58" spans="1:22">
      <c r="A58" s="992"/>
      <c r="B58" s="992"/>
      <c r="C58" s="992"/>
      <c r="D58" s="992"/>
      <c r="E58" s="992"/>
      <c r="F58" s="992"/>
      <c r="G58" s="992"/>
      <c r="H58" s="992"/>
      <c r="I58" s="992"/>
      <c r="J58" s="992"/>
      <c r="K58" s="992"/>
      <c r="L58" s="992"/>
      <c r="M58" s="992"/>
      <c r="N58" s="992"/>
      <c r="O58" s="992"/>
      <c r="P58" s="992"/>
      <c r="Q58" s="992"/>
      <c r="R58" s="994"/>
      <c r="S58" s="992"/>
    </row>
    <row r="59" spans="1:22">
      <c r="A59" s="992"/>
      <c r="B59" s="992"/>
      <c r="C59" s="992"/>
      <c r="D59" s="992"/>
      <c r="E59" s="992"/>
      <c r="F59" s="992"/>
      <c r="G59" s="992"/>
      <c r="H59" s="992"/>
      <c r="I59" s="992"/>
      <c r="J59" s="992"/>
      <c r="K59" s="992"/>
      <c r="L59" s="992"/>
      <c r="M59" s="992"/>
      <c r="N59" s="992"/>
      <c r="O59" s="992"/>
      <c r="P59" s="992"/>
      <c r="Q59" s="992"/>
      <c r="R59" s="994"/>
      <c r="S59" s="992"/>
    </row>
    <row r="60" spans="1:22">
      <c r="A60" s="992"/>
      <c r="B60" s="992"/>
      <c r="C60" s="992"/>
      <c r="D60" s="992"/>
      <c r="E60" s="992"/>
      <c r="F60" s="992"/>
      <c r="G60" s="992"/>
      <c r="H60" s="992"/>
      <c r="I60" s="992"/>
      <c r="J60" s="992"/>
      <c r="K60" s="992"/>
      <c r="L60" s="992"/>
      <c r="M60" s="992"/>
      <c r="N60" s="992"/>
      <c r="O60" s="992"/>
      <c r="P60" s="992"/>
      <c r="Q60" s="992"/>
      <c r="R60" s="994"/>
      <c r="S60" s="992"/>
    </row>
    <row r="61" spans="1:22">
      <c r="A61" s="992"/>
      <c r="B61" s="992"/>
      <c r="C61" s="992"/>
      <c r="D61" s="992"/>
      <c r="E61" s="992"/>
      <c r="F61" s="992"/>
      <c r="G61" s="992"/>
      <c r="H61" s="992"/>
      <c r="I61" s="992"/>
      <c r="J61" s="992"/>
      <c r="K61" s="992"/>
      <c r="L61" s="992"/>
      <c r="M61" s="992"/>
      <c r="N61" s="992"/>
      <c r="O61" s="992"/>
      <c r="P61" s="992"/>
      <c r="Q61" s="992"/>
      <c r="R61" s="994"/>
      <c r="S61" s="992"/>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69140625" defaultRowHeight="15.5"/>
  <cols>
    <col min="1" max="1" width="45.69140625" style="98" customWidth="1"/>
    <col min="2" max="2" width="2.4609375" style="98" customWidth="1"/>
    <col min="3" max="3" width="15.07421875" style="98" customWidth="1"/>
    <col min="4" max="4" width="1.69140625" style="98" customWidth="1"/>
    <col min="5" max="5" width="15.07421875" style="98" customWidth="1"/>
    <col min="6" max="6" width="2.69140625" style="98" customWidth="1"/>
    <col min="7" max="7" width="15.07421875" style="98" customWidth="1"/>
    <col min="8" max="8" width="2" style="98" customWidth="1"/>
    <col min="9" max="9" width="14.69140625" style="98" customWidth="1"/>
    <col min="10" max="10" width="2.07421875" style="98" customWidth="1"/>
    <col min="11" max="11" width="14.07421875" style="98" customWidth="1"/>
    <col min="12" max="12" width="8.69140625" style="98"/>
    <col min="13" max="13" width="10.07421875" style="98" bestFit="1" customWidth="1"/>
    <col min="14" max="16384" width="8.69140625" style="98"/>
  </cols>
  <sheetData>
    <row r="1" spans="1:11">
      <c r="A1" s="921" t="s">
        <v>963</v>
      </c>
    </row>
    <row r="2" spans="1:11">
      <c r="A2" s="824"/>
    </row>
    <row r="3" spans="1:11" ht="17.25" customHeight="1">
      <c r="A3" s="138" t="s">
        <v>0</v>
      </c>
      <c r="B3" s="139"/>
      <c r="C3" s="139"/>
      <c r="D3" s="140"/>
      <c r="E3" s="139"/>
      <c r="F3" s="140"/>
      <c r="G3" s="140"/>
      <c r="H3" s="140"/>
      <c r="I3" s="140"/>
      <c r="J3" s="140"/>
      <c r="K3" s="141" t="s">
        <v>83</v>
      </c>
    </row>
    <row r="4" spans="1:11" ht="17.25" customHeight="1">
      <c r="A4" s="138" t="s">
        <v>82</v>
      </c>
      <c r="B4" s="139"/>
      <c r="C4" s="139"/>
      <c r="D4" s="140"/>
      <c r="E4" s="139"/>
      <c r="F4" s="140"/>
      <c r="G4" s="140"/>
      <c r="H4" s="140"/>
      <c r="I4" s="141"/>
      <c r="J4" s="142"/>
    </row>
    <row r="5" spans="1:11" ht="17.25" customHeight="1">
      <c r="A5" s="3920" t="s">
        <v>1468</v>
      </c>
      <c r="B5" s="3921"/>
      <c r="C5" s="3921"/>
      <c r="D5" s="3921"/>
      <c r="E5" s="3921"/>
      <c r="F5" s="140"/>
      <c r="G5" s="143"/>
      <c r="H5" s="140"/>
      <c r="I5" s="140"/>
      <c r="J5" s="140"/>
      <c r="K5" s="140"/>
    </row>
    <row r="6" spans="1:11" ht="17.25" customHeight="1">
      <c r="A6" s="819" t="s">
        <v>1543</v>
      </c>
      <c r="B6" s="144"/>
      <c r="C6" s="145"/>
      <c r="D6" s="140"/>
      <c r="E6" s="145"/>
      <c r="F6" s="140"/>
      <c r="G6" s="140"/>
      <c r="H6" s="140"/>
      <c r="I6" s="140"/>
      <c r="J6" s="140"/>
      <c r="K6" s="140"/>
    </row>
    <row r="7" spans="1:11" ht="18">
      <c r="A7" s="188" t="s">
        <v>1366</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31"/>
      <c r="B11" s="148"/>
      <c r="C11" s="3922" t="s">
        <v>1126</v>
      </c>
      <c r="D11" s="3922"/>
      <c r="E11" s="3922"/>
      <c r="F11" s="3922"/>
      <c r="G11" s="3922"/>
      <c r="H11" s="3922"/>
      <c r="I11" s="3922"/>
      <c r="J11" s="1170"/>
      <c r="K11" s="1171"/>
    </row>
    <row r="12" spans="1:11">
      <c r="A12" s="31"/>
      <c r="B12" s="148"/>
      <c r="C12" s="149"/>
      <c r="D12" s="149"/>
      <c r="E12" s="149"/>
      <c r="F12" s="149"/>
      <c r="G12" s="149"/>
      <c r="H12" s="149"/>
      <c r="I12" s="150" t="s">
        <v>84</v>
      </c>
      <c r="J12" s="150"/>
      <c r="K12" s="150" t="s">
        <v>84</v>
      </c>
    </row>
    <row r="13" spans="1:11">
      <c r="A13" s="31"/>
      <c r="B13" s="148"/>
      <c r="C13" s="149"/>
      <c r="D13" s="149"/>
      <c r="E13" s="149"/>
      <c r="F13" s="149"/>
      <c r="G13" s="149"/>
      <c r="H13" s="149"/>
      <c r="I13" s="150" t="s">
        <v>874</v>
      </c>
      <c r="J13" s="150"/>
      <c r="K13" s="150" t="s">
        <v>874</v>
      </c>
    </row>
    <row r="14" spans="1:11">
      <c r="A14" s="31"/>
      <c r="B14" s="148"/>
      <c r="C14" s="151" t="s">
        <v>1075</v>
      </c>
      <c r="D14" s="149"/>
      <c r="E14" s="150" t="s">
        <v>1076</v>
      </c>
      <c r="F14" s="149"/>
      <c r="G14" s="149"/>
      <c r="H14" s="149"/>
      <c r="I14" s="150" t="s">
        <v>85</v>
      </c>
      <c r="J14" s="150"/>
      <c r="K14" s="150" t="s">
        <v>85</v>
      </c>
    </row>
    <row r="15" spans="1:11">
      <c r="A15" s="31"/>
      <c r="B15" s="148"/>
      <c r="C15" s="150" t="s">
        <v>1112</v>
      </c>
      <c r="D15" s="149"/>
      <c r="E15" s="150" t="s">
        <v>1112</v>
      </c>
      <c r="F15" s="149"/>
      <c r="G15" s="149"/>
      <c r="H15" s="149"/>
      <c r="I15" s="150" t="s">
        <v>1075</v>
      </c>
      <c r="J15" s="150"/>
      <c r="K15" s="150" t="s">
        <v>1076</v>
      </c>
    </row>
    <row r="16" spans="1:11">
      <c r="A16" s="31"/>
      <c r="B16" s="148"/>
      <c r="C16" s="150" t="s">
        <v>1113</v>
      </c>
      <c r="D16" s="149"/>
      <c r="E16" s="150" t="s">
        <v>1510</v>
      </c>
      <c r="F16" s="149"/>
      <c r="G16" s="151" t="s">
        <v>84</v>
      </c>
      <c r="H16" s="149"/>
      <c r="I16" s="150" t="s">
        <v>86</v>
      </c>
      <c r="J16" s="150"/>
      <c r="K16" s="150" t="s">
        <v>86</v>
      </c>
    </row>
    <row r="17" spans="1:13">
      <c r="A17" s="152"/>
      <c r="B17" s="153"/>
      <c r="C17" s="154"/>
      <c r="D17" s="140"/>
      <c r="E17" s="154"/>
      <c r="F17" s="140"/>
      <c r="G17" s="154"/>
      <c r="H17" s="140"/>
      <c r="I17" s="154"/>
      <c r="J17" s="153"/>
      <c r="K17" s="154"/>
    </row>
    <row r="18" spans="1:13">
      <c r="A18" s="29" t="s">
        <v>14</v>
      </c>
      <c r="B18" s="155"/>
      <c r="C18" s="156"/>
      <c r="D18" s="156"/>
      <c r="E18" s="156"/>
      <c r="F18" s="156"/>
      <c r="G18" s="156"/>
      <c r="H18" s="156"/>
      <c r="I18" s="156"/>
      <c r="J18" s="156"/>
      <c r="K18" s="155"/>
    </row>
    <row r="19" spans="1:13" ht="15" customHeight="1">
      <c r="A19" s="818" t="s">
        <v>87</v>
      </c>
      <c r="B19" s="157" t="s">
        <v>15</v>
      </c>
      <c r="C19" s="158"/>
      <c r="D19" s="157"/>
      <c r="E19" s="158"/>
      <c r="F19" s="157"/>
      <c r="G19" s="96"/>
      <c r="H19" s="157"/>
      <c r="I19" s="96"/>
      <c r="J19" s="96"/>
      <c r="K19" s="51"/>
    </row>
    <row r="20" spans="1:13">
      <c r="A20" s="159" t="s">
        <v>88</v>
      </c>
      <c r="B20" s="157" t="s">
        <v>15</v>
      </c>
      <c r="C20" s="1878">
        <f>'Exh D General Fund'!C20+'Exh D Special Revenue'!C20+'Exh D Debt Service'!C20</f>
        <v>28003</v>
      </c>
      <c r="D20" s="2141"/>
      <c r="E20" s="1878">
        <f>+'Exh D General Fund'!E20+'Exh D Special Revenue'!E20+'Exh D Debt Service'!E20</f>
        <v>29745</v>
      </c>
      <c r="F20" s="160"/>
      <c r="G20" s="50">
        <f>+'Exh D General Fund'!G20+'Exh D Special Revenue'!G20+'Exh D Debt Service'!G20</f>
        <v>29390.6</v>
      </c>
      <c r="H20" s="160"/>
      <c r="I20" s="50">
        <f>ROUND(SUM(G20)-SUM(C20),1)</f>
        <v>1387.6</v>
      </c>
      <c r="J20" s="161"/>
      <c r="K20" s="969">
        <f>ROUND(SUM(G20)-SUM(E20),1)</f>
        <v>-354.4</v>
      </c>
      <c r="M20" s="1172"/>
    </row>
    <row r="21" spans="1:13">
      <c r="A21" s="818" t="s">
        <v>89</v>
      </c>
      <c r="B21" s="155" t="s">
        <v>15</v>
      </c>
      <c r="C21" s="115">
        <f>+'Exh D General Fund'!C21+'Exh D Debt Service'!C21+'Exh D Special Revenue'!C21+'Exh D Capital Projects'!C20</f>
        <v>8851</v>
      </c>
      <c r="D21" s="115"/>
      <c r="E21" s="115">
        <f>+'Exh D General Fund'!E21+'Exh D Special Revenue'!E21+'Exh D Debt Service'!E21+'Exh D Capital Projects'!E20</f>
        <v>9082</v>
      </c>
      <c r="F21" s="64"/>
      <c r="G21" s="64">
        <f>+'Exh D General Fund'!G21+'Exh D Special Revenue'!G21+'Exh D Debt Service'!G21+'Exh D Capital Projects'!G20</f>
        <v>9027.7000000000007</v>
      </c>
      <c r="H21" s="64"/>
      <c r="I21" s="64">
        <f t="shared" ref="I21:I25" si="0">ROUND(SUM(G21)-SUM(C21),1)</f>
        <v>176.7</v>
      </c>
      <c r="J21" s="161"/>
      <c r="K21" s="941">
        <f>ROUND(SUM(G21)-SUM(E21),1)</f>
        <v>-54.3</v>
      </c>
      <c r="M21" s="1172"/>
    </row>
    <row r="22" spans="1:13" ht="15" customHeight="1">
      <c r="A22" s="818" t="s">
        <v>90</v>
      </c>
      <c r="B22" s="157" t="s">
        <v>15</v>
      </c>
      <c r="C22" s="115">
        <f>+'Exh D General Fund'!C22+'Exh D Special Revenue'!C22+'Exh D Capital Projects'!C21</f>
        <v>4397</v>
      </c>
      <c r="D22" s="116"/>
      <c r="E22" s="115">
        <f>+'Exh D General Fund'!E22+'Exh D Special Revenue'!E22+'Exh D Capital Projects'!E21</f>
        <v>4305</v>
      </c>
      <c r="F22" s="75"/>
      <c r="G22" s="64">
        <f>+'Exh D General Fund'!G22+'Exh D Special Revenue'!G22+'Exh D Capital Projects'!G21</f>
        <v>4263.5</v>
      </c>
      <c r="H22" s="75"/>
      <c r="I22" s="64">
        <f t="shared" si="0"/>
        <v>-133.5</v>
      </c>
      <c r="J22" s="161"/>
      <c r="K22" s="941">
        <f t="shared" ref="K22:K25" si="1">ROUND(SUM(G22)-SUM(E22),1)</f>
        <v>-41.5</v>
      </c>
      <c r="M22" s="1172"/>
    </row>
    <row r="23" spans="1:13" ht="14.25" customHeight="1">
      <c r="A23" s="818" t="s">
        <v>91</v>
      </c>
      <c r="B23" s="155" t="s">
        <v>15</v>
      </c>
      <c r="C23" s="115">
        <f>+'Exh D General Fund'!C23+'Exh D Capital Projects'!C22+'Exh D Debt Service'!C22</f>
        <v>1151</v>
      </c>
      <c r="D23" s="115"/>
      <c r="E23" s="115">
        <f>+'Exh D General Fund'!E23+'Exh D Debt Service'!E22+'Exh D Capital Projects'!E22</f>
        <v>1140</v>
      </c>
      <c r="F23" s="64"/>
      <c r="G23" s="64">
        <f>+'Exh D General Fund'!G23+'Exh D Debt Service'!G22+'Exh D Capital Projects'!G22</f>
        <v>1158.0999999999999</v>
      </c>
      <c r="H23" s="64"/>
      <c r="I23" s="64">
        <f t="shared" si="0"/>
        <v>7.1</v>
      </c>
      <c r="J23" s="161"/>
      <c r="K23" s="941">
        <f t="shared" si="1"/>
        <v>18.100000000000001</v>
      </c>
      <c r="L23" s="1172"/>
      <c r="M23" s="1172"/>
    </row>
    <row r="24" spans="1:13">
      <c r="A24" s="818" t="s">
        <v>20</v>
      </c>
      <c r="B24" s="155" t="s">
        <v>15</v>
      </c>
      <c r="C24" s="115">
        <f>+'Exh D General Fund'!C24+'Exh D Special Revenue'!C23+'Exh D Debt Service'!C23+'Exh D Capital Projects'!C23</f>
        <v>19378</v>
      </c>
      <c r="D24" s="115"/>
      <c r="E24" s="115">
        <f>+'Exh D General Fund'!E24+'Exh D Special Revenue'!E23+'Exh D Debt Service'!E23+'Exh D Capital Projects'!E23</f>
        <v>19796</v>
      </c>
      <c r="F24" s="64"/>
      <c r="G24" s="115">
        <f>+'Exh D General Fund'!G24+'Exh D Special Revenue'!G23+'Exh D Debt Service'!G23+'Exh D Capital Projects'!G23</f>
        <v>19440.400000000001</v>
      </c>
      <c r="H24" s="64"/>
      <c r="I24" s="64">
        <f t="shared" si="0"/>
        <v>62.4</v>
      </c>
      <c r="J24" s="162"/>
      <c r="K24" s="941">
        <f t="shared" si="1"/>
        <v>-355.6</v>
      </c>
      <c r="M24" s="1172"/>
    </row>
    <row r="25" spans="1:13" ht="15" customHeight="1">
      <c r="A25" s="818" t="s">
        <v>21</v>
      </c>
      <c r="B25" s="155" t="s">
        <v>15</v>
      </c>
      <c r="C25" s="674">
        <f>+'Exh D General Fund'!C25+'Exh D Debt Service'!C24+'Exh D Special Revenue'!C24+'Exh D Capital Projects'!C24</f>
        <v>41478</v>
      </c>
      <c r="D25" s="115"/>
      <c r="E25" s="674">
        <f>+'Exh D General Fund'!E25+'Exh D Special Revenue'!E24+'Exh D Debt Service'!E24+'Exh D Capital Projects'!E24</f>
        <v>48472</v>
      </c>
      <c r="F25" s="64"/>
      <c r="G25" s="273">
        <f>+'Exh D General Fund'!G25+'Exh D Special Revenue'!G24+'Exh D Debt Service'!G24+'Exh D Capital Projects'!G24</f>
        <v>50350</v>
      </c>
      <c r="H25" s="64"/>
      <c r="I25" s="64">
        <f t="shared" si="0"/>
        <v>8872</v>
      </c>
      <c r="J25" s="162"/>
      <c r="K25" s="941">
        <f t="shared" si="1"/>
        <v>1878</v>
      </c>
      <c r="M25" s="1172"/>
    </row>
    <row r="26" spans="1:13">
      <c r="A26" s="170" t="s">
        <v>92</v>
      </c>
      <c r="B26" s="148" t="s">
        <v>15</v>
      </c>
      <c r="C26" s="1482">
        <f>ROUND(SUM(C20:C25),1)</f>
        <v>103258</v>
      </c>
      <c r="D26" s="109"/>
      <c r="E26" s="1482">
        <f>ROUND(SUM(E20:E25),1)</f>
        <v>112540</v>
      </c>
      <c r="F26" s="60"/>
      <c r="G26" s="212">
        <f>ROUND(SUM(G20:G25),1)</f>
        <v>113630.3</v>
      </c>
      <c r="H26" s="60"/>
      <c r="I26" s="212">
        <f>ROUND(SUM(I20:I25),1)</f>
        <v>10372.299999999999</v>
      </c>
      <c r="J26" s="163"/>
      <c r="K26" s="212">
        <f>ROUND(SUM(K20:K25),1)</f>
        <v>1090.3</v>
      </c>
      <c r="M26" s="1172"/>
    </row>
    <row r="27" spans="1:13">
      <c r="A27" s="31"/>
      <c r="B27" s="155" t="s">
        <v>15</v>
      </c>
      <c r="C27" s="123"/>
      <c r="D27" s="115"/>
      <c r="E27" s="123"/>
      <c r="F27" s="64"/>
      <c r="G27" s="86"/>
      <c r="H27" s="64"/>
      <c r="I27" s="86"/>
      <c r="J27" s="57"/>
      <c r="K27" s="86"/>
      <c r="M27" s="1172"/>
    </row>
    <row r="28" spans="1:13">
      <c r="A28" s="29" t="s">
        <v>23</v>
      </c>
      <c r="B28" s="155" t="s">
        <v>15</v>
      </c>
      <c r="C28" s="115"/>
      <c r="D28" s="115"/>
      <c r="E28" s="115"/>
      <c r="F28" s="64"/>
      <c r="G28" s="64"/>
      <c r="H28" s="64"/>
      <c r="I28" s="64"/>
      <c r="J28" s="162"/>
      <c r="K28" s="54"/>
      <c r="M28" s="1172"/>
    </row>
    <row r="29" spans="1:13">
      <c r="A29" s="818" t="s">
        <v>93</v>
      </c>
      <c r="B29" s="155" t="s">
        <v>15</v>
      </c>
      <c r="C29" s="674">
        <f>+'Exh D General Fund'!C34+'Exh D Special Revenue'!C29+'Exh D Capital Projects'!C30</f>
        <v>73154</v>
      </c>
      <c r="D29" s="115"/>
      <c r="E29" s="674">
        <f>+'Exh D General Fund'!E34+'Exh D Special Revenue'!E29+'Exh D Capital Projects'!E30</f>
        <v>75648</v>
      </c>
      <c r="F29" s="64"/>
      <c r="G29" s="674">
        <f>+'Exh D General Fund'!G34+'Exh D Special Revenue'!G29+'Exh D Capital Projects'!G30</f>
        <v>74820.900000000009</v>
      </c>
      <c r="H29" s="64"/>
      <c r="I29" s="64">
        <f>ROUND(SUM(G29)-SUM(C29),1)</f>
        <v>1666.9</v>
      </c>
      <c r="J29" s="162"/>
      <c r="K29" s="941">
        <f>ROUND(SUM(G29)-SUM(E29),1)</f>
        <v>-827.1</v>
      </c>
      <c r="M29" s="1172"/>
    </row>
    <row r="30" spans="1:13">
      <c r="A30" s="818" t="s">
        <v>94</v>
      </c>
      <c r="B30" s="155" t="s">
        <v>15</v>
      </c>
      <c r="C30" s="116">
        <f>+'Exh D General Fund'!C35+'Exh D Special Revenue'!C30+'Exh D Debt Service'!C29</f>
        <v>12560</v>
      </c>
      <c r="D30" s="115"/>
      <c r="E30" s="116">
        <f>+'Exh D General Fund'!E35+'Exh D Special Revenue'!E30+'Exh D Debt Service'!E29</f>
        <v>12887</v>
      </c>
      <c r="F30" s="64"/>
      <c r="G30" s="75">
        <f>+'Exh D General Fund'!G35+'Exh D Special Revenue'!G30+'Exh D Debt Service'!G29</f>
        <v>12866.5</v>
      </c>
      <c r="H30" s="64"/>
      <c r="I30" s="64">
        <f>ROUND(SUM(G30)-SUM(C30),1)</f>
        <v>306.5</v>
      </c>
      <c r="J30" s="162"/>
      <c r="K30" s="941">
        <f t="shared" ref="K30:K33" si="2">ROUND(SUM(G30)-SUM(E30),1)</f>
        <v>-20.5</v>
      </c>
      <c r="M30" s="1172"/>
    </row>
    <row r="31" spans="1:13">
      <c r="A31" s="818" t="s">
        <v>69</v>
      </c>
      <c r="B31" s="155" t="s">
        <v>15</v>
      </c>
      <c r="C31" s="674">
        <f>+'Exh D General Fund'!C36+'Exh D Special Revenue'!C31</f>
        <v>5722</v>
      </c>
      <c r="D31" s="115"/>
      <c r="E31" s="674">
        <f>+'Exh D General Fund'!E36+'Exh D Special Revenue'!E31</f>
        <v>5594</v>
      </c>
      <c r="F31" s="64"/>
      <c r="G31" s="273">
        <f>+'Exh D General Fund'!G36+'Exh D Special Revenue'!G31</f>
        <v>5565.4</v>
      </c>
      <c r="H31" s="64"/>
      <c r="I31" s="64">
        <f>ROUND(SUM(G31)-SUM(C31),1)</f>
        <v>-156.6</v>
      </c>
      <c r="J31" s="162"/>
      <c r="K31" s="941">
        <f t="shared" si="2"/>
        <v>-28.6</v>
      </c>
      <c r="M31" s="1172"/>
    </row>
    <row r="32" spans="1:13">
      <c r="A32" s="818" t="s">
        <v>95</v>
      </c>
      <c r="B32" s="155" t="s">
        <v>15</v>
      </c>
      <c r="C32" s="116">
        <f>+'Exh D Debt Service'!C30</f>
        <v>1335</v>
      </c>
      <c r="D32" s="115"/>
      <c r="E32" s="116">
        <f>+'Exh D Debt Service'!E30</f>
        <v>1319</v>
      </c>
      <c r="F32" s="64"/>
      <c r="G32" s="75">
        <f>+'Exh D Debt Service'!G30</f>
        <v>1318.8</v>
      </c>
      <c r="H32" s="64"/>
      <c r="I32" s="64">
        <f>ROUND(SUM(G32)-SUM(C32),1)</f>
        <v>-16.2</v>
      </c>
      <c r="J32" s="162"/>
      <c r="K32" s="941">
        <f t="shared" si="2"/>
        <v>-0.2</v>
      </c>
      <c r="M32" s="1172"/>
    </row>
    <row r="33" spans="1:14" ht="15" customHeight="1">
      <c r="A33" s="818" t="s">
        <v>42</v>
      </c>
      <c r="B33" s="155" t="s">
        <v>15</v>
      </c>
      <c r="C33" s="674">
        <f>+'Exh D Special Revenue'!C32+'Exh D Capital Projects'!C31</f>
        <v>5712</v>
      </c>
      <c r="D33" s="115"/>
      <c r="E33" s="674">
        <f>+'Exh D Special Revenue'!E32+'Exh D Capital Projects'!E31</f>
        <v>4221</v>
      </c>
      <c r="F33" s="64"/>
      <c r="G33" s="273">
        <f>+'Exh D Special Revenue'!G32+'Exh D Capital Projects'!G31</f>
        <v>4147</v>
      </c>
      <c r="H33" s="64"/>
      <c r="I33" s="64">
        <f>ROUND(SUM(G33)-SUM(C33),1)</f>
        <v>-1565</v>
      </c>
      <c r="J33" s="162"/>
      <c r="K33" s="941">
        <f t="shared" si="2"/>
        <v>-74</v>
      </c>
      <c r="M33" s="1172"/>
    </row>
    <row r="34" spans="1:14" ht="15.75" customHeight="1">
      <c r="A34" s="170" t="s">
        <v>96</v>
      </c>
      <c r="B34" s="148" t="s">
        <v>15</v>
      </c>
      <c r="C34" s="1094">
        <f>ROUND(SUM(C29:C33),1)</f>
        <v>98483</v>
      </c>
      <c r="D34" s="109"/>
      <c r="E34" s="1094">
        <f>ROUND(SUM(E29:E33),1)</f>
        <v>99669</v>
      </c>
      <c r="F34" s="60"/>
      <c r="G34" s="291">
        <f>ROUND(SUM(G29:G33),1)</f>
        <v>98718.6</v>
      </c>
      <c r="H34" s="60"/>
      <c r="I34" s="291">
        <f>ROUND(SUM(I29:I33),1)</f>
        <v>235.6</v>
      </c>
      <c r="J34" s="163"/>
      <c r="K34" s="291">
        <f>ROUND(SUM(K29:K33),1)</f>
        <v>-950.4</v>
      </c>
      <c r="M34" s="1172"/>
    </row>
    <row r="35" spans="1:14">
      <c r="A35" s="31"/>
      <c r="B35" s="155"/>
      <c r="C35" s="115"/>
      <c r="D35" s="115"/>
      <c r="E35" s="115"/>
      <c r="F35" s="64"/>
      <c r="G35" s="64"/>
      <c r="H35" s="64"/>
      <c r="I35" s="64"/>
      <c r="J35" s="162"/>
      <c r="K35" s="54"/>
      <c r="M35" s="1172"/>
    </row>
    <row r="36" spans="1:14">
      <c r="A36" s="170" t="s">
        <v>44</v>
      </c>
      <c r="B36" s="155"/>
      <c r="C36" s="115"/>
      <c r="D36" s="115"/>
      <c r="E36" s="115"/>
      <c r="F36" s="64"/>
      <c r="G36" s="64"/>
      <c r="H36" s="64"/>
      <c r="I36" s="64"/>
      <c r="J36" s="162"/>
      <c r="K36" s="54"/>
      <c r="M36" s="1172"/>
    </row>
    <row r="37" spans="1:14">
      <c r="A37" s="170" t="s">
        <v>45</v>
      </c>
      <c r="B37" s="155" t="s">
        <v>15</v>
      </c>
      <c r="C37" s="110">
        <f>ROUND(SUM(+C26-C34),1)</f>
        <v>4775</v>
      </c>
      <c r="D37" s="115"/>
      <c r="E37" s="110">
        <f>ROUND(SUM(+E26-E34),1)</f>
        <v>12871</v>
      </c>
      <c r="F37" s="64"/>
      <c r="G37" s="72">
        <f>ROUND(SUM(+G26-G34),1)</f>
        <v>14911.7</v>
      </c>
      <c r="H37" s="64"/>
      <c r="I37" s="72">
        <f>ROUND(SUM(+I26-I34),1)</f>
        <v>10136.700000000001</v>
      </c>
      <c r="J37" s="57"/>
      <c r="K37" s="827">
        <f>ROUND(SUM(+K26-K34),1)</f>
        <v>2040.7</v>
      </c>
      <c r="M37" s="1172"/>
    </row>
    <row r="38" spans="1:14">
      <c r="A38" s="31"/>
      <c r="B38" s="155"/>
      <c r="C38" s="115"/>
      <c r="D38" s="115"/>
      <c r="E38" s="115"/>
      <c r="F38" s="64"/>
      <c r="G38" s="64"/>
      <c r="H38" s="64"/>
      <c r="I38" s="64"/>
      <c r="J38" s="162"/>
      <c r="K38" s="54"/>
      <c r="M38" s="1172"/>
    </row>
    <row r="39" spans="1:14">
      <c r="A39" s="170" t="s">
        <v>46</v>
      </c>
      <c r="B39" s="155"/>
      <c r="C39" s="115"/>
      <c r="D39" s="115"/>
      <c r="E39" s="115"/>
      <c r="F39" s="64"/>
      <c r="G39" s="64"/>
      <c r="H39" s="64"/>
      <c r="I39" s="64"/>
      <c r="J39" s="162"/>
      <c r="K39" s="54"/>
      <c r="M39" s="1172"/>
      <c r="N39" s="929" t="s">
        <v>15</v>
      </c>
    </row>
    <row r="40" spans="1:14">
      <c r="A40" s="818" t="s">
        <v>97</v>
      </c>
      <c r="B40" s="155" t="s">
        <v>15</v>
      </c>
      <c r="C40" s="1078">
        <f>'Exh D Captl Projects State Fed'!C25</f>
        <v>0</v>
      </c>
      <c r="D40" s="115"/>
      <c r="E40" s="1078">
        <f>'Exh D Captl Projects State Fed'!E25</f>
        <v>0</v>
      </c>
      <c r="F40" s="64"/>
      <c r="G40" s="274">
        <f>'Exh D Captl Projects State Fed'!G25</f>
        <v>0</v>
      </c>
      <c r="H40" s="64"/>
      <c r="I40" s="64">
        <f>ROUND(SUM(G40)-SUM(C40),1)</f>
        <v>0</v>
      </c>
      <c r="J40" s="168"/>
      <c r="K40" s="941">
        <f>ROUND(SUM(G40)-SUM(E40),1)</f>
        <v>0</v>
      </c>
      <c r="M40" s="1172"/>
    </row>
    <row r="41" spans="1:14">
      <c r="A41" s="818" t="s">
        <v>47</v>
      </c>
      <c r="B41" s="155" t="s">
        <v>15</v>
      </c>
      <c r="C41" s="116">
        <f>+'Exh D General Fund'!C27+'Exh D General Fund'!C28+'Exh D General Fund'!C29+'Exh D General Fund'!C30+'Exh D Special Revenue'!C25+'Exh D Debt Service'!C25+'Exh D Capital Projects'!C26</f>
        <v>20971</v>
      </c>
      <c r="D41" s="115"/>
      <c r="E41" s="116">
        <f>+'Exh D General Fund'!E27+'Exh D General Fund'!E28+'Exh D General Fund'!E29+'Exh D General Fund'!E30+'Exh D Special Revenue'!E25+'Exh D Debt Service'!E25+'Exh D Capital Projects'!E26</f>
        <v>21177</v>
      </c>
      <c r="F41" s="64"/>
      <c r="G41" s="75">
        <f>+'Exh D General Fund'!G27+'Exh D General Fund'!G28+'Exh D General Fund'!G29+'Exh D General Fund'!G30+'Exh D Special Revenue'!K25+'Exh D Debt Service'!G25+'Exh D Capital Projects'!K26</f>
        <v>20049.5</v>
      </c>
      <c r="H41" s="64"/>
      <c r="I41" s="64">
        <f>ROUND(SUM(G41)-SUM(C41),1)</f>
        <v>-921.5</v>
      </c>
      <c r="J41" s="162"/>
      <c r="K41" s="941">
        <f t="shared" ref="K41" si="3">ROUND(SUM(G41)-SUM(E41),1)</f>
        <v>-1127.5</v>
      </c>
      <c r="M41" s="1172"/>
    </row>
    <row r="42" spans="1:14">
      <c r="A42" s="818" t="s">
        <v>98</v>
      </c>
      <c r="B42" s="155" t="s">
        <v>15</v>
      </c>
      <c r="C42" s="2142">
        <f>-(+'Exh D General Fund'!C38+'Exh D General Fund'!C39+'Exh D General Fund'!C40+'Exh D General Fund'!C41+'Exh D General Fund'!C42+'Exh D Special Revenue'!C33+'Exh D Debt Service'!C31+'Exh D Capital Projects'!C32)</f>
        <v>-21059</v>
      </c>
      <c r="D42" s="115"/>
      <c r="E42" s="2142">
        <f>-(+'Exh D General Fund'!E38+'Exh D General Fund'!E39+'Exh D General Fund'!E40+'Exh D General Fund'!E41+'Exh D General Fund'!E42+'Exh D Special Revenue'!E33+'Exh D Debt Service'!E31+'Exh D Capital Projects'!E32)</f>
        <v>-21381</v>
      </c>
      <c r="F42" s="64"/>
      <c r="G42" s="278">
        <f>-(+'Exh D General Fund'!G38+'Exh D General Fund'!G39+'Exh D General Fund'!G40+'Exh D General Fund'!G41+'Exh D General Fund'!G42+'Exh D Special Revenue'!K33+'Exh D Debt Service'!G31+'Exh D Capital Projects'!K32)</f>
        <v>-20254.199999999997</v>
      </c>
      <c r="H42" s="64"/>
      <c r="I42" s="529">
        <f>-ROUND(SUM(G42)-SUM(C42),1)</f>
        <v>-804.8</v>
      </c>
      <c r="J42" s="57"/>
      <c r="K42" s="941">
        <f>-ROUND(SUM(G42)-SUM(E42),1)</f>
        <v>-1126.8</v>
      </c>
      <c r="M42" s="1172"/>
    </row>
    <row r="43" spans="1:14">
      <c r="A43" s="170" t="s">
        <v>99</v>
      </c>
      <c r="B43" s="155" t="s">
        <v>15</v>
      </c>
      <c r="C43" s="117">
        <f>ROUND(+SUM(C40)+C41+C42,1)</f>
        <v>-88</v>
      </c>
      <c r="D43" s="115"/>
      <c r="E43" s="117">
        <f>ROUND(+SUM(E40)+E41+E42,1)</f>
        <v>-204</v>
      </c>
      <c r="F43" s="64"/>
      <c r="G43" s="280">
        <f>ROUND(+SUM(G40)+G41+G42,1)</f>
        <v>-204.7</v>
      </c>
      <c r="H43" s="64"/>
      <c r="I43" s="280">
        <f>ROUND(SUM(I40+I41-I42),1)</f>
        <v>-116.7</v>
      </c>
      <c r="J43" s="169"/>
      <c r="K43" s="1576">
        <f>ROUND(SUM(K40+K41-K42),1)</f>
        <v>-0.7</v>
      </c>
      <c r="M43" s="1172"/>
    </row>
    <row r="44" spans="1:14">
      <c r="A44" s="170"/>
      <c r="B44" s="155"/>
      <c r="C44" s="116"/>
      <c r="D44" s="115"/>
      <c r="E44" s="116"/>
      <c r="F44" s="64"/>
      <c r="G44" s="75"/>
      <c r="H44" s="64"/>
      <c r="I44" s="75"/>
      <c r="J44" s="157"/>
      <c r="K44" s="76"/>
      <c r="M44" s="1172"/>
    </row>
    <row r="45" spans="1:14">
      <c r="A45" s="29" t="s">
        <v>100</v>
      </c>
      <c r="B45" s="155"/>
      <c r="C45" s="115"/>
      <c r="D45" s="115"/>
      <c r="E45" s="115"/>
      <c r="F45" s="64"/>
      <c r="G45" s="64"/>
      <c r="H45" s="64"/>
      <c r="I45" s="64"/>
      <c r="J45" s="162"/>
      <c r="K45" s="54"/>
      <c r="M45" s="1172"/>
    </row>
    <row r="46" spans="1:14" ht="15" customHeight="1">
      <c r="A46" s="29" t="s">
        <v>101</v>
      </c>
      <c r="B46" s="155"/>
      <c r="C46" s="115"/>
      <c r="D46" s="115"/>
      <c r="E46" s="115"/>
      <c r="F46" s="64"/>
      <c r="G46" s="64"/>
      <c r="H46" s="64"/>
      <c r="I46" s="64"/>
      <c r="J46" s="162"/>
      <c r="K46" s="54"/>
      <c r="M46" s="1172"/>
    </row>
    <row r="47" spans="1:14">
      <c r="A47" s="170" t="s">
        <v>102</v>
      </c>
      <c r="B47" s="171" t="s">
        <v>15</v>
      </c>
      <c r="C47" s="112">
        <f>ROUND(SUM(C26)-SUM(C34)+C43,1)</f>
        <v>4687</v>
      </c>
      <c r="D47" s="1103"/>
      <c r="E47" s="112">
        <f>ROUND(SUM(E26)-SUM(E34)+E43,1)</f>
        <v>12667</v>
      </c>
      <c r="F47" s="82"/>
      <c r="G47" s="74">
        <f>ROUND(SUM(G26)-SUM(G34)+G43,1)</f>
        <v>14707</v>
      </c>
      <c r="H47" s="82"/>
      <c r="I47" s="74">
        <f>ROUND(SUM(I26)-SUM(I34)+I43,1)</f>
        <v>10020</v>
      </c>
      <c r="J47" s="163"/>
      <c r="K47" s="1530">
        <f>ROUND(SUM(G47)-SUM(E47),1)</f>
        <v>2040</v>
      </c>
      <c r="M47" s="1172"/>
    </row>
    <row r="48" spans="1:14">
      <c r="A48" s="34"/>
      <c r="B48" s="173"/>
      <c r="C48" s="1792"/>
      <c r="D48" s="2143"/>
      <c r="E48" s="1792"/>
      <c r="F48" s="678"/>
      <c r="G48" s="337"/>
      <c r="H48" s="678"/>
      <c r="I48" s="337"/>
      <c r="J48" s="175"/>
      <c r="K48" s="941" t="s">
        <v>15</v>
      </c>
      <c r="M48" s="1172"/>
    </row>
    <row r="49" spans="1:13">
      <c r="A49" s="170" t="s">
        <v>103</v>
      </c>
      <c r="B49" s="176" t="s">
        <v>15</v>
      </c>
      <c r="C49" s="112">
        <f>'Exh D General Fund'!C49+'Exh D Special Revenue'!C40+'Exh D Debt Service'!C38+'Exh D Capital Projects'!C39</f>
        <v>14284</v>
      </c>
      <c r="D49" s="2143"/>
      <c r="E49" s="112">
        <f>'Exh D General Fund'!E49+'Exh D Special Revenue'!E40+'Exh D Debt Service'!E38+'Exh D Capital Projects'!E39</f>
        <v>14283</v>
      </c>
      <c r="F49" s="678"/>
      <c r="G49" s="74">
        <f>'Exh D General Fund'!G49+'Exh D Special Revenue'!G40+'Exh D Debt Service'!G38+'Exh D Capital Projects'!G39</f>
        <v>14284.8</v>
      </c>
      <c r="H49" s="678"/>
      <c r="I49" s="74">
        <f>ROUND(SUM(G49-C49),1)</f>
        <v>0.8</v>
      </c>
      <c r="J49" s="163"/>
      <c r="K49" s="1530">
        <f t="shared" ref="K49" si="4">ROUND(SUM(G49)-SUM(E49),1)</f>
        <v>1.8</v>
      </c>
      <c r="M49" s="1172"/>
    </row>
    <row r="50" spans="1:13" ht="16" thickBot="1">
      <c r="A50" s="1577" t="s">
        <v>1559</v>
      </c>
      <c r="B50" s="177" t="s">
        <v>15</v>
      </c>
      <c r="C50" s="1484">
        <f>ROUND(SUM(C47:C49),1)</f>
        <v>18971</v>
      </c>
      <c r="D50" s="2058"/>
      <c r="E50" s="1484">
        <f>ROUND(SUM(E47:E49),1)</f>
        <v>26950</v>
      </c>
      <c r="F50" s="178"/>
      <c r="G50" s="95">
        <f>ROUND(SUM(G47:G49),1)</f>
        <v>28991.8</v>
      </c>
      <c r="H50" s="178"/>
      <c r="I50" s="95">
        <f>ROUND(SUM(I47:I49),1)</f>
        <v>10020.799999999999</v>
      </c>
      <c r="J50" s="179"/>
      <c r="K50" s="95">
        <f>ROUND(SUM(K47:K49),1)</f>
        <v>2041.8</v>
      </c>
      <c r="M50" s="1172"/>
    </row>
    <row r="51" spans="1:13" ht="16" thickTop="1">
      <c r="A51" s="34"/>
      <c r="B51" s="173"/>
      <c r="C51" s="2144"/>
      <c r="D51" s="2145"/>
      <c r="E51" s="2144"/>
      <c r="F51" s="174"/>
      <c r="G51" s="174"/>
      <c r="H51" s="174"/>
      <c r="I51" s="174"/>
      <c r="J51" s="174"/>
      <c r="K51" s="173"/>
      <c r="M51" s="1172"/>
    </row>
    <row r="52" spans="1:13">
      <c r="A52" s="934" t="s">
        <v>1476</v>
      </c>
      <c r="G52" s="1172"/>
      <c r="K52" s="1195"/>
      <c r="M52" s="1172"/>
    </row>
    <row r="53" spans="1:13">
      <c r="A53" s="934" t="s">
        <v>1560</v>
      </c>
      <c r="G53" s="1172"/>
    </row>
    <row r="54" spans="1:13">
      <c r="A54" s="181"/>
    </row>
    <row r="55" spans="1:13">
      <c r="A55" s="180"/>
      <c r="G55" s="1172"/>
    </row>
    <row r="56" spans="1:13">
      <c r="A56" s="180"/>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69140625" defaultRowHeight="15.5"/>
  <cols>
    <col min="1" max="1" width="45.69140625" style="98" customWidth="1"/>
    <col min="2" max="2" width="2.4609375" style="98" customWidth="1"/>
    <col min="3" max="3" width="15.07421875" style="98" customWidth="1"/>
    <col min="4" max="4" width="1.69140625" style="98" customWidth="1"/>
    <col min="5" max="5" width="15.07421875" style="98" customWidth="1"/>
    <col min="6" max="6" width="2.69140625" style="98" customWidth="1"/>
    <col min="7" max="7" width="15.07421875" style="98" customWidth="1"/>
    <col min="8" max="8" width="5.07421875" style="98" customWidth="1"/>
    <col min="9" max="9" width="15.07421875" style="98" customWidth="1"/>
    <col min="10" max="10" width="2.07421875" style="98" customWidth="1"/>
    <col min="11" max="11" width="15.07421875" style="98" customWidth="1"/>
    <col min="12" max="16384" width="8.69140625" style="98"/>
  </cols>
  <sheetData>
    <row r="1" spans="1:11">
      <c r="A1" s="921" t="s">
        <v>963</v>
      </c>
    </row>
    <row r="2" spans="1:11">
      <c r="A2" s="824"/>
    </row>
    <row r="3" spans="1:11" ht="17.25" customHeight="1">
      <c r="A3" s="138" t="s">
        <v>0</v>
      </c>
      <c r="B3" s="139"/>
      <c r="C3" s="139"/>
      <c r="D3" s="140"/>
      <c r="E3" s="139"/>
      <c r="F3" s="140"/>
      <c r="G3" s="140"/>
      <c r="H3" s="140"/>
      <c r="I3" s="140"/>
      <c r="J3" s="140"/>
      <c r="K3" s="141" t="s">
        <v>83</v>
      </c>
    </row>
    <row r="4" spans="1:11" ht="17.25" customHeight="1">
      <c r="A4" s="138" t="s">
        <v>82</v>
      </c>
      <c r="B4" s="139"/>
      <c r="C4" s="139"/>
      <c r="D4" s="140"/>
      <c r="E4" s="139"/>
      <c r="F4" s="140"/>
      <c r="G4" s="140"/>
      <c r="H4" s="140"/>
      <c r="I4" s="141"/>
      <c r="J4" s="142"/>
      <c r="K4" s="821"/>
    </row>
    <row r="5" spans="1:11" ht="17.25" customHeight="1">
      <c r="A5" s="3923" t="str">
        <f>'Exh D-Governmental  '!A5:E5</f>
        <v>FISCAL YEAR 2020-2021</v>
      </c>
      <c r="B5" s="3924"/>
      <c r="C5" s="3924"/>
      <c r="D5" s="3924"/>
      <c r="E5" s="3924"/>
      <c r="F5" s="140"/>
      <c r="G5" s="143"/>
      <c r="H5" s="140"/>
      <c r="I5" s="821"/>
      <c r="J5" s="140"/>
    </row>
    <row r="6" spans="1:11" ht="17.25" customHeight="1">
      <c r="A6" s="1471" t="str">
        <f>'Exh D-Governmental  '!A6</f>
        <v xml:space="preserve">FOR SEVEN MONTHS ENDED OCTOBER 31, 2020    </v>
      </c>
      <c r="B6" s="144"/>
      <c r="C6" s="145"/>
      <c r="D6" s="140"/>
      <c r="E6" s="145"/>
      <c r="F6" s="140"/>
      <c r="G6" s="140"/>
      <c r="H6" s="140"/>
      <c r="I6" s="140"/>
      <c r="J6" s="140"/>
      <c r="K6" s="140"/>
    </row>
    <row r="7" spans="1:11" ht="18">
      <c r="A7" s="188" t="s">
        <v>1366</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688"/>
      <c r="B11" s="148"/>
      <c r="C11" s="3922" t="s">
        <v>1515</v>
      </c>
      <c r="D11" s="3922"/>
      <c r="E11" s="3922"/>
      <c r="F11" s="3922"/>
      <c r="G11" s="3922"/>
      <c r="H11" s="3922"/>
      <c r="I11" s="3922"/>
      <c r="J11" s="1175"/>
      <c r="K11" s="1171"/>
    </row>
    <row r="12" spans="1:11">
      <c r="A12" s="688"/>
      <c r="B12" s="148"/>
      <c r="C12" s="149"/>
      <c r="D12" s="149"/>
      <c r="E12" s="149"/>
      <c r="F12" s="149"/>
      <c r="G12" s="149"/>
      <c r="H12" s="149"/>
      <c r="I12" s="150" t="s">
        <v>84</v>
      </c>
      <c r="J12" s="150"/>
      <c r="K12" s="150" t="s">
        <v>84</v>
      </c>
    </row>
    <row r="13" spans="1:11">
      <c r="A13" s="688"/>
      <c r="B13" s="148"/>
      <c r="C13" s="149"/>
      <c r="D13" s="149"/>
      <c r="E13" s="149"/>
      <c r="F13" s="149"/>
      <c r="G13" s="149"/>
      <c r="H13" s="149"/>
      <c r="I13" s="150" t="s">
        <v>874</v>
      </c>
      <c r="J13" s="150"/>
      <c r="K13" s="150" t="s">
        <v>874</v>
      </c>
    </row>
    <row r="14" spans="1:11">
      <c r="A14" s="688"/>
      <c r="B14" s="148"/>
      <c r="C14" s="151" t="s">
        <v>1075</v>
      </c>
      <c r="D14" s="149"/>
      <c r="E14" s="150" t="s">
        <v>1076</v>
      </c>
      <c r="F14" s="149"/>
      <c r="G14" s="149"/>
      <c r="H14" s="149"/>
      <c r="I14" s="150" t="s">
        <v>85</v>
      </c>
      <c r="J14" s="150"/>
      <c r="K14" s="150" t="s">
        <v>85</v>
      </c>
    </row>
    <row r="15" spans="1:11">
      <c r="A15" s="688"/>
      <c r="B15" s="148"/>
      <c r="C15" s="196" t="s">
        <v>1112</v>
      </c>
      <c r="D15" s="195"/>
      <c r="E15" s="196" t="s">
        <v>1112</v>
      </c>
      <c r="F15" s="149"/>
      <c r="G15" s="149"/>
      <c r="H15" s="149"/>
      <c r="I15" s="150" t="s">
        <v>1075</v>
      </c>
      <c r="J15" s="150"/>
      <c r="K15" s="150" t="s">
        <v>1076</v>
      </c>
    </row>
    <row r="16" spans="1:11">
      <c r="A16" s="688"/>
      <c r="B16" s="148"/>
      <c r="C16" s="196" t="s">
        <v>1113</v>
      </c>
      <c r="D16" s="195"/>
      <c r="E16" s="150" t="s">
        <v>1510</v>
      </c>
      <c r="F16" s="149"/>
      <c r="G16" s="151" t="s">
        <v>84</v>
      </c>
      <c r="H16" s="149"/>
      <c r="I16" s="150" t="s">
        <v>86</v>
      </c>
      <c r="J16" s="150"/>
      <c r="K16" s="150" t="s">
        <v>86</v>
      </c>
    </row>
    <row r="17" spans="1:12">
      <c r="A17" s="152"/>
      <c r="B17" s="153"/>
      <c r="C17" s="1640"/>
      <c r="D17" s="145"/>
      <c r="E17" s="1640"/>
      <c r="F17" s="140"/>
      <c r="G17" s="154"/>
      <c r="H17" s="140"/>
      <c r="I17" s="154"/>
      <c r="J17" s="153"/>
      <c r="K17" s="154"/>
    </row>
    <row r="18" spans="1:12">
      <c r="A18" s="29" t="s">
        <v>14</v>
      </c>
      <c r="B18" s="922"/>
      <c r="C18" s="1641"/>
      <c r="D18" s="1641"/>
      <c r="E18" s="1641"/>
      <c r="F18" s="655"/>
      <c r="G18" s="655"/>
      <c r="H18" s="655"/>
      <c r="I18" s="922"/>
      <c r="J18" s="655"/>
      <c r="K18" s="922"/>
    </row>
    <row r="19" spans="1:12" ht="15" customHeight="1">
      <c r="A19" s="818" t="s">
        <v>87</v>
      </c>
      <c r="B19" s="923" t="s">
        <v>15</v>
      </c>
      <c r="C19" s="2146"/>
      <c r="D19" s="1935"/>
      <c r="E19" s="2146"/>
      <c r="F19" s="923"/>
      <c r="G19" s="924"/>
      <c r="H19" s="923"/>
      <c r="I19" s="1194"/>
      <c r="J19" s="924"/>
      <c r="K19" s="1194"/>
    </row>
    <row r="20" spans="1:12">
      <c r="A20" s="818" t="s">
        <v>88</v>
      </c>
      <c r="B20" s="923" t="s">
        <v>15</v>
      </c>
      <c r="C20" s="892">
        <f>'Exh D General Fund'!C20+'Exh D Special Revenue State Fed'!C20+'Exh D Debt Service'!C20</f>
        <v>28003</v>
      </c>
      <c r="D20" s="891"/>
      <c r="E20" s="892">
        <f>'Exh D General Fund'!E20+'Exh D Special Revenue State Fed'!E20+'Exh D Debt Service'!E20</f>
        <v>29745</v>
      </c>
      <c r="F20" s="658"/>
      <c r="G20" s="656">
        <f>+'Exh A Supp'!T15</f>
        <v>29390.6</v>
      </c>
      <c r="H20" s="658"/>
      <c r="I20" s="969">
        <f t="shared" ref="I20:I25" si="0">ROUND(SUM(G20)-SUM(C20),1)</f>
        <v>1387.6</v>
      </c>
      <c r="J20" s="925"/>
      <c r="K20" s="969">
        <f>ROUND(SUM(G20)-SUM(E20),1)</f>
        <v>-354.4</v>
      </c>
    </row>
    <row r="21" spans="1:12">
      <c r="A21" s="818" t="s">
        <v>89</v>
      </c>
      <c r="B21" s="922" t="s">
        <v>15</v>
      </c>
      <c r="C21" s="893">
        <f>'Exh D General Fund'!C21+'Exh D Special Revenue State Fed'!C21+'Exh D Debt Service'!C21</f>
        <v>8553</v>
      </c>
      <c r="D21" s="893"/>
      <c r="E21" s="893">
        <f>'Exh D General Fund'!E21+'Exh D Special Revenue State Fed'!E21+'Exh D Debt Service'!E21</f>
        <v>8776</v>
      </c>
      <c r="F21" s="641"/>
      <c r="G21" s="641">
        <f>+'Exh A Supp'!T16</f>
        <v>8728.5</v>
      </c>
      <c r="H21" s="641"/>
      <c r="I21" s="941">
        <f t="shared" si="0"/>
        <v>175.5</v>
      </c>
      <c r="J21" s="925"/>
      <c r="K21" s="941">
        <f>ROUND(SUM(G21)-SUM(E21),1)</f>
        <v>-47.5</v>
      </c>
    </row>
    <row r="22" spans="1:12" ht="15" customHeight="1">
      <c r="A22" s="818" t="s">
        <v>90</v>
      </c>
      <c r="B22" s="923" t="s">
        <v>15</v>
      </c>
      <c r="C22" s="893">
        <f>'Exh D General Fund'!C22+'Exh D Special Revenue State Fed'!C22</f>
        <v>4088</v>
      </c>
      <c r="D22" s="682"/>
      <c r="E22" s="893">
        <f>'Exh D General Fund'!E22+'Exh D Special Revenue State Fed'!E22</f>
        <v>3979</v>
      </c>
      <c r="F22" s="679"/>
      <c r="G22" s="641">
        <f>+'Exh A Supp'!T17</f>
        <v>3947</v>
      </c>
      <c r="H22" s="679"/>
      <c r="I22" s="941">
        <f t="shared" si="0"/>
        <v>-141</v>
      </c>
      <c r="J22" s="925"/>
      <c r="K22" s="941">
        <f>ROUND(SUM(G22)-SUM(E22),1)</f>
        <v>-32</v>
      </c>
    </row>
    <row r="23" spans="1:12" ht="14.25" customHeight="1">
      <c r="A23" s="818" t="s">
        <v>91</v>
      </c>
      <c r="B23" s="922" t="s">
        <v>15</v>
      </c>
      <c r="C23" s="893">
        <f>'Exh D General Fund'!C23+'Exh D Debt Service'!C22</f>
        <v>1091</v>
      </c>
      <c r="D23" s="893"/>
      <c r="E23" s="893">
        <f>'Exh D General Fund'!E23+'Exh D Debt Service'!E22</f>
        <v>1081</v>
      </c>
      <c r="F23" s="641"/>
      <c r="G23" s="641">
        <f>+'Exh A Supp'!T18</f>
        <v>1098.5</v>
      </c>
      <c r="H23" s="641"/>
      <c r="I23" s="941">
        <f t="shared" si="0"/>
        <v>7.5</v>
      </c>
      <c r="J23" s="925"/>
      <c r="K23" s="941">
        <f t="shared" ref="K23:K25" si="1">ROUND(SUM(G23)-SUM(E23),1)</f>
        <v>17.5</v>
      </c>
    </row>
    <row r="24" spans="1:12">
      <c r="A24" s="818" t="s">
        <v>20</v>
      </c>
      <c r="B24" s="922" t="s">
        <v>15</v>
      </c>
      <c r="C24" s="893">
        <f>'Exh D General Fund'!C24+'Exh D Special Revenue State Fed'!C23+'Exh D Debt Service'!C23</f>
        <v>15045</v>
      </c>
      <c r="D24" s="893"/>
      <c r="E24" s="893">
        <f>'Exh D General Fund'!E24+'Exh D Special Revenue State Fed'!E23+'Exh D Debt Service'!E23</f>
        <v>16056</v>
      </c>
      <c r="F24" s="641"/>
      <c r="G24" s="641">
        <f>+'Exh A Supp'!T19</f>
        <v>15686.5</v>
      </c>
      <c r="H24" s="641"/>
      <c r="I24" s="941">
        <f t="shared" si="0"/>
        <v>641.5</v>
      </c>
      <c r="J24" s="813"/>
      <c r="K24" s="941">
        <f t="shared" si="1"/>
        <v>-369.5</v>
      </c>
    </row>
    <row r="25" spans="1:12" ht="15" customHeight="1">
      <c r="A25" s="818" t="s">
        <v>21</v>
      </c>
      <c r="B25" s="922" t="s">
        <v>15</v>
      </c>
      <c r="C25" s="683">
        <f>'Exh D General Fund'!C25+'Exh D Special Revenue State Fed'!C24+'Exh D Debt Service'!C24</f>
        <v>36</v>
      </c>
      <c r="D25" s="893"/>
      <c r="E25" s="683">
        <f>'Exh D General Fund'!E25+'Exh D Special Revenue State Fed'!E24+'Exh D Debt Service'!E24</f>
        <v>61</v>
      </c>
      <c r="F25" s="641"/>
      <c r="G25" s="641">
        <f>+'Exh A Supp'!T20</f>
        <v>65.3</v>
      </c>
      <c r="H25" s="641"/>
      <c r="I25" s="941">
        <f t="shared" si="0"/>
        <v>29.3</v>
      </c>
      <c r="J25" s="813"/>
      <c r="K25" s="941">
        <f t="shared" si="1"/>
        <v>4.3</v>
      </c>
    </row>
    <row r="26" spans="1:12">
      <c r="A26" s="170" t="s">
        <v>92</v>
      </c>
      <c r="B26" s="148" t="s">
        <v>15</v>
      </c>
      <c r="C26" s="1482">
        <f>ROUND(SUM(C20:C25),1)</f>
        <v>56816</v>
      </c>
      <c r="D26" s="109"/>
      <c r="E26" s="1482">
        <f>ROUND(SUM(E20:E25),1)</f>
        <v>59698</v>
      </c>
      <c r="F26" s="920"/>
      <c r="G26" s="212">
        <f>ROUND(SUM(G20:G25),1)</f>
        <v>58916.4</v>
      </c>
      <c r="H26" s="920"/>
      <c r="I26" s="212">
        <f>ROUND(SUM(I20:I25),1)</f>
        <v>2100.4</v>
      </c>
      <c r="J26" s="163"/>
      <c r="K26" s="212">
        <f>ROUND(SUM(K20:K25),1)</f>
        <v>-781.6</v>
      </c>
      <c r="L26" s="352"/>
    </row>
    <row r="27" spans="1:12">
      <c r="A27" s="688"/>
      <c r="B27" s="922" t="s">
        <v>15</v>
      </c>
      <c r="C27" s="1040"/>
      <c r="D27" s="893"/>
      <c r="E27" s="1040"/>
      <c r="F27" s="641"/>
      <c r="G27" s="686"/>
      <c r="H27" s="641"/>
      <c r="I27" s="686"/>
      <c r="J27" s="666"/>
      <c r="K27" s="686"/>
    </row>
    <row r="28" spans="1:12">
      <c r="A28" s="29" t="s">
        <v>23</v>
      </c>
      <c r="B28" s="922" t="s">
        <v>15</v>
      </c>
      <c r="C28" s="893"/>
      <c r="D28" s="893"/>
      <c r="E28" s="893"/>
      <c r="F28" s="641"/>
      <c r="G28" s="641"/>
      <c r="H28" s="641"/>
      <c r="I28" s="941"/>
      <c r="J28" s="813"/>
      <c r="K28" s="941"/>
    </row>
    <row r="29" spans="1:12">
      <c r="A29" s="818" t="s">
        <v>93</v>
      </c>
      <c r="B29" s="922" t="s">
        <v>15</v>
      </c>
      <c r="C29" s="683">
        <f>'Exh D General Fund'!C34+'Exh D Special Revenue State Fed'!C29</f>
        <v>35096</v>
      </c>
      <c r="D29" s="893"/>
      <c r="E29" s="683">
        <f>'Exh D General Fund'!E34+'Exh D Special Revenue State Fed'!E29</f>
        <v>33105</v>
      </c>
      <c r="F29" s="641"/>
      <c r="G29" s="684">
        <f>+'Exh A Supp'!T35</f>
        <v>32983.699999999997</v>
      </c>
      <c r="H29" s="641"/>
      <c r="I29" s="941">
        <f>ROUND(SUM(G29)-SUM(C29),1)</f>
        <v>-2112.3000000000002</v>
      </c>
      <c r="J29" s="813"/>
      <c r="K29" s="941">
        <f t="shared" ref="K29:K33" si="2">ROUND(SUM(G29)-SUM(E29),1)</f>
        <v>-121.3</v>
      </c>
      <c r="L29" s="352"/>
    </row>
    <row r="30" spans="1:12">
      <c r="A30" s="818" t="s">
        <v>94</v>
      </c>
      <c r="B30" s="922" t="s">
        <v>15</v>
      </c>
      <c r="C30" s="682">
        <f>'Exh D General Fund'!C35+'Exh D Special Revenue State Fed'!C30+'Exh D Debt Service'!C29</f>
        <v>11307</v>
      </c>
      <c r="D30" s="893"/>
      <c r="E30" s="682">
        <f>'Exh D General Fund'!E35+'Exh D Special Revenue State Fed'!E30+'Exh D Debt Service'!E29</f>
        <v>10329</v>
      </c>
      <c r="F30" s="641"/>
      <c r="G30" s="679">
        <f>+'Exh A Supp'!T37+'Exh A Supp'!T38</f>
        <v>10358.700000000001</v>
      </c>
      <c r="H30" s="641"/>
      <c r="I30" s="941">
        <f>ROUND(SUM(G30)-SUM(C30),1)</f>
        <v>-948.3</v>
      </c>
      <c r="J30" s="813"/>
      <c r="K30" s="941">
        <f t="shared" si="2"/>
        <v>29.7</v>
      </c>
      <c r="L30" s="352"/>
    </row>
    <row r="31" spans="1:12">
      <c r="A31" s="818" t="s">
        <v>69</v>
      </c>
      <c r="B31" s="922" t="s">
        <v>15</v>
      </c>
      <c r="C31" s="683">
        <f>'Exh D General Fund'!C36+'Exh D Special Revenue State Fed'!C31</f>
        <v>5517</v>
      </c>
      <c r="D31" s="893"/>
      <c r="E31" s="683">
        <f>'Exh D General Fund'!E36+'Exh D Special Revenue State Fed'!E31</f>
        <v>5245</v>
      </c>
      <c r="F31" s="641"/>
      <c r="G31" s="684">
        <f>+'Exh A Supp'!T39</f>
        <v>5223.5</v>
      </c>
      <c r="H31" s="641"/>
      <c r="I31" s="941">
        <f>ROUND(SUM(G31)-SUM(C31),1)</f>
        <v>-293.5</v>
      </c>
      <c r="J31" s="813"/>
      <c r="K31" s="941">
        <f t="shared" si="2"/>
        <v>-21.5</v>
      </c>
      <c r="L31" s="352"/>
    </row>
    <row r="32" spans="1:12">
      <c r="A32" s="818" t="s">
        <v>95</v>
      </c>
      <c r="B32" s="922" t="s">
        <v>15</v>
      </c>
      <c r="C32" s="682">
        <f>'Exh D Debt Service'!C30</f>
        <v>1335</v>
      </c>
      <c r="D32" s="893"/>
      <c r="E32" s="682">
        <f>'Exh D Debt Service'!E30</f>
        <v>1319</v>
      </c>
      <c r="F32" s="641"/>
      <c r="G32" s="684">
        <f>+'Exh A Supp'!T41</f>
        <v>1318.8</v>
      </c>
      <c r="H32" s="641"/>
      <c r="I32" s="941">
        <f>ROUND(SUM(G32)-SUM(C32),1)</f>
        <v>-16.2</v>
      </c>
      <c r="J32" s="813"/>
      <c r="K32" s="941">
        <f t="shared" si="2"/>
        <v>-0.2</v>
      </c>
      <c r="L32" s="352"/>
    </row>
    <row r="33" spans="1:12">
      <c r="A33" s="818" t="s">
        <v>42</v>
      </c>
      <c r="B33" s="922"/>
      <c r="C33" s="682">
        <f>'Exh D Special Revenue State Fed'!C32</f>
        <v>0</v>
      </c>
      <c r="D33" s="893"/>
      <c r="E33" s="682">
        <f>'Exh D Special Revenue State Fed'!E32</f>
        <v>0</v>
      </c>
      <c r="F33" s="1529"/>
      <c r="G33" s="684">
        <f>'Exh D Special Revenue State Fed'!G32</f>
        <v>0</v>
      </c>
      <c r="H33" s="1529"/>
      <c r="I33" s="941">
        <f>ROUND(SUM(G33)-SUM(C33),1)</f>
        <v>0</v>
      </c>
      <c r="J33" s="813"/>
      <c r="K33" s="941">
        <f t="shared" si="2"/>
        <v>0</v>
      </c>
      <c r="L33" s="352"/>
    </row>
    <row r="34" spans="1:12" ht="15.75" customHeight="1">
      <c r="A34" s="170" t="s">
        <v>96</v>
      </c>
      <c r="B34" s="148" t="s">
        <v>15</v>
      </c>
      <c r="C34" s="1094">
        <f>ROUND(SUM(C29:C33),1)</f>
        <v>53255</v>
      </c>
      <c r="D34" s="109"/>
      <c r="E34" s="1094">
        <f>ROUND(SUM(E29:E33),1)</f>
        <v>49998</v>
      </c>
      <c r="F34" s="920"/>
      <c r="G34" s="291">
        <f>ROUND(SUM(G29:G33),1)</f>
        <v>49884.7</v>
      </c>
      <c r="H34" s="920"/>
      <c r="I34" s="291">
        <f>ROUND(SUM(I29:I33),1)</f>
        <v>-3370.3</v>
      </c>
      <c r="J34" s="163"/>
      <c r="K34" s="291">
        <f>ROUND(SUM(K29:K33),1)</f>
        <v>-113.3</v>
      </c>
      <c r="L34" s="352"/>
    </row>
    <row r="35" spans="1:12">
      <c r="A35" s="688"/>
      <c r="B35" s="922"/>
      <c r="C35" s="893"/>
      <c r="D35" s="893"/>
      <c r="E35" s="893"/>
      <c r="F35" s="641"/>
      <c r="G35" s="641"/>
      <c r="H35" s="641"/>
      <c r="I35" s="941"/>
      <c r="J35" s="813"/>
      <c r="K35" s="941"/>
      <c r="L35" s="352"/>
    </row>
    <row r="36" spans="1:12">
      <c r="A36" s="170" t="s">
        <v>44</v>
      </c>
      <c r="B36" s="922"/>
      <c r="C36" s="893"/>
      <c r="D36" s="893"/>
      <c r="E36" s="893"/>
      <c r="F36" s="641"/>
      <c r="G36" s="641"/>
      <c r="H36" s="641"/>
      <c r="I36" s="941"/>
      <c r="J36" s="813"/>
      <c r="K36" s="941"/>
      <c r="L36" s="352"/>
    </row>
    <row r="37" spans="1:12">
      <c r="A37" s="170" t="s">
        <v>45</v>
      </c>
      <c r="B37" s="922" t="s">
        <v>15</v>
      </c>
      <c r="C37" s="1105">
        <f>ROUND(SUM(+C26-C34),1)</f>
        <v>3561</v>
      </c>
      <c r="D37" s="893"/>
      <c r="E37" s="1105">
        <f>ROUND(SUM(+E26-E34),1)</f>
        <v>9700</v>
      </c>
      <c r="F37" s="641"/>
      <c r="G37" s="827">
        <f>ROUND(SUM(+G26-G34),1)</f>
        <v>9031.7000000000007</v>
      </c>
      <c r="H37" s="641"/>
      <c r="I37" s="827">
        <f>ROUND(SUM(+I26-I34),1)</f>
        <v>5470.7</v>
      </c>
      <c r="J37" s="666"/>
      <c r="K37" s="827">
        <f>ROUND(SUM(+K26-K34),1)</f>
        <v>-668.3</v>
      </c>
      <c r="L37" s="352"/>
    </row>
    <row r="38" spans="1:12">
      <c r="A38" s="688"/>
      <c r="B38" s="922"/>
      <c r="C38" s="893"/>
      <c r="D38" s="893"/>
      <c r="E38" s="893"/>
      <c r="F38" s="641"/>
      <c r="G38" s="641"/>
      <c r="H38" s="641"/>
      <c r="I38" s="941"/>
      <c r="J38" s="813"/>
      <c r="K38" s="941"/>
      <c r="L38" s="352"/>
    </row>
    <row r="39" spans="1:12">
      <c r="A39" s="170" t="s">
        <v>46</v>
      </c>
      <c r="B39" s="922"/>
      <c r="C39" s="893"/>
      <c r="D39" s="893"/>
      <c r="E39" s="893"/>
      <c r="F39" s="641"/>
      <c r="G39" s="641"/>
      <c r="H39" s="641"/>
      <c r="I39" s="941"/>
      <c r="J39" s="813"/>
      <c r="K39" s="941"/>
      <c r="L39" s="352"/>
    </row>
    <row r="40" spans="1:12">
      <c r="A40" s="818" t="s">
        <v>47</v>
      </c>
      <c r="B40" s="922" t="s">
        <v>15</v>
      </c>
      <c r="C40" s="682">
        <f>'Exh D General Fund'!C27+'Exh D General Fund'!C28+'Exh D General Fund'!C29+'Exh D General Fund'!C30+'Exh D Special Revenue State Fed'!C25+'Exh D Debt Service'!C25</f>
        <v>18900</v>
      </c>
      <c r="D40" s="893"/>
      <c r="E40" s="682">
        <f>'Exh D General Fund'!E27+'Exh D General Fund'!E28+'Exh D General Fund'!E29+'Exh D General Fund'!E30+'Exh D Special Revenue State Fed'!E25+'Exh D Debt Service'!E25</f>
        <v>20134</v>
      </c>
      <c r="F40" s="641"/>
      <c r="G40" s="679">
        <f>+'Exh A Supp'!T49</f>
        <v>19359.400000000001</v>
      </c>
      <c r="H40" s="1359" t="s">
        <v>1516</v>
      </c>
      <c r="I40" s="941">
        <f>ROUND(SUM(G40)-SUM(C40),1)</f>
        <v>459.4</v>
      </c>
      <c r="J40" s="813"/>
      <c r="K40" s="941">
        <f t="shared" ref="K40" si="3">ROUND(SUM(G40)-SUM(E40),1)</f>
        <v>-774.6</v>
      </c>
      <c r="L40" s="352"/>
    </row>
    <row r="41" spans="1:12">
      <c r="A41" s="818" t="s">
        <v>98</v>
      </c>
      <c r="B41" s="922" t="s">
        <v>15</v>
      </c>
      <c r="C41" s="1481">
        <f>-('Exh D General Fund'!C38+'Exh D General Fund'!C39+'Exh D General Fund'!C40+'Exh D General Fund'!C41+'Exh D General Fund'!C42+'Exh D Special Revenue State Fed'!C33+'Exh D Debt Service'!C31)</f>
        <v>-19710</v>
      </c>
      <c r="D41" s="893"/>
      <c r="E41" s="1481">
        <f>-('Exh D General Fund'!E38+'Exh D General Fund'!E39+'Exh D General Fund'!E40+'Exh D General Fund'!E41+'Exh D General Fund'!E42+'Exh D Special Revenue State Fed'!E33+'Exh D Debt Service'!E31)</f>
        <v>-19860</v>
      </c>
      <c r="F41" s="641"/>
      <c r="G41" s="679">
        <f>+'Exh A Supp'!T50</f>
        <v>-18974.2</v>
      </c>
      <c r="H41" s="1359" t="s">
        <v>1516</v>
      </c>
      <c r="I41" s="941">
        <f>-ROUND(SUM(G41)-SUM(C41),1)</f>
        <v>-735.8</v>
      </c>
      <c r="J41" s="666"/>
      <c r="K41" s="941">
        <f>-ROUND(SUM(G41)-SUM(E41),1)</f>
        <v>-885.8</v>
      </c>
      <c r="L41" s="352"/>
    </row>
    <row r="42" spans="1:12">
      <c r="A42" s="170" t="s">
        <v>99</v>
      </c>
      <c r="B42" s="922" t="s">
        <v>15</v>
      </c>
      <c r="C42" s="1094">
        <f>ROUND(SUM(C40:C41),1)</f>
        <v>-810</v>
      </c>
      <c r="D42" s="893"/>
      <c r="E42" s="1094">
        <f>ROUND(SUM(E40:E41),1)</f>
        <v>274</v>
      </c>
      <c r="F42" s="641"/>
      <c r="G42" s="291">
        <f>ROUND(SUM(G40:G41),1)</f>
        <v>385.2</v>
      </c>
      <c r="H42" s="641"/>
      <c r="I42" s="291">
        <f>ROUND(SUM(I40-I41),1)</f>
        <v>1195.2</v>
      </c>
      <c r="J42" s="928"/>
      <c r="K42" s="291">
        <f>ROUND(SUM(K40-K41),1)</f>
        <v>111.2</v>
      </c>
      <c r="L42" s="352"/>
    </row>
    <row r="43" spans="1:12">
      <c r="A43" s="170"/>
      <c r="B43" s="922"/>
      <c r="C43" s="682"/>
      <c r="D43" s="893"/>
      <c r="E43" s="682"/>
      <c r="F43" s="641"/>
      <c r="G43" s="679"/>
      <c r="H43" s="641"/>
      <c r="I43" s="942"/>
      <c r="J43" s="923"/>
      <c r="K43" s="942"/>
      <c r="L43" s="352"/>
    </row>
    <row r="44" spans="1:12">
      <c r="A44" s="29" t="s">
        <v>100</v>
      </c>
      <c r="B44" s="922"/>
      <c r="C44" s="893"/>
      <c r="D44" s="893"/>
      <c r="E44" s="893"/>
      <c r="F44" s="641"/>
      <c r="G44" s="641"/>
      <c r="H44" s="641"/>
      <c r="I44" s="941"/>
      <c r="J44" s="813"/>
      <c r="K44" s="941"/>
      <c r="L44" s="352"/>
    </row>
    <row r="45" spans="1:12" ht="15" customHeight="1">
      <c r="A45" s="29" t="s">
        <v>101</v>
      </c>
      <c r="B45" s="922"/>
      <c r="C45" s="893"/>
      <c r="D45" s="893"/>
      <c r="E45" s="893"/>
      <c r="F45" s="641"/>
      <c r="G45" s="641"/>
      <c r="H45" s="641"/>
      <c r="I45" s="941"/>
      <c r="J45" s="813"/>
      <c r="K45" s="941"/>
      <c r="L45" s="352"/>
    </row>
    <row r="46" spans="1:12">
      <c r="A46" s="170" t="s">
        <v>102</v>
      </c>
      <c r="B46" s="171" t="s">
        <v>15</v>
      </c>
      <c r="C46" s="112">
        <f>ROUND(SUM(C26)-SUM(C34)+C42,1)</f>
        <v>2751</v>
      </c>
      <c r="D46" s="1103"/>
      <c r="E46" s="112">
        <f>ROUND(SUM(E26)-SUM(E34)+E42,1)</f>
        <v>9974</v>
      </c>
      <c r="F46" s="82"/>
      <c r="G46" s="74">
        <f>ROUND(SUM(G26)-SUM(G34)+G42,1)</f>
        <v>9416.9</v>
      </c>
      <c r="H46" s="82"/>
      <c r="I46" s="74">
        <f>ROUND(SUM(I26)-SUM(I34)+I42,1)</f>
        <v>6665.9</v>
      </c>
      <c r="J46" s="163"/>
      <c r="K46" s="74">
        <f>ROUND(SUM(K26)-SUM(K34)+K42,1)</f>
        <v>-557.1</v>
      </c>
      <c r="L46" s="352"/>
    </row>
    <row r="47" spans="1:12">
      <c r="A47" s="929"/>
      <c r="B47" s="620"/>
      <c r="C47" s="1483"/>
      <c r="D47" s="1650"/>
      <c r="E47" s="1483"/>
      <c r="F47" s="930"/>
      <c r="G47" s="668"/>
      <c r="H47" s="930"/>
      <c r="I47" s="668"/>
      <c r="J47" s="931"/>
      <c r="K47" s="668"/>
      <c r="L47" s="352"/>
    </row>
    <row r="48" spans="1:12">
      <c r="A48" s="170" t="str">
        <f>'Exh D-Governmental  '!A49</f>
        <v>Fund Balances (Deficits) at April 1</v>
      </c>
      <c r="B48" s="932" t="s">
        <v>15</v>
      </c>
      <c r="C48" s="112">
        <f>'Exh D General Fund'!C49+'Exh D Special Revenue State Fed'!C40+'Exh D Debt Service'!C38</f>
        <v>14408</v>
      </c>
      <c r="D48" s="1650"/>
      <c r="E48" s="112">
        <f>'Exh D General Fund'!E49+'Exh D Special Revenue State Fed'!E40+'Exh D Debt Service'!E38</f>
        <v>14407</v>
      </c>
      <c r="F48" s="930"/>
      <c r="G48" s="74">
        <f>'Exh A Supp'!T57</f>
        <v>14408.3</v>
      </c>
      <c r="H48" s="930"/>
      <c r="I48" s="827">
        <f>ROUND(SUM(G48)-SUM(C48),1)</f>
        <v>0.3</v>
      </c>
      <c r="J48" s="163"/>
      <c r="K48" s="1530">
        <f>ROUND(SUM(G48)-SUM(E48),1)</f>
        <v>1.3</v>
      </c>
      <c r="L48" s="352"/>
    </row>
    <row r="49" spans="1:12" ht="16" thickBot="1">
      <c r="A49" s="170" t="str">
        <f>'Exh D-Governmental  '!A50</f>
        <v>Fund Balances (Deficits) at October 31, 2020</v>
      </c>
      <c r="B49" s="177" t="s">
        <v>15</v>
      </c>
      <c r="C49" s="1484">
        <f>ROUND(SUM(C46:C48),1)</f>
        <v>17159</v>
      </c>
      <c r="D49" s="2058"/>
      <c r="E49" s="1484">
        <f>ROUND(SUM(E46:E48),1)</f>
        <v>24381</v>
      </c>
      <c r="F49" s="178"/>
      <c r="G49" s="95">
        <f>ROUND(SUM(G46:G48),1)</f>
        <v>23825.200000000001</v>
      </c>
      <c r="H49" s="973"/>
      <c r="I49" s="95">
        <f>ROUND(SUM(I46:I48),1)</f>
        <v>6666.2</v>
      </c>
      <c r="J49" s="179"/>
      <c r="K49" s="95">
        <f>ROUND(SUM(K46:K48),1)</f>
        <v>-555.79999999999995</v>
      </c>
      <c r="L49" s="352"/>
    </row>
    <row r="50" spans="1:12" ht="16" thickTop="1">
      <c r="A50" s="929"/>
      <c r="B50" s="620"/>
      <c r="C50" s="1940"/>
      <c r="D50" s="949"/>
      <c r="E50" s="1940"/>
      <c r="F50" s="933"/>
      <c r="G50" s="933"/>
      <c r="H50" s="933"/>
      <c r="I50" s="933"/>
      <c r="J50" s="933"/>
      <c r="K50" s="933"/>
    </row>
    <row r="51" spans="1:12">
      <c r="A51" s="934" t="str">
        <f>'Exh D-Governmental  '!A52</f>
        <v>(*)    Source: 2020-21 Enacted Financial Plan dated April 25, 2020.</v>
      </c>
      <c r="G51" s="1172"/>
      <c r="I51" s="1172"/>
      <c r="K51" s="1172"/>
    </row>
    <row r="52" spans="1:12">
      <c r="A52" s="934" t="str">
        <f>'Exh D-Governmental  '!A53</f>
        <v>(**)   Source: 2020-21 Mid Year Update dated October 30, 2020.</v>
      </c>
      <c r="G52" s="1172"/>
      <c r="I52" s="1172"/>
      <c r="K52" s="1172"/>
    </row>
    <row r="53" spans="1:12">
      <c r="A53" s="610" t="s">
        <v>1517</v>
      </c>
      <c r="I53" s="1172"/>
      <c r="K53" s="1172"/>
    </row>
    <row r="54" spans="1:12">
      <c r="A54" s="610" t="s">
        <v>1192</v>
      </c>
    </row>
    <row r="55" spans="1:12">
      <c r="A55" s="1489" t="s">
        <v>1518</v>
      </c>
      <c r="G55" s="1172"/>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69140625" defaultRowHeight="15.5"/>
  <cols>
    <col min="1" max="1" width="59" style="929" customWidth="1"/>
    <col min="2" max="2" width="2" style="620" customWidth="1"/>
    <col min="3" max="3" width="15.07421875" style="422" customWidth="1"/>
    <col min="4" max="4" width="1.69140625" style="933" customWidth="1"/>
    <col min="5" max="5" width="15.07421875" style="422" customWidth="1"/>
    <col min="6" max="6" width="2.69140625" style="933" customWidth="1"/>
    <col min="7" max="7" width="15.07421875" style="933" customWidth="1"/>
    <col min="8" max="8" width="4.69140625" style="933" customWidth="1"/>
    <col min="9" max="9" width="15.07421875" style="933" customWidth="1"/>
    <col min="10" max="10" width="2.07421875" style="933" customWidth="1"/>
    <col min="11" max="11" width="12.69140625" style="620" customWidth="1"/>
    <col min="12" max="12" width="18.07421875" style="422" bestFit="1" customWidth="1"/>
    <col min="13" max="13" width="2.69140625" style="933" customWidth="1"/>
    <col min="14" max="14" width="14.07421875" style="933" customWidth="1"/>
    <col min="15" max="15" width="2.69140625" style="933" customWidth="1"/>
    <col min="16" max="16" width="15.69140625" style="933" bestFit="1" customWidth="1"/>
    <col min="17" max="17" width="2" style="620" customWidth="1"/>
    <col min="18" max="18" width="11.69140625" style="620" customWidth="1"/>
    <col min="19" max="19" width="11.4609375" style="620" customWidth="1"/>
    <col min="20" max="20" width="1.69140625" style="620" customWidth="1"/>
    <col min="21" max="21" width="11.69140625" style="620" customWidth="1"/>
    <col min="22" max="22" width="2.07421875" style="620" customWidth="1"/>
    <col min="23" max="23" width="11.4609375" style="620" customWidth="1"/>
    <col min="24" max="24" width="0.53515625" style="620" customWidth="1"/>
    <col min="25" max="25" width="2.07421875" style="620" customWidth="1"/>
    <col min="26" max="26" width="10.53515625" style="620" customWidth="1"/>
    <col min="27" max="27" width="11.07421875" style="620" customWidth="1"/>
    <col min="28" max="28" width="2.07421875" style="620" customWidth="1"/>
    <col min="29" max="29" width="11.07421875" style="620" customWidth="1"/>
    <col min="30" max="30" width="2.07421875" style="620" customWidth="1"/>
    <col min="31" max="31" width="12.4609375" style="620" customWidth="1"/>
    <col min="32" max="36" width="8.69140625" style="620"/>
    <col min="37" max="37" width="8.69140625" style="933"/>
    <col min="38" max="16384" width="8.69140625" style="929"/>
  </cols>
  <sheetData>
    <row r="1" spans="1:31">
      <c r="A1" s="935" t="s">
        <v>963</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1"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1" ht="17.25" customHeight="1">
      <c r="A3" s="188" t="s">
        <v>0</v>
      </c>
      <c r="B3" s="145"/>
      <c r="C3" s="418"/>
      <c r="D3" s="140"/>
      <c r="E3" s="418"/>
      <c r="F3" s="140"/>
      <c r="G3" s="140"/>
      <c r="H3" s="140"/>
      <c r="I3" s="820"/>
      <c r="K3" s="820" t="s">
        <v>83</v>
      </c>
      <c r="L3" s="419"/>
      <c r="M3" s="140"/>
      <c r="N3" s="140"/>
      <c r="O3" s="140"/>
      <c r="Q3" s="140"/>
      <c r="R3" s="153"/>
      <c r="S3" s="153"/>
      <c r="T3" s="153"/>
      <c r="U3" s="153"/>
      <c r="V3" s="153"/>
      <c r="W3" s="153"/>
      <c r="X3" s="153"/>
      <c r="Y3" s="153"/>
      <c r="Z3" s="153"/>
      <c r="AA3" s="153"/>
      <c r="AB3" s="153"/>
      <c r="AC3" s="153"/>
      <c r="AD3" s="153"/>
      <c r="AE3" s="189"/>
    </row>
    <row r="4" spans="1:31" ht="17.25" customHeight="1">
      <c r="A4" s="188" t="s">
        <v>82</v>
      </c>
      <c r="B4" s="145"/>
      <c r="C4" s="418"/>
      <c r="D4" s="140"/>
      <c r="E4" s="418"/>
      <c r="F4" s="140"/>
      <c r="G4" s="140"/>
      <c r="H4" s="140"/>
      <c r="I4" s="821"/>
      <c r="K4" s="821"/>
      <c r="L4" s="419"/>
      <c r="M4" s="140"/>
      <c r="N4" s="140"/>
      <c r="O4" s="140"/>
      <c r="Q4" s="140"/>
      <c r="R4" s="153"/>
      <c r="S4" s="153"/>
      <c r="T4" s="153"/>
      <c r="U4" s="153"/>
      <c r="V4" s="153"/>
      <c r="W4" s="153"/>
      <c r="X4" s="153"/>
      <c r="Y4" s="153"/>
      <c r="Z4" s="153"/>
      <c r="AA4" s="153"/>
      <c r="AB4" s="153"/>
      <c r="AC4" s="153"/>
      <c r="AD4" s="153"/>
      <c r="AE4" s="153"/>
    </row>
    <row r="5" spans="1:31" ht="17.25" customHeight="1">
      <c r="A5" s="3923" t="str">
        <f>'Exh D-Governmental  '!A5:E5</f>
        <v>FISCAL YEAR 2020-2021</v>
      </c>
      <c r="B5" s="3924"/>
      <c r="C5" s="3924"/>
      <c r="D5" s="3924"/>
      <c r="E5" s="3924"/>
      <c r="F5" s="140"/>
      <c r="G5" s="813"/>
      <c r="H5" s="140"/>
      <c r="I5" s="140"/>
      <c r="J5" s="140"/>
      <c r="K5" s="153"/>
      <c r="L5" s="419"/>
      <c r="M5" s="140"/>
      <c r="N5" s="140"/>
      <c r="O5" s="140"/>
      <c r="Q5" s="140"/>
      <c r="R5" s="153"/>
      <c r="S5" s="153"/>
      <c r="T5" s="153"/>
      <c r="U5" s="153"/>
      <c r="V5" s="153"/>
      <c r="W5" s="153"/>
      <c r="X5" s="153"/>
      <c r="Y5" s="153"/>
      <c r="Z5" s="153"/>
      <c r="AA5" s="153"/>
      <c r="AB5" s="153"/>
      <c r="AC5" s="153"/>
      <c r="AD5" s="153"/>
      <c r="AE5" s="153"/>
    </row>
    <row r="6" spans="1:31" ht="17.25" customHeight="1">
      <c r="A6" s="1471" t="str">
        <f>'Exh D-Governmental  '!A6</f>
        <v xml:space="preserve">FOR SEVEN MONTHS ENDED OCTOBER 31, 2020    </v>
      </c>
      <c r="B6" s="3902"/>
      <c r="C6" s="3903"/>
      <c r="D6" s="3904"/>
      <c r="E6" s="3903"/>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row>
    <row r="7" spans="1:31" ht="18">
      <c r="A7" s="188" t="s">
        <v>1366</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row>
    <row r="8" spans="1:31"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1">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1">
      <c r="A10" s="147"/>
      <c r="B10" s="153"/>
      <c r="C10" s="419"/>
      <c r="D10" s="140"/>
      <c r="E10" s="419"/>
      <c r="F10" s="140"/>
      <c r="G10" s="140"/>
      <c r="H10" s="140"/>
      <c r="I10" s="140"/>
      <c r="J10" s="140"/>
      <c r="K10" s="153"/>
      <c r="L10" s="962"/>
      <c r="M10" s="144"/>
      <c r="N10" s="144"/>
      <c r="O10" s="144"/>
      <c r="P10" s="144"/>
      <c r="Q10" s="140"/>
      <c r="R10" s="153"/>
      <c r="S10" s="153"/>
      <c r="T10" s="153"/>
      <c r="U10" s="153"/>
      <c r="V10" s="153"/>
      <c r="W10" s="153"/>
      <c r="X10" s="153"/>
      <c r="Y10" s="153"/>
      <c r="Z10" s="153"/>
      <c r="AA10" s="153"/>
      <c r="AB10" s="153"/>
      <c r="AC10" s="153"/>
      <c r="AD10" s="153"/>
      <c r="AE10" s="153"/>
    </row>
    <row r="11" spans="1:31">
      <c r="A11" s="688"/>
      <c r="C11" s="3925" t="s">
        <v>1127</v>
      </c>
      <c r="D11" s="3925"/>
      <c r="E11" s="3925"/>
      <c r="F11" s="3925"/>
      <c r="G11" s="3925"/>
      <c r="H11" s="3925"/>
      <c r="I11" s="3925"/>
      <c r="J11" s="1173"/>
      <c r="K11" s="1174"/>
      <c r="L11" s="423"/>
      <c r="M11" s="193"/>
      <c r="N11" s="193"/>
      <c r="O11" s="193"/>
      <c r="P11" s="193"/>
      <c r="Q11" s="148"/>
      <c r="R11" s="191"/>
      <c r="S11" s="191"/>
      <c r="T11" s="191"/>
      <c r="U11" s="191"/>
      <c r="V11" s="191"/>
      <c r="W11" s="191"/>
      <c r="X11" s="191"/>
      <c r="Y11" s="148"/>
      <c r="Z11" s="191"/>
      <c r="AA11" s="192"/>
      <c r="AB11" s="191"/>
      <c r="AC11" s="191"/>
      <c r="AD11" s="191"/>
      <c r="AE11" s="191"/>
    </row>
    <row r="12" spans="1:31">
      <c r="A12" s="688"/>
      <c r="C12" s="420"/>
      <c r="D12" s="193"/>
      <c r="E12" s="420"/>
      <c r="F12" s="193"/>
      <c r="G12" s="194"/>
      <c r="H12" s="193"/>
      <c r="I12" s="193" t="s">
        <v>84</v>
      </c>
      <c r="J12" s="191"/>
      <c r="K12" s="193" t="s">
        <v>84</v>
      </c>
      <c r="L12" s="423"/>
      <c r="M12" s="193"/>
      <c r="N12" s="194"/>
      <c r="O12" s="193"/>
      <c r="P12" s="193"/>
      <c r="Q12" s="148"/>
      <c r="R12" s="191"/>
      <c r="S12" s="191"/>
      <c r="T12" s="191"/>
      <c r="U12" s="191"/>
      <c r="V12" s="191"/>
      <c r="W12" s="191"/>
      <c r="X12" s="191"/>
      <c r="Y12" s="148"/>
      <c r="Z12" s="191"/>
      <c r="AA12" s="192"/>
      <c r="AB12" s="191"/>
      <c r="AC12" s="191"/>
      <c r="AD12" s="191"/>
      <c r="AE12" s="191"/>
    </row>
    <row r="13" spans="1:31">
      <c r="A13" s="688"/>
      <c r="B13" s="148"/>
      <c r="C13" s="421"/>
      <c r="D13" s="195"/>
      <c r="E13" s="421"/>
      <c r="F13" s="195"/>
      <c r="G13" s="195"/>
      <c r="H13" s="195"/>
      <c r="I13" s="196" t="s">
        <v>874</v>
      </c>
      <c r="J13" s="198"/>
      <c r="K13" s="196" t="s">
        <v>874</v>
      </c>
      <c r="L13" s="963"/>
      <c r="M13" s="964"/>
      <c r="N13" s="964"/>
      <c r="O13" s="964"/>
      <c r="P13" s="965"/>
      <c r="Q13" s="148"/>
      <c r="R13" s="148"/>
      <c r="S13" s="148"/>
      <c r="T13" s="148"/>
      <c r="U13" s="148"/>
      <c r="V13" s="148"/>
      <c r="W13" s="197"/>
      <c r="X13" s="198"/>
      <c r="Y13" s="148"/>
      <c r="Z13" s="148"/>
      <c r="AA13" s="148"/>
      <c r="AB13" s="148"/>
      <c r="AC13" s="148"/>
      <c r="AD13" s="148"/>
      <c r="AE13" s="197"/>
    </row>
    <row r="14" spans="1:31">
      <c r="A14" s="688"/>
      <c r="B14" s="199"/>
      <c r="C14" s="151" t="s">
        <v>1075</v>
      </c>
      <c r="D14" s="929"/>
      <c r="E14" s="150" t="s">
        <v>1076</v>
      </c>
      <c r="F14" s="149"/>
      <c r="G14" s="149"/>
      <c r="H14" s="149"/>
      <c r="I14" s="150" t="s">
        <v>85</v>
      </c>
      <c r="J14" s="198"/>
      <c r="K14" s="150" t="s">
        <v>85</v>
      </c>
      <c r="L14" s="966"/>
      <c r="M14" s="148"/>
      <c r="N14" s="148"/>
      <c r="O14" s="148"/>
      <c r="P14" s="198"/>
      <c r="Q14" s="148"/>
      <c r="R14" s="197"/>
      <c r="S14" s="198"/>
      <c r="T14" s="148"/>
      <c r="U14" s="148"/>
      <c r="V14" s="148"/>
      <c r="W14" s="197"/>
      <c r="X14" s="198"/>
      <c r="Y14" s="148"/>
      <c r="Z14" s="197"/>
      <c r="AA14" s="198"/>
      <c r="AB14" s="148"/>
      <c r="AC14" s="148"/>
      <c r="AD14" s="148"/>
      <c r="AE14" s="197"/>
    </row>
    <row r="15" spans="1:31">
      <c r="A15" s="688"/>
      <c r="B15" s="199"/>
      <c r="C15" s="150" t="s">
        <v>1112</v>
      </c>
      <c r="D15" s="149"/>
      <c r="E15" s="150" t="s">
        <v>1112</v>
      </c>
      <c r="F15" s="149"/>
      <c r="G15" s="149"/>
      <c r="H15" s="149"/>
      <c r="I15" s="150" t="s">
        <v>1075</v>
      </c>
      <c r="J15" s="198"/>
      <c r="K15" s="150" t="s">
        <v>1076</v>
      </c>
      <c r="L15" s="966"/>
      <c r="M15" s="148"/>
      <c r="N15" s="148"/>
      <c r="O15" s="148"/>
      <c r="P15" s="198"/>
      <c r="Q15" s="148"/>
      <c r="R15" s="197"/>
      <c r="S15" s="198"/>
      <c r="T15" s="148"/>
      <c r="U15" s="148"/>
      <c r="V15" s="148"/>
      <c r="W15" s="197"/>
      <c r="X15" s="198"/>
      <c r="Y15" s="148"/>
      <c r="Z15" s="197"/>
      <c r="AA15" s="198"/>
      <c r="AB15" s="148"/>
      <c r="AC15" s="148"/>
      <c r="AD15" s="148"/>
      <c r="AE15" s="197"/>
    </row>
    <row r="16" spans="1:31">
      <c r="A16" s="688"/>
      <c r="B16" s="198"/>
      <c r="C16" s="150" t="s">
        <v>1113</v>
      </c>
      <c r="D16" s="149"/>
      <c r="E16" s="150" t="s">
        <v>1510</v>
      </c>
      <c r="F16" s="149"/>
      <c r="G16" s="151" t="s">
        <v>84</v>
      </c>
      <c r="H16" s="149"/>
      <c r="I16" s="150" t="s">
        <v>86</v>
      </c>
      <c r="J16" s="198"/>
      <c r="K16" s="150" t="s">
        <v>86</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c r="A18" s="29" t="s">
        <v>14</v>
      </c>
      <c r="B18" s="922"/>
      <c r="C18" s="655"/>
      <c r="D18" s="655"/>
      <c r="E18" s="655"/>
      <c r="F18" s="655"/>
      <c r="G18" s="655"/>
      <c r="H18" s="655"/>
      <c r="I18" s="655"/>
      <c r="J18" s="922"/>
      <c r="K18" s="922"/>
      <c r="L18" s="922"/>
      <c r="M18" s="922"/>
      <c r="N18" s="922"/>
      <c r="O18" s="922"/>
      <c r="P18" s="922"/>
      <c r="Q18" s="922"/>
      <c r="R18" s="922"/>
      <c r="S18" s="922"/>
      <c r="T18" s="922"/>
      <c r="U18" s="922"/>
      <c r="V18" s="922"/>
      <c r="W18" s="922"/>
      <c r="X18" s="922"/>
      <c r="Y18" s="922"/>
      <c r="Z18" s="922"/>
      <c r="AA18" s="922"/>
      <c r="AB18" s="922"/>
      <c r="AC18" s="922"/>
      <c r="AD18" s="922"/>
      <c r="AE18" s="922"/>
    </row>
    <row r="19" spans="1:31">
      <c r="A19" s="818" t="s">
        <v>87</v>
      </c>
      <c r="B19" s="923"/>
      <c r="C19" s="655"/>
      <c r="D19" s="923"/>
      <c r="E19" s="655"/>
      <c r="F19" s="923"/>
      <c r="G19" s="655"/>
      <c r="H19" s="923"/>
      <c r="I19" s="655"/>
      <c r="J19" s="922"/>
      <c r="K19" s="922"/>
      <c r="L19" s="922"/>
      <c r="M19" s="922"/>
      <c r="N19" s="922"/>
      <c r="O19" s="943"/>
      <c r="P19" s="922"/>
      <c r="Q19" s="922"/>
      <c r="R19" s="922"/>
      <c r="S19" s="922"/>
      <c r="T19" s="922"/>
      <c r="U19" s="922"/>
      <c r="V19" s="922"/>
      <c r="W19" s="922"/>
      <c r="X19" s="922"/>
      <c r="Y19" s="922"/>
      <c r="Z19" s="922"/>
      <c r="AA19" s="922"/>
      <c r="AB19" s="922"/>
      <c r="AC19" s="922"/>
      <c r="AD19" s="922"/>
      <c r="AE19" s="922"/>
    </row>
    <row r="20" spans="1:31">
      <c r="A20" s="818" t="s">
        <v>88</v>
      </c>
      <c r="B20" s="923" t="s">
        <v>15</v>
      </c>
      <c r="C20" s="2054">
        <v>14001</v>
      </c>
      <c r="D20" s="891"/>
      <c r="E20" s="2054">
        <v>14872</v>
      </c>
      <c r="F20" s="658"/>
      <c r="G20" s="656">
        <f>+'Exhibit F'!AC26</f>
        <v>14695.1</v>
      </c>
      <c r="H20" s="658"/>
      <c r="I20" s="656">
        <f t="shared" ref="I20:I25" si="0">ROUND(SUM(G20)-SUM(C20),1)</f>
        <v>694.1</v>
      </c>
      <c r="J20" s="922"/>
      <c r="K20" s="656">
        <f>ROUND(SUM(G20)-SUM(E20),1)</f>
        <v>-176.9</v>
      </c>
      <c r="L20" s="967"/>
      <c r="M20" s="967"/>
      <c r="N20" s="968"/>
      <c r="O20" s="967"/>
      <c r="P20" s="969"/>
      <c r="Q20" s="922"/>
      <c r="R20" s="922"/>
      <c r="S20" s="922"/>
      <c r="T20" s="922"/>
      <c r="U20" s="922"/>
      <c r="V20" s="922"/>
      <c r="W20" s="922"/>
      <c r="X20" s="922"/>
      <c r="Y20" s="922"/>
      <c r="Z20" s="922"/>
      <c r="AA20" s="922"/>
      <c r="AB20" s="922"/>
      <c r="AC20" s="922"/>
      <c r="AD20" s="922"/>
      <c r="AE20" s="922"/>
    </row>
    <row r="21" spans="1:31">
      <c r="A21" s="818" t="s">
        <v>89</v>
      </c>
      <c r="B21" s="922" t="s">
        <v>15</v>
      </c>
      <c r="C21" s="1120">
        <v>3965</v>
      </c>
      <c r="D21" s="893"/>
      <c r="E21" s="1120">
        <v>4086</v>
      </c>
      <c r="F21" s="641"/>
      <c r="G21" s="893">
        <f>+'Exhibit F'!AC36</f>
        <v>4044.6</v>
      </c>
      <c r="H21" s="641"/>
      <c r="I21" s="641">
        <f t="shared" si="0"/>
        <v>79.599999999999994</v>
      </c>
      <c r="J21" s="922"/>
      <c r="K21" s="1529">
        <f t="shared" ref="K21:K30" si="1">ROUND(SUM(G21)-SUM(E21),1)</f>
        <v>-41.4</v>
      </c>
      <c r="L21" s="970"/>
      <c r="M21" s="941"/>
      <c r="N21" s="941"/>
      <c r="O21" s="941"/>
      <c r="P21" s="941"/>
      <c r="Q21" s="941"/>
      <c r="R21" s="941"/>
      <c r="S21" s="922"/>
      <c r="T21" s="922"/>
      <c r="U21" s="922"/>
      <c r="V21" s="922"/>
      <c r="W21" s="922"/>
      <c r="X21" s="922"/>
      <c r="Y21" s="922"/>
      <c r="Z21" s="922"/>
      <c r="AA21" s="922"/>
      <c r="AB21" s="922"/>
      <c r="AC21" s="922"/>
      <c r="AD21" s="922"/>
      <c r="AE21" s="922"/>
    </row>
    <row r="22" spans="1:31">
      <c r="A22" s="818" t="s">
        <v>90</v>
      </c>
      <c r="B22" s="923" t="s">
        <v>15</v>
      </c>
      <c r="C22" s="1120">
        <v>3167</v>
      </c>
      <c r="D22" s="682"/>
      <c r="E22" s="1120">
        <v>3078</v>
      </c>
      <c r="F22" s="679"/>
      <c r="G22" s="930">
        <f>+'Exhibit F'!AC43</f>
        <v>3032.2</v>
      </c>
      <c r="H22" s="679"/>
      <c r="I22" s="641">
        <f t="shared" si="0"/>
        <v>-134.80000000000001</v>
      </c>
      <c r="J22" s="922"/>
      <c r="K22" s="1529">
        <f t="shared" si="1"/>
        <v>-45.8</v>
      </c>
      <c r="L22" s="970"/>
      <c r="M22" s="942"/>
      <c r="N22" s="941"/>
      <c r="O22" s="942"/>
      <c r="P22" s="941"/>
      <c r="Q22" s="942"/>
      <c r="R22" s="941"/>
      <c r="S22" s="922"/>
      <c r="T22" s="943"/>
      <c r="U22" s="922"/>
      <c r="V22" s="943"/>
      <c r="W22" s="922"/>
      <c r="X22" s="922"/>
      <c r="Y22" s="943"/>
      <c r="Z22" s="922"/>
      <c r="AA22" s="922"/>
      <c r="AB22" s="943"/>
      <c r="AC22" s="200"/>
      <c r="AD22" s="943"/>
      <c r="AE22" s="922"/>
    </row>
    <row r="23" spans="1:31">
      <c r="A23" s="818" t="s">
        <v>91</v>
      </c>
      <c r="B23" s="922" t="s">
        <v>15</v>
      </c>
      <c r="C23" s="1120">
        <v>692</v>
      </c>
      <c r="D23" s="893"/>
      <c r="E23" s="1120">
        <v>674</v>
      </c>
      <c r="F23" s="641"/>
      <c r="G23" s="893">
        <f>+'Exhibit F'!AC51</f>
        <v>708.9</v>
      </c>
      <c r="H23" s="641"/>
      <c r="I23" s="641">
        <f t="shared" si="0"/>
        <v>16.899999999999999</v>
      </c>
      <c r="J23" s="922"/>
      <c r="K23" s="1529">
        <f t="shared" si="1"/>
        <v>34.9</v>
      </c>
      <c r="L23" s="971"/>
      <c r="M23" s="941"/>
      <c r="N23" s="941"/>
      <c r="O23" s="941"/>
      <c r="P23" s="941"/>
      <c r="Q23" s="941"/>
      <c r="R23" s="941"/>
      <c r="S23" s="922"/>
      <c r="T23" s="922"/>
      <c r="U23" s="922"/>
      <c r="V23" s="922"/>
      <c r="W23" s="922"/>
      <c r="X23" s="922"/>
      <c r="Y23" s="922"/>
      <c r="Z23" s="922"/>
      <c r="AA23" s="922"/>
      <c r="AB23" s="922"/>
      <c r="AC23" s="922"/>
      <c r="AD23" s="922"/>
      <c r="AE23" s="922"/>
    </row>
    <row r="24" spans="1:31" ht="15" customHeight="1">
      <c r="A24" s="818" t="s">
        <v>20</v>
      </c>
      <c r="B24" s="922" t="s">
        <v>15</v>
      </c>
      <c r="C24" s="1120">
        <v>5348</v>
      </c>
      <c r="D24" s="1973"/>
      <c r="E24" s="1120">
        <v>5841</v>
      </c>
      <c r="F24" s="940"/>
      <c r="G24" s="685">
        <f>+'Exhibit F'!AC92</f>
        <v>5870.4</v>
      </c>
      <c r="H24" s="641"/>
      <c r="I24" s="641">
        <f t="shared" si="0"/>
        <v>522.4</v>
      </c>
      <c r="J24" s="922"/>
      <c r="K24" s="1529">
        <f t="shared" si="1"/>
        <v>29.4</v>
      </c>
      <c r="L24" s="971"/>
      <c r="M24" s="941"/>
      <c r="N24" s="941"/>
      <c r="O24" s="941"/>
      <c r="P24" s="941"/>
      <c r="Q24" s="941"/>
      <c r="R24" s="941"/>
      <c r="S24" s="922"/>
      <c r="T24" s="922"/>
      <c r="U24" s="922"/>
      <c r="V24" s="922"/>
      <c r="W24" s="922"/>
      <c r="X24" s="922"/>
      <c r="Y24" s="922"/>
      <c r="Z24" s="922"/>
      <c r="AA24" s="922"/>
      <c r="AB24" s="922"/>
      <c r="AC24" s="922"/>
      <c r="AD24" s="922"/>
      <c r="AE24" s="922"/>
    </row>
    <row r="25" spans="1:31" ht="15" customHeight="1">
      <c r="A25" s="818" t="s">
        <v>21</v>
      </c>
      <c r="B25" s="922" t="s">
        <v>15</v>
      </c>
      <c r="C25" s="1120">
        <v>0</v>
      </c>
      <c r="D25" s="893"/>
      <c r="E25" s="1120">
        <v>0</v>
      </c>
      <c r="F25" s="641"/>
      <c r="G25" s="685">
        <f>+'Exhibit F'!AC94</f>
        <v>0.1</v>
      </c>
      <c r="H25" s="641"/>
      <c r="I25" s="641">
        <f t="shared" si="0"/>
        <v>0.1</v>
      </c>
      <c r="J25" s="922"/>
      <c r="K25" s="1529">
        <f t="shared" si="1"/>
        <v>0.1</v>
      </c>
      <c r="L25" s="970"/>
      <c r="M25" s="941"/>
      <c r="N25" s="941"/>
      <c r="O25" s="941"/>
      <c r="P25" s="941"/>
      <c r="Q25" s="941"/>
      <c r="R25" s="944"/>
      <c r="S25" s="945"/>
      <c r="T25" s="922"/>
      <c r="U25" s="945"/>
      <c r="V25" s="922"/>
      <c r="W25" s="945"/>
      <c r="X25" s="946"/>
      <c r="Y25" s="922"/>
      <c r="Z25" s="922"/>
      <c r="AA25" s="922"/>
      <c r="AB25" s="922"/>
      <c r="AC25" s="922"/>
      <c r="AD25" s="922"/>
      <c r="AE25" s="922"/>
    </row>
    <row r="26" spans="1:31" ht="18" customHeight="1">
      <c r="A26" s="818" t="s">
        <v>105</v>
      </c>
      <c r="B26" s="946"/>
      <c r="C26" s="657"/>
      <c r="D26" s="893"/>
      <c r="E26" s="657"/>
      <c r="F26" s="641"/>
      <c r="G26" s="2136"/>
      <c r="H26" s="641"/>
      <c r="I26" s="641"/>
      <c r="J26" s="946"/>
      <c r="K26" s="1529"/>
      <c r="L26" s="944"/>
      <c r="M26" s="941"/>
      <c r="N26" s="944"/>
      <c r="O26" s="941"/>
      <c r="P26" s="944"/>
      <c r="Q26" s="941"/>
      <c r="R26" s="944"/>
      <c r="S26" s="945"/>
      <c r="T26" s="922"/>
      <c r="U26" s="945"/>
      <c r="V26" s="922"/>
      <c r="W26" s="945"/>
      <c r="X26" s="946"/>
      <c r="Y26" s="922"/>
      <c r="Z26" s="922"/>
      <c r="AA26" s="922"/>
      <c r="AB26" s="922"/>
      <c r="AC26" s="922"/>
      <c r="AD26" s="922"/>
      <c r="AE26" s="922"/>
    </row>
    <row r="27" spans="1:31">
      <c r="A27" s="818" t="s">
        <v>1308</v>
      </c>
      <c r="B27" s="946" t="s">
        <v>15</v>
      </c>
      <c r="C27" s="1120">
        <v>11686</v>
      </c>
      <c r="D27" s="893"/>
      <c r="E27" s="1120">
        <v>12454</v>
      </c>
      <c r="F27" s="641"/>
      <c r="G27" s="893">
        <f>'Exhibit F'!AC123</f>
        <v>11676.3</v>
      </c>
      <c r="H27" s="641"/>
      <c r="I27" s="641">
        <f>ROUND(SUM(G27)-SUM(C27),1)</f>
        <v>-9.6999999999999993</v>
      </c>
      <c r="J27" s="946"/>
      <c r="K27" s="1529">
        <f t="shared" si="1"/>
        <v>-777.7</v>
      </c>
      <c r="L27" s="944"/>
      <c r="M27" s="941"/>
      <c r="N27" s="944"/>
      <c r="O27" s="941"/>
      <c r="P27" s="941"/>
      <c r="Q27" s="941"/>
      <c r="R27" s="944"/>
      <c r="S27" s="945"/>
      <c r="T27" s="922"/>
      <c r="U27" s="945"/>
      <c r="V27" s="922"/>
      <c r="W27" s="945"/>
      <c r="X27" s="946"/>
      <c r="Y27" s="922"/>
      <c r="Z27" s="922"/>
      <c r="AA27" s="922"/>
      <c r="AB27" s="922"/>
      <c r="AC27" s="922"/>
      <c r="AD27" s="922"/>
      <c r="AE27" s="922"/>
    </row>
    <row r="28" spans="1:31">
      <c r="A28" s="818" t="s">
        <v>1074</v>
      </c>
      <c r="B28" s="946" t="s">
        <v>15</v>
      </c>
      <c r="C28" s="1120">
        <v>2845</v>
      </c>
      <c r="D28" s="893"/>
      <c r="E28" s="1120">
        <v>2955</v>
      </c>
      <c r="F28" s="641"/>
      <c r="G28" s="1538">
        <f>'Exhibit F'!AC124</f>
        <v>2950.6</v>
      </c>
      <c r="H28" s="641"/>
      <c r="I28" s="641">
        <f>ROUND(SUM(G28)-SUM(C28),1)</f>
        <v>105.6</v>
      </c>
      <c r="J28" s="946"/>
      <c r="K28" s="1529">
        <f>ROUND(SUM(G28)-SUM(E28),1)</f>
        <v>-4.4000000000000004</v>
      </c>
      <c r="L28" s="944"/>
      <c r="M28" s="941"/>
      <c r="N28" s="944"/>
      <c r="O28" s="941"/>
      <c r="P28" s="941"/>
      <c r="Q28" s="941"/>
      <c r="R28" s="944"/>
      <c r="S28" s="945"/>
      <c r="T28" s="922"/>
      <c r="U28" s="945"/>
      <c r="V28" s="922"/>
      <c r="W28" s="945"/>
      <c r="X28" s="946"/>
      <c r="Y28" s="922"/>
      <c r="Z28" s="922"/>
      <c r="AA28" s="922"/>
      <c r="AB28" s="922"/>
      <c r="AC28" s="922"/>
      <c r="AD28" s="922"/>
      <c r="AE28" s="922"/>
    </row>
    <row r="29" spans="1:31">
      <c r="A29" s="818" t="s">
        <v>106</v>
      </c>
      <c r="B29" s="946" t="s">
        <v>15</v>
      </c>
      <c r="C29" s="1120">
        <v>371</v>
      </c>
      <c r="D29" s="893"/>
      <c r="E29" s="1120">
        <v>378</v>
      </c>
      <c r="F29" s="641"/>
      <c r="G29" s="893">
        <f>'Exhibit F'!AC125</f>
        <v>360.4</v>
      </c>
      <c r="H29" s="641"/>
      <c r="I29" s="641">
        <f>ROUND(SUM(G29)-SUM(C29),1)</f>
        <v>-10.6</v>
      </c>
      <c r="J29" s="946"/>
      <c r="K29" s="1529">
        <f t="shared" si="1"/>
        <v>-17.600000000000001</v>
      </c>
      <c r="L29" s="944"/>
      <c r="M29" s="941"/>
      <c r="N29" s="944"/>
      <c r="O29" s="941"/>
      <c r="P29" s="941"/>
      <c r="Q29" s="941"/>
      <c r="R29" s="944"/>
      <c r="S29" s="945"/>
      <c r="T29" s="922"/>
      <c r="U29" s="945"/>
      <c r="V29" s="922"/>
      <c r="W29" s="945"/>
      <c r="X29" s="946"/>
      <c r="Y29" s="922"/>
      <c r="Z29" s="922"/>
      <c r="AA29" s="922"/>
      <c r="AB29" s="922"/>
      <c r="AC29" s="922"/>
      <c r="AD29" s="922"/>
      <c r="AE29" s="922"/>
    </row>
    <row r="30" spans="1:31">
      <c r="A30" s="818" t="s">
        <v>107</v>
      </c>
      <c r="B30" s="946" t="s">
        <v>15</v>
      </c>
      <c r="C30" s="1120">
        <v>792</v>
      </c>
      <c r="D30" s="893"/>
      <c r="E30" s="1120">
        <v>1058</v>
      </c>
      <c r="F30" s="641"/>
      <c r="G30" s="1715">
        <f>'Exhibit F'!AC126</f>
        <v>870.30000000000121</v>
      </c>
      <c r="H30" s="641"/>
      <c r="I30" s="641">
        <f>ROUND(SUM(G30)-SUM(C30),1)</f>
        <v>78.3</v>
      </c>
      <c r="J30" s="946"/>
      <c r="K30" s="1529">
        <f t="shared" si="1"/>
        <v>-187.7</v>
      </c>
      <c r="L30" s="972"/>
      <c r="M30" s="941"/>
      <c r="N30" s="942"/>
      <c r="O30" s="941"/>
      <c r="P30" s="941"/>
      <c r="Q30" s="941"/>
      <c r="R30" s="944"/>
      <c r="S30" s="945"/>
      <c r="T30" s="922"/>
      <c r="U30" s="945"/>
      <c r="V30" s="922"/>
      <c r="W30" s="945"/>
      <c r="X30" s="946"/>
      <c r="Y30" s="922"/>
      <c r="Z30" s="922"/>
      <c r="AA30" s="922"/>
      <c r="AB30" s="922"/>
      <c r="AC30" s="922"/>
      <c r="AD30" s="922"/>
      <c r="AE30" s="922"/>
    </row>
    <row r="31" spans="1:31" ht="18" customHeight="1">
      <c r="A31" s="170" t="s">
        <v>108</v>
      </c>
      <c r="B31" s="148" t="s">
        <v>15</v>
      </c>
      <c r="C31" s="1874">
        <f>ROUND(SUM(C20:C30),1)</f>
        <v>42867</v>
      </c>
      <c r="D31" s="109"/>
      <c r="E31" s="1874">
        <f>ROUND(SUM(E20:E30),1)</f>
        <v>45396</v>
      </c>
      <c r="F31" s="920"/>
      <c r="G31" s="212">
        <f>ROUND(SUM(G20:G30),1)</f>
        <v>44208.9</v>
      </c>
      <c r="H31" s="920"/>
      <c r="I31" s="291">
        <f>ROUND(SUM(I20:I30),1)</f>
        <v>1341.9</v>
      </c>
      <c r="J31" s="148"/>
      <c r="K31" s="291">
        <f>ROUND(SUM(K20:K30),1)</f>
        <v>-1187.0999999999999</v>
      </c>
      <c r="L31" s="74"/>
      <c r="M31" s="74"/>
      <c r="N31" s="74"/>
      <c r="O31" s="74"/>
      <c r="P31" s="74"/>
      <c r="Q31" s="74"/>
      <c r="R31" s="74"/>
      <c r="S31" s="148"/>
      <c r="T31" s="148"/>
      <c r="U31" s="148"/>
      <c r="V31" s="148"/>
      <c r="W31" s="148"/>
      <c r="X31" s="148"/>
      <c r="Y31" s="148"/>
      <c r="Z31" s="148"/>
      <c r="AA31" s="148"/>
      <c r="AB31" s="148"/>
      <c r="AC31" s="148"/>
      <c r="AD31" s="148"/>
      <c r="AE31" s="148"/>
    </row>
    <row r="32" spans="1:31">
      <c r="A32" s="688"/>
      <c r="B32" s="922"/>
      <c r="C32" s="1875"/>
      <c r="D32" s="893"/>
      <c r="E32" s="1875"/>
      <c r="F32" s="641"/>
      <c r="G32" s="686"/>
      <c r="H32" s="641"/>
      <c r="I32" s="941"/>
      <c r="J32" s="922"/>
      <c r="K32" s="941"/>
      <c r="L32" s="941"/>
      <c r="M32" s="941"/>
      <c r="N32" s="941"/>
      <c r="O32" s="941"/>
      <c r="P32" s="941"/>
      <c r="Q32" s="941"/>
      <c r="R32" s="941"/>
      <c r="S32" s="922"/>
      <c r="T32" s="922"/>
      <c r="U32" s="922"/>
      <c r="V32" s="922"/>
      <c r="W32" s="922"/>
      <c r="X32" s="922"/>
      <c r="Y32" s="922"/>
      <c r="Z32" s="922"/>
      <c r="AA32" s="922"/>
      <c r="AB32" s="922"/>
      <c r="AC32" s="922"/>
      <c r="AD32" s="922"/>
      <c r="AE32" s="922"/>
    </row>
    <row r="33" spans="1:31">
      <c r="A33" s="29" t="s">
        <v>23</v>
      </c>
      <c r="B33" s="922"/>
      <c r="C33" s="893"/>
      <c r="D33" s="893"/>
      <c r="E33" s="893"/>
      <c r="F33" s="641"/>
      <c r="G33" s="641"/>
      <c r="H33" s="641"/>
      <c r="I33" s="641"/>
      <c r="J33" s="922"/>
      <c r="K33" s="941"/>
      <c r="L33" s="941"/>
      <c r="M33" s="941"/>
      <c r="N33" s="941"/>
      <c r="O33" s="941"/>
      <c r="P33" s="941"/>
      <c r="Q33" s="941"/>
      <c r="R33" s="941"/>
      <c r="S33" s="922"/>
      <c r="T33" s="922"/>
      <c r="U33" s="922"/>
      <c r="V33" s="922"/>
      <c r="W33" s="922"/>
      <c r="X33" s="922"/>
      <c r="Y33" s="922"/>
      <c r="Z33" s="922"/>
      <c r="AA33" s="922"/>
      <c r="AB33" s="922"/>
      <c r="AC33" s="922"/>
      <c r="AD33" s="922"/>
      <c r="AE33" s="922"/>
    </row>
    <row r="34" spans="1:31">
      <c r="A34" s="818" t="s">
        <v>93</v>
      </c>
      <c r="B34" s="943" t="s">
        <v>15</v>
      </c>
      <c r="C34" s="1120">
        <v>26587</v>
      </c>
      <c r="D34" s="893"/>
      <c r="E34" s="1120">
        <v>24784</v>
      </c>
      <c r="F34" s="641"/>
      <c r="G34" s="679">
        <f>+'Exhibit F'!AC110</f>
        <v>24658.3</v>
      </c>
      <c r="H34" s="641"/>
      <c r="I34" s="641">
        <f>ROUND(SUM(G34)-SUM(C34),1)</f>
        <v>-1928.7</v>
      </c>
      <c r="J34" s="922"/>
      <c r="K34" s="1529">
        <f t="shared" ref="K34:K36" si="2">ROUND(SUM(G34)-SUM(E34),1)</f>
        <v>-125.7</v>
      </c>
      <c r="L34" s="942"/>
      <c r="M34" s="941"/>
      <c r="N34" s="942"/>
      <c r="O34" s="941"/>
      <c r="P34" s="941"/>
      <c r="Q34" s="941"/>
      <c r="R34" s="944"/>
      <c r="S34" s="945"/>
      <c r="T34" s="922"/>
      <c r="U34" s="945"/>
      <c r="V34" s="922"/>
      <c r="W34" s="945"/>
      <c r="X34" s="946"/>
      <c r="Y34" s="922"/>
      <c r="Z34" s="922"/>
      <c r="AA34" s="922"/>
      <c r="AB34" s="922"/>
      <c r="AC34" s="922"/>
      <c r="AD34" s="922"/>
      <c r="AE34" s="922"/>
    </row>
    <row r="35" spans="1:31">
      <c r="A35" s="818" t="s">
        <v>94</v>
      </c>
      <c r="B35" s="943" t="s">
        <v>15</v>
      </c>
      <c r="C35" s="1120">
        <v>6817</v>
      </c>
      <c r="D35" s="893"/>
      <c r="E35" s="1120">
        <v>5805</v>
      </c>
      <c r="F35" s="641"/>
      <c r="G35" s="679">
        <f>+'Exhibit F'!AC112+'Exhibit F'!AC113</f>
        <v>5818.7999999999993</v>
      </c>
      <c r="H35" s="641"/>
      <c r="I35" s="641">
        <f>ROUND(SUM(G35)-SUM(C35),1)</f>
        <v>-998.2</v>
      </c>
      <c r="J35" s="922"/>
      <c r="K35" s="1529">
        <f t="shared" si="2"/>
        <v>13.8</v>
      </c>
      <c r="L35" s="942"/>
      <c r="M35" s="941"/>
      <c r="N35" s="942"/>
      <c r="O35" s="941"/>
      <c r="P35" s="941"/>
      <c r="Q35" s="941"/>
      <c r="R35" s="942"/>
      <c r="S35" s="943"/>
      <c r="T35" s="922"/>
      <c r="U35" s="943"/>
      <c r="V35" s="922"/>
      <c r="W35" s="945"/>
      <c r="X35" s="922"/>
      <c r="Y35" s="922"/>
      <c r="Z35" s="945"/>
      <c r="AA35" s="945"/>
      <c r="AB35" s="922"/>
      <c r="AC35" s="945"/>
      <c r="AD35" s="922"/>
      <c r="AE35" s="945"/>
    </row>
    <row r="36" spans="1:31">
      <c r="A36" s="818" t="s">
        <v>69</v>
      </c>
      <c r="B36" s="943" t="s">
        <v>15</v>
      </c>
      <c r="C36" s="1120">
        <v>4956</v>
      </c>
      <c r="D36" s="893"/>
      <c r="E36" s="1120">
        <v>4779</v>
      </c>
      <c r="F36" s="641"/>
      <c r="G36" s="679">
        <f>+'Exhibit F'!AC114</f>
        <v>4773.3</v>
      </c>
      <c r="H36" s="641"/>
      <c r="I36" s="641">
        <f>ROUND(SUM(G36)-SUM(C36),1)</f>
        <v>-182.7</v>
      </c>
      <c r="J36" s="922"/>
      <c r="K36" s="1529">
        <f t="shared" si="2"/>
        <v>-5.7</v>
      </c>
      <c r="L36" s="942"/>
      <c r="M36" s="941"/>
      <c r="N36" s="942"/>
      <c r="O36" s="941"/>
      <c r="P36" s="941"/>
      <c r="Q36" s="941"/>
      <c r="R36" s="944"/>
      <c r="S36" s="945"/>
      <c r="T36" s="922"/>
      <c r="U36" s="945"/>
      <c r="V36" s="922"/>
      <c r="W36" s="945"/>
      <c r="X36" s="946"/>
      <c r="Y36" s="922"/>
      <c r="Z36" s="945"/>
      <c r="AA36" s="945"/>
      <c r="AB36" s="922"/>
      <c r="AC36" s="945"/>
      <c r="AD36" s="922"/>
      <c r="AE36" s="945"/>
    </row>
    <row r="37" spans="1:31" ht="18" customHeight="1">
      <c r="A37" s="818" t="s">
        <v>109</v>
      </c>
      <c r="B37" s="946"/>
      <c r="C37" s="657"/>
      <c r="D37" s="893"/>
      <c r="E37" s="657"/>
      <c r="F37" s="641"/>
      <c r="G37" s="657"/>
      <c r="H37" s="641"/>
      <c r="I37" s="641"/>
      <c r="J37" s="946"/>
      <c r="K37" s="1529" t="s">
        <v>15</v>
      </c>
      <c r="L37" s="972"/>
      <c r="M37" s="941"/>
      <c r="N37" s="972"/>
      <c r="O37" s="941"/>
      <c r="P37" s="941"/>
      <c r="Q37" s="941"/>
      <c r="R37" s="944"/>
      <c r="S37" s="945"/>
      <c r="T37" s="922"/>
      <c r="U37" s="945"/>
      <c r="V37" s="922"/>
      <c r="W37" s="945"/>
      <c r="X37" s="946"/>
      <c r="Y37" s="922"/>
      <c r="Z37" s="922"/>
      <c r="AA37" s="922"/>
      <c r="AB37" s="922"/>
      <c r="AC37" s="922"/>
      <c r="AD37" s="922"/>
      <c r="AE37" s="922"/>
    </row>
    <row r="38" spans="1:31">
      <c r="A38" s="818" t="s">
        <v>110</v>
      </c>
      <c r="B38" s="946" t="s">
        <v>15</v>
      </c>
      <c r="C38" s="1120">
        <v>153</v>
      </c>
      <c r="D38" s="893"/>
      <c r="E38" s="1120">
        <v>165</v>
      </c>
      <c r="F38" s="641"/>
      <c r="G38" s="683">
        <f>-'Exhibit F'!AC129</f>
        <v>166.7</v>
      </c>
      <c r="H38" s="641"/>
      <c r="I38" s="641">
        <f>ROUND(SUM(G38)-SUM(C38),1)</f>
        <v>13.7</v>
      </c>
      <c r="J38" s="946"/>
      <c r="K38" s="1529">
        <f t="shared" ref="K38:K42" si="3">ROUND(SUM(G38)-SUM(E38),1)</f>
        <v>1.7</v>
      </c>
      <c r="L38" s="944"/>
      <c r="M38" s="941"/>
      <c r="N38" s="944"/>
      <c r="O38" s="941"/>
      <c r="P38" s="941"/>
      <c r="Q38" s="941"/>
      <c r="R38" s="944"/>
      <c r="S38" s="945"/>
      <c r="T38" s="922"/>
      <c r="U38" s="945"/>
      <c r="V38" s="922"/>
      <c r="W38" s="945"/>
      <c r="X38" s="946"/>
      <c r="Y38" s="922"/>
      <c r="Z38" s="922"/>
      <c r="AA38" s="922"/>
      <c r="AB38" s="922"/>
      <c r="AC38" s="922"/>
      <c r="AD38" s="922"/>
      <c r="AE38" s="922"/>
    </row>
    <row r="39" spans="1:31">
      <c r="A39" s="818" t="s">
        <v>111</v>
      </c>
      <c r="B39" s="946" t="s">
        <v>15</v>
      </c>
      <c r="C39" s="1120">
        <v>2018</v>
      </c>
      <c r="D39" s="893"/>
      <c r="E39" s="1120">
        <v>1014</v>
      </c>
      <c r="F39" s="641"/>
      <c r="G39" s="683">
        <f>-'Exhibit F'!AC127-'Exhibit F'!AC128</f>
        <v>1158.4000000000001</v>
      </c>
      <c r="H39" s="1529" t="s">
        <v>15</v>
      </c>
      <c r="I39" s="641">
        <f>ROUND(SUM(G39)-SUM(C39),1)</f>
        <v>-859.6</v>
      </c>
      <c r="J39" s="946"/>
      <c r="K39" s="1529">
        <f>ROUND(SUM(G39)-SUM(E39),1)</f>
        <v>144.4</v>
      </c>
      <c r="L39" s="944" t="s">
        <v>15</v>
      </c>
      <c r="M39" s="941"/>
      <c r="N39" s="944"/>
      <c r="O39" s="941"/>
      <c r="P39" s="941"/>
      <c r="Q39" s="941"/>
      <c r="R39" s="944"/>
      <c r="S39" s="945"/>
      <c r="T39" s="922"/>
      <c r="U39" s="945"/>
      <c r="V39" s="922"/>
      <c r="W39" s="945"/>
      <c r="X39" s="946"/>
      <c r="Y39" s="922"/>
      <c r="Z39" s="922"/>
      <c r="AA39" s="922"/>
      <c r="AB39" s="922"/>
      <c r="AC39" s="922"/>
      <c r="AD39" s="922"/>
      <c r="AE39" s="922"/>
    </row>
    <row r="40" spans="1:31">
      <c r="A40" s="818" t="s">
        <v>112</v>
      </c>
      <c r="B40" s="946" t="s">
        <v>15</v>
      </c>
      <c r="C40" s="1120">
        <v>0</v>
      </c>
      <c r="D40" s="893"/>
      <c r="E40" s="1120">
        <v>0</v>
      </c>
      <c r="F40" s="641"/>
      <c r="G40" s="1538">
        <v>243.3</v>
      </c>
      <c r="H40" s="1529" t="s">
        <v>853</v>
      </c>
      <c r="I40" s="641">
        <f>ROUND(SUM(G40)-SUM(C40),1)</f>
        <v>243.3</v>
      </c>
      <c r="J40" s="946"/>
      <c r="K40" s="1529">
        <f t="shared" si="3"/>
        <v>243.3</v>
      </c>
      <c r="L40" s="944"/>
      <c r="M40" s="941"/>
      <c r="N40" s="944"/>
      <c r="O40" s="941"/>
      <c r="P40" s="941"/>
      <c r="Q40" s="941"/>
      <c r="R40" s="944"/>
      <c r="S40" s="945"/>
      <c r="T40" s="922"/>
      <c r="U40" s="945"/>
      <c r="V40" s="922"/>
      <c r="W40" s="945"/>
      <c r="X40" s="946"/>
      <c r="Y40" s="922"/>
      <c r="Z40" s="922"/>
      <c r="AA40" s="922"/>
      <c r="AB40" s="922"/>
      <c r="AC40" s="922"/>
      <c r="AD40" s="922"/>
      <c r="AE40" s="922"/>
    </row>
    <row r="41" spans="1:31">
      <c r="A41" s="818" t="s">
        <v>114</v>
      </c>
      <c r="B41" s="946" t="s">
        <v>115</v>
      </c>
      <c r="C41" s="1120">
        <v>1116</v>
      </c>
      <c r="D41" s="893"/>
      <c r="E41" s="1120">
        <v>909</v>
      </c>
      <c r="F41" s="641"/>
      <c r="G41" s="1538">
        <v>865</v>
      </c>
      <c r="H41" s="641"/>
      <c r="I41" s="641">
        <f>ROUND(SUM(G41)-SUM(C41),1)</f>
        <v>-251</v>
      </c>
      <c r="J41" s="946"/>
      <c r="K41" s="1529">
        <f t="shared" si="3"/>
        <v>-44</v>
      </c>
      <c r="L41" s="944"/>
      <c r="M41" s="941"/>
      <c r="N41" s="944"/>
      <c r="O41" s="941"/>
      <c r="P41" s="941"/>
      <c r="Q41" s="941"/>
      <c r="R41" s="944"/>
      <c r="S41" s="945"/>
      <c r="T41" s="922"/>
      <c r="U41" s="945"/>
      <c r="V41" s="922"/>
      <c r="W41" s="945"/>
      <c r="X41" s="946"/>
      <c r="Y41" s="922"/>
      <c r="Z41" s="922"/>
      <c r="AA41" s="922"/>
      <c r="AB41" s="922"/>
      <c r="AC41" s="922"/>
      <c r="AD41" s="922"/>
      <c r="AE41" s="922"/>
    </row>
    <row r="42" spans="1:31">
      <c r="A42" s="818" t="s">
        <v>116</v>
      </c>
      <c r="B42" s="946" t="s">
        <v>15</v>
      </c>
      <c r="C42" s="1120">
        <v>651</v>
      </c>
      <c r="D42" s="893"/>
      <c r="E42" s="1120">
        <v>783</v>
      </c>
      <c r="F42" s="641"/>
      <c r="G42" s="683">
        <v>538.5</v>
      </c>
      <c r="H42" s="641"/>
      <c r="I42" s="641">
        <f>ROUND(SUM(G42)-SUM(C42),1)</f>
        <v>-112.5</v>
      </c>
      <c r="J42" s="946"/>
      <c r="K42" s="1529">
        <f t="shared" si="3"/>
        <v>-244.5</v>
      </c>
      <c r="L42" s="972"/>
      <c r="M42" s="941"/>
      <c r="N42" s="942"/>
      <c r="O42" s="941"/>
      <c r="P42" s="941"/>
      <c r="Q42" s="941"/>
      <c r="R42" s="944"/>
      <c r="S42" s="945"/>
      <c r="T42" s="922"/>
      <c r="U42" s="945"/>
      <c r="V42" s="922"/>
      <c r="W42" s="945"/>
      <c r="X42" s="946"/>
      <c r="Y42" s="922"/>
      <c r="Z42" s="922"/>
      <c r="AA42" s="922"/>
      <c r="AB42" s="922"/>
      <c r="AC42" s="922"/>
      <c r="AD42" s="922"/>
      <c r="AE42" s="922"/>
    </row>
    <row r="43" spans="1:31" ht="18" customHeight="1">
      <c r="A43" s="170" t="s">
        <v>117</v>
      </c>
      <c r="B43" s="148" t="s">
        <v>15</v>
      </c>
      <c r="C43" s="1874">
        <f>ROUND(SUM(C34:C42),1)</f>
        <v>42298</v>
      </c>
      <c r="D43" s="109"/>
      <c r="E43" s="1874">
        <f>ROUND(SUM(E34:E42),1)</f>
        <v>38239</v>
      </c>
      <c r="F43" s="920"/>
      <c r="G43" s="212">
        <f>ROUND(SUM(G34:G42),1)</f>
        <v>38222.300000000003</v>
      </c>
      <c r="H43" s="920"/>
      <c r="I43" s="291">
        <f>ROUND(SUM(I34:I42),1)</f>
        <v>-4075.7</v>
      </c>
      <c r="J43" s="148"/>
      <c r="K43" s="291">
        <f>ROUND(SUM(K34:K42),1)</f>
        <v>-16.7</v>
      </c>
      <c r="L43" s="74"/>
      <c r="M43" s="74"/>
      <c r="N43" s="74"/>
      <c r="O43" s="74"/>
      <c r="P43" s="74"/>
      <c r="Q43" s="74"/>
      <c r="R43" s="74"/>
      <c r="S43" s="148"/>
      <c r="T43" s="148"/>
      <c r="U43" s="148"/>
      <c r="V43" s="148"/>
      <c r="W43" s="148"/>
      <c r="X43" s="148"/>
      <c r="Y43" s="148"/>
      <c r="Z43" s="148"/>
      <c r="AA43" s="148"/>
      <c r="AB43" s="148"/>
      <c r="AC43" s="148"/>
      <c r="AD43" s="148"/>
      <c r="AE43" s="148"/>
    </row>
    <row r="44" spans="1:31">
      <c r="A44" s="688"/>
      <c r="B44" s="922"/>
      <c r="C44" s="1875"/>
      <c r="D44" s="893"/>
      <c r="E44" s="1875"/>
      <c r="F44" s="641"/>
      <c r="G44" s="686"/>
      <c r="H44" s="641"/>
      <c r="I44" s="941"/>
      <c r="J44" s="922"/>
      <c r="K44" s="941"/>
      <c r="L44" s="941"/>
      <c r="M44" s="941"/>
      <c r="N44" s="941"/>
      <c r="O44" s="941"/>
      <c r="P44" s="941"/>
      <c r="Q44" s="941"/>
      <c r="R44" s="941"/>
      <c r="S44" s="922"/>
      <c r="T44" s="922"/>
      <c r="U44" s="922"/>
      <c r="V44" s="922"/>
      <c r="W44" s="922"/>
      <c r="X44" s="922"/>
      <c r="Y44" s="922"/>
      <c r="Z44" s="922"/>
      <c r="AA44" s="922"/>
      <c r="AB44" s="922"/>
      <c r="AC44" s="922"/>
      <c r="AD44" s="922"/>
      <c r="AE44" s="922"/>
    </row>
    <row r="45" spans="1:31">
      <c r="A45" s="29" t="s">
        <v>118</v>
      </c>
      <c r="B45" s="922"/>
      <c r="C45" s="893"/>
      <c r="D45" s="893"/>
      <c r="E45" s="893"/>
      <c r="F45" s="641"/>
      <c r="G45" s="641"/>
      <c r="H45" s="641"/>
      <c r="I45" s="641"/>
      <c r="J45" s="922"/>
      <c r="K45" s="941"/>
      <c r="L45" s="941"/>
      <c r="M45" s="941"/>
      <c r="N45" s="941"/>
      <c r="O45" s="941"/>
      <c r="P45" s="941"/>
      <c r="Q45" s="941"/>
      <c r="R45" s="941"/>
      <c r="S45" s="922"/>
      <c r="T45" s="922"/>
      <c r="U45" s="922"/>
      <c r="V45" s="922"/>
      <c r="W45" s="922"/>
      <c r="X45" s="922"/>
      <c r="Y45" s="922"/>
      <c r="Z45" s="922"/>
      <c r="AA45" s="922"/>
      <c r="AB45" s="922"/>
      <c r="AC45" s="922"/>
      <c r="AD45" s="922"/>
      <c r="AE45" s="922"/>
    </row>
    <row r="46" spans="1:31">
      <c r="A46" s="29" t="s">
        <v>119</v>
      </c>
      <c r="B46" s="922"/>
      <c r="C46" s="893"/>
      <c r="D46" s="893"/>
      <c r="E46" s="893"/>
      <c r="F46" s="641"/>
      <c r="G46" s="641"/>
      <c r="H46" s="641"/>
      <c r="I46" s="641"/>
      <c r="J46" s="922"/>
      <c r="K46" s="941"/>
      <c r="L46" s="941"/>
      <c r="M46" s="941"/>
      <c r="N46" s="941"/>
      <c r="O46" s="941"/>
      <c r="P46" s="941"/>
      <c r="Q46" s="941"/>
      <c r="R46" s="941"/>
      <c r="S46" s="922"/>
      <c r="T46" s="922"/>
      <c r="U46" s="922"/>
      <c r="V46" s="922"/>
      <c r="W46" s="922"/>
      <c r="X46" s="922"/>
      <c r="Y46" s="922"/>
      <c r="Z46" s="922"/>
      <c r="AA46" s="922"/>
      <c r="AB46" s="922"/>
      <c r="AC46" s="922"/>
      <c r="AD46" s="922"/>
      <c r="AE46" s="922"/>
    </row>
    <row r="47" spans="1:31">
      <c r="A47" s="170" t="s">
        <v>102</v>
      </c>
      <c r="B47" s="919" t="s">
        <v>15</v>
      </c>
      <c r="C47" s="112">
        <f>ROUND(SUM(C31)-SUM(C43),1)</f>
        <v>569</v>
      </c>
      <c r="D47" s="1103"/>
      <c r="E47" s="112">
        <f>ROUND(SUM(E31)-SUM(E43),1)</f>
        <v>7157</v>
      </c>
      <c r="F47" s="82"/>
      <c r="G47" s="74">
        <f>ROUND(SUM(G31)-SUM(G43),1)</f>
        <v>5986.6</v>
      </c>
      <c r="H47" s="82"/>
      <c r="I47" s="74">
        <f>ROUND(SUM(I31)-SUM(I43),1)</f>
        <v>5417.6</v>
      </c>
      <c r="J47" s="148"/>
      <c r="K47" s="74">
        <f>ROUND(SUM(K31)-SUM(K43),1)</f>
        <v>-1170.4000000000001</v>
      </c>
      <c r="L47" s="74"/>
      <c r="M47" s="389"/>
      <c r="N47" s="74"/>
      <c r="O47" s="389"/>
      <c r="P47" s="74"/>
      <c r="Q47" s="389"/>
      <c r="R47" s="74"/>
      <c r="S47" s="148"/>
      <c r="T47" s="171"/>
      <c r="U47" s="148"/>
      <c r="V47" s="171"/>
      <c r="W47" s="148"/>
      <c r="X47" s="148"/>
      <c r="Y47" s="171"/>
      <c r="Z47" s="148"/>
      <c r="AA47" s="148"/>
      <c r="AB47" s="171"/>
      <c r="AC47" s="148"/>
      <c r="AD47" s="171"/>
      <c r="AE47" s="148"/>
    </row>
    <row r="48" spans="1:31" ht="15" customHeight="1">
      <c r="C48" s="1483"/>
      <c r="D48" s="1650"/>
      <c r="E48" s="1483"/>
      <c r="F48" s="930"/>
      <c r="G48" s="668"/>
      <c r="H48" s="930"/>
      <c r="I48" s="74"/>
      <c r="J48" s="148"/>
      <c r="K48" s="74"/>
      <c r="L48" s="668"/>
      <c r="M48" s="668"/>
      <c r="N48" s="668"/>
      <c r="O48" s="668"/>
      <c r="P48" s="668"/>
      <c r="Q48" s="668"/>
      <c r="R48" s="668"/>
    </row>
    <row r="49" spans="1:18">
      <c r="A49" s="976" t="str">
        <f>'Exh D-Governmental  '!A49</f>
        <v>Fund Balances (Deficits) at April 1</v>
      </c>
      <c r="B49" s="620" t="s">
        <v>15</v>
      </c>
      <c r="C49" s="112">
        <f>ROUND('Exhibit F'!D12,0)</f>
        <v>8944</v>
      </c>
      <c r="D49" s="1650"/>
      <c r="E49" s="112">
        <f>ROUND('Exhibit F'!D12,0)</f>
        <v>8944</v>
      </c>
      <c r="F49" s="930"/>
      <c r="G49" s="74">
        <f>'Exhibit F'!AC12</f>
        <v>8944.2000000000007</v>
      </c>
      <c r="H49" s="930"/>
      <c r="I49" s="79">
        <f>ROUND(SUM(G49-C49),1)</f>
        <v>0.2</v>
      </c>
      <c r="J49" s="148"/>
      <c r="K49" s="920">
        <f>ROUND(SUM(G49-E49),1)</f>
        <v>0.2</v>
      </c>
      <c r="L49" s="74"/>
      <c r="M49" s="668"/>
      <c r="N49" s="74"/>
      <c r="O49" s="668"/>
      <c r="P49" s="79"/>
      <c r="Q49" s="668"/>
      <c r="R49" s="668"/>
    </row>
    <row r="50" spans="1:18" ht="18" customHeight="1" thickBot="1">
      <c r="A50" s="170" t="str">
        <f>'Exh D-Governmental  '!A50</f>
        <v>Fund Balances (Deficits) at October 31, 2020</v>
      </c>
      <c r="B50" s="177" t="s">
        <v>15</v>
      </c>
      <c r="C50" s="2057">
        <f>ROUND(SUM(C47:C49),1)</f>
        <v>9513</v>
      </c>
      <c r="D50" s="2058"/>
      <c r="E50" s="2057">
        <f>ROUND(SUM(E47:E49),1)</f>
        <v>16101</v>
      </c>
      <c r="F50" s="178"/>
      <c r="G50" s="95">
        <f>ROUND(SUM(G47:G49),1)</f>
        <v>14930.8</v>
      </c>
      <c r="H50" s="178"/>
      <c r="I50" s="95">
        <f>ROUND(SUM(I47:I49),1)</f>
        <v>5417.8</v>
      </c>
      <c r="J50" s="148"/>
      <c r="K50" s="95">
        <f>ROUND(SUM(K47:K49),1)</f>
        <v>-1170.2</v>
      </c>
      <c r="L50" s="216"/>
      <c r="M50" s="973"/>
      <c r="N50" s="216"/>
      <c r="O50" s="973"/>
      <c r="P50" s="216"/>
    </row>
    <row r="51" spans="1:18" ht="15" customHeight="1" thickTop="1">
      <c r="A51" s="152"/>
      <c r="G51" s="620"/>
      <c r="J51" s="620"/>
      <c r="L51" s="687"/>
      <c r="M51" s="974"/>
      <c r="N51" s="974"/>
      <c r="O51" s="974"/>
      <c r="P51" s="974"/>
    </row>
    <row r="52" spans="1:18">
      <c r="A52" s="934" t="str">
        <f>'Exh D-Governmental  '!A52</f>
        <v>(*)    Source: 2020-21 Enacted Financial Plan dated April 25, 2020.</v>
      </c>
      <c r="M52" s="620"/>
      <c r="N52" s="620"/>
      <c r="O52" s="620"/>
      <c r="P52" s="620"/>
    </row>
    <row r="53" spans="1:18">
      <c r="A53" s="934" t="str">
        <f>'Exh D-Governmental  '!A53</f>
        <v>(**)   Source: 2020-21 Mid Year Update dated October 30, 2020.</v>
      </c>
      <c r="M53" s="620"/>
      <c r="N53" s="620"/>
      <c r="O53" s="620"/>
      <c r="P53" s="620"/>
    </row>
    <row r="54" spans="1:18">
      <c r="A54" s="1497" t="s">
        <v>1514</v>
      </c>
      <c r="M54" s="620"/>
      <c r="N54" s="620"/>
      <c r="O54" s="620"/>
      <c r="P54" s="620"/>
    </row>
    <row r="55" spans="1:18">
      <c r="A55" s="1497" t="s">
        <v>1310</v>
      </c>
      <c r="M55" s="620"/>
      <c r="N55" s="620"/>
      <c r="O55" s="620"/>
      <c r="P55" s="620"/>
    </row>
    <row r="56" spans="1:18">
      <c r="A56" s="1497" t="s">
        <v>15</v>
      </c>
      <c r="M56" s="620"/>
      <c r="N56" s="620"/>
      <c r="O56" s="620"/>
      <c r="P56" s="620"/>
    </row>
    <row r="57" spans="1:18">
      <c r="A57" s="948"/>
      <c r="M57" s="620"/>
      <c r="N57" s="620"/>
      <c r="O57" s="620"/>
      <c r="P57" s="620"/>
    </row>
    <row r="58" spans="1:18">
      <c r="M58" s="620"/>
      <c r="N58" s="620"/>
      <c r="O58" s="620"/>
      <c r="P58" s="620"/>
    </row>
    <row r="59" spans="1:18">
      <c r="A59" s="3067"/>
      <c r="C59" s="2147"/>
      <c r="M59" s="620"/>
      <c r="N59" s="620"/>
      <c r="O59" s="620"/>
      <c r="P59" s="620"/>
    </row>
    <row r="60" spans="1:18">
      <c r="A60" s="201"/>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2020-11-16T22:21:37Z</dcterms:created>
  <dcterms:modified xsi:type="dcterms:W3CDTF">2020-11-16T22:25:04Z</dcterms:modified>
</cp:coreProperties>
</file>