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6819"/>
  <workbookPr filterPrivacy="1" autoCompressPictures="0"/>
  <bookViews>
    <workbookView xWindow="240" yWindow="100" windowWidth="20740" windowHeight="9280" tabRatio="711"/>
  </bookViews>
  <sheets>
    <sheet name="Table of Contents" sheetId="1" r:id="rId1"/>
    <sheet name="SCH 1" sheetId="2" r:id="rId2"/>
    <sheet name="SCH 2" sheetId="3" r:id="rId3"/>
    <sheet name="SCH 2-Misc Receipts" sheetId="4" r:id="rId4"/>
    <sheet name="SCH 3" sheetId="5" r:id="rId5"/>
    <sheet name="SCH 4" sheetId="6" r:id="rId6"/>
    <sheet name="SCH 5" sheetId="7" r:id="rId7"/>
    <sheet name="SCH 6" sheetId="8" r:id="rId8"/>
    <sheet name="SCH 6 Supplemental" sheetId="9" r:id="rId9"/>
    <sheet name="SCH 7" sheetId="10" r:id="rId10"/>
    <sheet name="SCH 8" sheetId="11" r:id="rId11"/>
    <sheet name="SCH 9" sheetId="12" r:id="rId12"/>
    <sheet name="SCH 10" sheetId="13" r:id="rId13"/>
    <sheet name="SCH 11" sheetId="14" r:id="rId14"/>
    <sheet name="SCH 12" sheetId="15" r:id="rId15"/>
    <sheet name="SCH 13" sheetId="16" r:id="rId16"/>
    <sheet name="SCH 14" sheetId="17" r:id="rId17"/>
    <sheet name="SCH 15" sheetId="18" r:id="rId18"/>
    <sheet name="SCH 16" sheetId="19" r:id="rId19"/>
    <sheet name="SCH 17" sheetId="20" r:id="rId20"/>
    <sheet name="SCH 18 pg1" sheetId="21" r:id="rId21"/>
    <sheet name="SCH 18 pg2" sheetId="22" r:id="rId22"/>
    <sheet name="SCH 19" sheetId="23" r:id="rId23"/>
    <sheet name="SCH 20" sheetId="24" r:id="rId24"/>
    <sheet name="SCH 21" sheetId="25" r:id="rId25"/>
    <sheet name="SCH 21a" sheetId="26" r:id="rId26"/>
    <sheet name="SCH 21b" sheetId="27" r:id="rId27"/>
    <sheet name="SCH 21c" sheetId="28" r:id="rId28"/>
    <sheet name="SCH 22" sheetId="29" r:id="rId29"/>
    <sheet name="SCH 23" sheetId="30" r:id="rId30"/>
    <sheet name="SCH 24" sheetId="31" r:id="rId31"/>
    <sheet name="SCH 25" sheetId="32" r:id="rId32"/>
    <sheet name="SCH 26 " sheetId="33" r:id="rId33"/>
    <sheet name="SCH 27" sheetId="34" r:id="rId34"/>
    <sheet name="SCH 28" sheetId="35" r:id="rId35"/>
    <sheet name="SCH 29" sheetId="36" r:id="rId36"/>
    <sheet name="SCH 30" sheetId="37" r:id="rId37"/>
    <sheet name="SCH 31" sheetId="38" r:id="rId38"/>
    <sheet name="SCH 32" sheetId="39" r:id="rId39"/>
    <sheet name="SCH 33" sheetId="40" r:id="rId40"/>
    <sheet name="SCH 34" sheetId="41" r:id="rId41"/>
    <sheet name="Appendix" sheetId="42" r:id="rId42"/>
  </sheets>
  <definedNames>
    <definedName name="_1PAGE_1" localSheetId="14">'SCH 12'!$A$3:$I$31</definedName>
    <definedName name="_1SCHEDULE_18">'SCH 19'!$A$3:$R$9</definedName>
    <definedName name="_xlnm._FilterDatabase" localSheetId="41" hidden="1">Appendix!$A$9:$E$160</definedName>
    <definedName name="_xlnm._FilterDatabase" localSheetId="11" hidden="1">'SCH 9'!$A$110:$S$154</definedName>
    <definedName name="_pg1">'SCH 17'!$A$3:$U$60</definedName>
    <definedName name="_pg2">'SCH 17'!$V$3:$AG$60</definedName>
    <definedName name="_pg3">'SCH 17'!$AH$3:$AS$60</definedName>
    <definedName name="_SCH1">'SCH 1'!$A$3:$I$46</definedName>
    <definedName name="_SCH12" localSheetId="14">'SCH 12'!$A$3:$I$28</definedName>
    <definedName name="_SCH2" localSheetId="2">'SCH 2'!$A$3:$R$71</definedName>
    <definedName name="_SCH2" localSheetId="3">'SCH 2-Misc Receipts'!$A$3:$Q$116</definedName>
    <definedName name="_SCH2" localSheetId="5">'SCH 4'!$A$3:$Z$49</definedName>
    <definedName name="_SCH2">#REF!</definedName>
    <definedName name="_SCH3">'SCH 3'!$A$3:$Q$53</definedName>
    <definedName name="check">'SCH 19'!$R$3:$U$9</definedName>
    <definedName name="copyalrs33103" localSheetId="40">#REF!</definedName>
    <definedName name="copyalrs33103">'SCH 12'!$A$3:$I$28</definedName>
    <definedName name="DIFFERENCE">'SCH 24'!$A$3:$AF$68</definedName>
    <definedName name="FINAL" localSheetId="28">'SCH 22'!$A$3:$AE$98</definedName>
    <definedName name="FINAL" localSheetId="29">'SCH 23'!$A$3:$AG$89</definedName>
    <definedName name="FINAL" localSheetId="32">'SCH 26 '!$A$3:$AA$58</definedName>
    <definedName name="FINAL" localSheetId="33">'SCH 27'!$A$3:$AA$21</definedName>
    <definedName name="GF" localSheetId="28">'SCH 22'!$A$3:$AE$99</definedName>
    <definedName name="GF" localSheetId="29">'SCH 23'!$A$3:$AH$91</definedName>
    <definedName name="GF" localSheetId="32">'SCH 26 '!$A$3:$AB$58</definedName>
    <definedName name="GF" localSheetId="33">'SCH 27'!$A$3:$AB$21</definedName>
    <definedName name="Page_1" localSheetId="5">'SCH 4'!$A$3:$R$52</definedName>
    <definedName name="Page_1">#REF!</definedName>
    <definedName name="Page_2" localSheetId="5">'SCH 4'!$S$3:$AH$52</definedName>
    <definedName name="Page_2">#REF!</definedName>
    <definedName name="PAGE1" localSheetId="16">'SCH 14'!$A$3:$J$35</definedName>
    <definedName name="page1" localSheetId="39">'SCH 33'!$A$3:$M$74</definedName>
    <definedName name="page1" localSheetId="0">'Table of Contents'!$A$6:$J$29</definedName>
    <definedName name="PAGE2" localSheetId="16">'SCH 14'!$A$43:$J$57</definedName>
    <definedName name="page2" localSheetId="39">'SCH 33'!$A$77:$M$140</definedName>
    <definedName name="page2" localSheetId="0">'Table of Contents'!$A$30:$J$73</definedName>
    <definedName name="page3">'SCH 33'!$A$141:$M$218</definedName>
    <definedName name="_xlnm.Print_Area" localSheetId="41">Appendix!$A$1:$E$162</definedName>
    <definedName name="_xlnm.Print_Area" localSheetId="1">'SCH 1'!$A$3:$K$48</definedName>
    <definedName name="_xlnm.Print_Area" localSheetId="12">'SCH 10'!$A$3:$W$115</definedName>
    <definedName name="_xlnm.Print_Area" localSheetId="13">'SCH 11'!$A$3:$I$34</definedName>
    <definedName name="_xlnm.Print_Area" localSheetId="14">'SCH 12'!$A$3:$I$30</definedName>
    <definedName name="_xlnm.Print_Area" localSheetId="15">'SCH 13'!$A$3:$I$34</definedName>
    <definedName name="_xlnm.Print_Area" localSheetId="16">'SCH 14'!$A$2:$I$53</definedName>
    <definedName name="_xlnm.Print_Area" localSheetId="17">'SCH 15'!$A$2:$Q$59</definedName>
    <definedName name="_xlnm.Print_Area" localSheetId="18">'SCH 16'!$A$3:$Q$69</definedName>
    <definedName name="_xlnm.Print_Area" localSheetId="19">'SCH 17'!$A$3:$AS$56</definedName>
    <definedName name="_xlnm.Print_Area" localSheetId="20">'SCH 18 pg1'!$A$3:$S$57</definedName>
    <definedName name="_xlnm.Print_Area" localSheetId="21">'SCH 18 pg2'!$A$3:$Y$60</definedName>
    <definedName name="_xlnm.Print_Area" localSheetId="22">'SCH 19'!$A$3:$T$59</definedName>
    <definedName name="_xlnm.Print_Area" localSheetId="2">'SCH 2'!$A$3:$V$72</definedName>
    <definedName name="_xlnm.Print_Area" localSheetId="3">'SCH 2-Misc Receipts'!$A$3:$U$116</definedName>
    <definedName name="_xlnm.Print_Area" localSheetId="23">'SCH 20'!$A$3:$AQ$56</definedName>
    <definedName name="_xlnm.Print_Area" localSheetId="24">'SCH 21'!$A$2:$V$36</definedName>
    <definedName name="_xlnm.Print_Area" localSheetId="25">'SCH 21a'!$A$3:$X$45</definedName>
    <definedName name="_xlnm.Print_Area" localSheetId="26">'SCH 21b'!$A$3:$X$62</definedName>
    <definedName name="_xlnm.Print_Area" localSheetId="27">'SCH 21c'!$A$3:$X$50</definedName>
    <definedName name="_xlnm.Print_Area" localSheetId="28">'SCH 22'!$A$3:$AE$105</definedName>
    <definedName name="_xlnm.Print_Area" localSheetId="29">'SCH 23'!$A$3:$AG$91</definedName>
    <definedName name="_xlnm.Print_Area" localSheetId="30">'SCH 24'!$A$3:$AF$66</definedName>
    <definedName name="_xlnm.Print_Area" localSheetId="31">'SCH 25'!$A$3:$I$38</definedName>
    <definedName name="_xlnm.Print_Area" localSheetId="32">'SCH 26 '!$A$3:$AB$60</definedName>
    <definedName name="_xlnm.Print_Area" localSheetId="33">'SCH 27'!$A$14:$AA$22</definedName>
    <definedName name="_xlnm.Print_Area" localSheetId="34">'SCH 28'!$A$2:$I$101</definedName>
    <definedName name="_xlnm.Print_Area" localSheetId="35">'SCH 29'!$A$3:$L$47</definedName>
    <definedName name="_xlnm.Print_Area" localSheetId="4">'SCH 3'!$A$3:$U$59</definedName>
    <definedName name="_xlnm.Print_Area" localSheetId="36">'SCH 30'!$A$3:$AA$54</definedName>
    <definedName name="_xlnm.Print_Area" localSheetId="37">'SCH 31'!$A$3:$Q$35</definedName>
    <definedName name="_xlnm.Print_Area" localSheetId="38">'SCH 32'!$A$3:$N$61</definedName>
    <definedName name="_xlnm.Print_Area" localSheetId="39">'SCH 33'!$A$3:$M$200</definedName>
    <definedName name="_xlnm.Print_Area" localSheetId="40">'SCH 34'!$A$3:$K$361</definedName>
    <definedName name="_xlnm.Print_Area" localSheetId="5">'SCH 4'!$A$3:$AH$52</definedName>
    <definedName name="_xlnm.Print_Area" localSheetId="6">'SCH 5'!$A$3:$W$49</definedName>
    <definedName name="_xlnm.Print_Area" localSheetId="7">'SCH 6'!$A$3:$U$70</definedName>
    <definedName name="_xlnm.Print_Area" localSheetId="8">'SCH 6 Supplemental'!$A$3:$U$71</definedName>
    <definedName name="_xlnm.Print_Area" localSheetId="9">'SCH 7'!$A$3:$O$59</definedName>
    <definedName name="_xlnm.Print_Area" localSheetId="10">'SCH 8'!$A$3:$S$40</definedName>
    <definedName name="_xlnm.Print_Area" localSheetId="11">'SCH 9'!$A$3:$S$447</definedName>
    <definedName name="_xlnm.Print_Area" localSheetId="0">'Table of Contents'!$A$1:$J$74</definedName>
    <definedName name="_xlnm.Print_Area">#REF!</definedName>
    <definedName name="_xlnm.Print_Titles" localSheetId="41">Appendix!$2:$9</definedName>
    <definedName name="_xlnm.Print_Titles" localSheetId="16">'SCH 14'!$3:$7</definedName>
    <definedName name="_xlnm.Print_Titles" localSheetId="19">'SCH 17'!$A:$E,'SCH 17'!$3:$11</definedName>
    <definedName name="_xlnm.Print_Titles" localSheetId="23">'SCH 20'!$A:$A</definedName>
    <definedName name="_xlnm.Print_Titles" localSheetId="30">'SCH 24'!$3:$16</definedName>
    <definedName name="_xlnm.Print_Titles" localSheetId="33">'SCH 27'!$3:$13</definedName>
    <definedName name="_xlnm.Print_Titles" localSheetId="5">'SCH 4'!$A:$A</definedName>
    <definedName name="_xlnm.Print_Titles" localSheetId="0">'Table of Contents'!$1:$14</definedName>
    <definedName name="_xlnm.Print_Titles">#N/A</definedName>
    <definedName name="SCH_16_print">'SCH 16'!$A$3:$U$70</definedName>
    <definedName name="Sch_19_print">'SCH 19'!$A$3:$R$9</definedName>
    <definedName name="Sch_5_print">'SCH 5'!$A$3:$D$42</definedName>
    <definedName name="Sch_8_print">'SCH 8'!$A$16:$Q$39</definedName>
    <definedName name="Sch_9_print">'SCH 9'!$A$15:$S$33</definedName>
    <definedName name="Sched30">'SCH 32'!$B$3:$E$25</definedName>
    <definedName name="SCHEDULE_15">'SCH 16'!$A$3:$U$70</definedName>
    <definedName name="SCHEDULE_18">'SCH 19'!$A$3:$R$9</definedName>
    <definedName name="Schedule_25">'SCH 25'!$A$3:$I$40</definedName>
    <definedName name="Schedule12" localSheetId="40">#REF!</definedName>
    <definedName name="Schedule12">'SCH 13'!$A$3:$J$41</definedName>
    <definedName name="schedule2" localSheetId="13">'SCH 11'!$A$3:$I$32</definedName>
    <definedName name="SRFED">'SCH 24'!$A$3:$AF$62</definedName>
    <definedName name="STATE_OF_NEW_YORK" localSheetId="13">'SCH 11'!$A$3:$I$32</definedName>
    <definedName name="TOTALS">'SCH 24'!$A$3:$AF$68</definedName>
    <definedName name="Z_17D9E78F_E50F_4F9C_B2FD_8BC2AE8D1A93_.wvu.Cols" localSheetId="9" hidden="1">'SCH 7'!#REF!</definedName>
    <definedName name="Z_17D9E78F_E50F_4F9C_B2FD_8BC2AE8D1A93_.wvu.PrintArea" localSheetId="7" hidden="1">'SCH 6'!$A$3:$U$70</definedName>
    <definedName name="Z_17D9E78F_E50F_4F9C_B2FD_8BC2AE8D1A93_.wvu.PrintArea" localSheetId="8" hidden="1">'SCH 6 Supplemental'!$A$3:$U$71</definedName>
    <definedName name="Z_17D9E78F_E50F_4F9C_B2FD_8BC2AE8D1A93_.wvu.PrintArea" localSheetId="9" hidden="1">'SCH 7'!$A$3:$O$59</definedName>
    <definedName name="Z_17D9E78F_E50F_4F9C_B2FD_8BC2AE8D1A93_.wvu.Rows" localSheetId="7" hidden="1">'SCH 6'!#REF!</definedName>
    <definedName name="Z_17D9E78F_E50F_4F9C_B2FD_8BC2AE8D1A93_.wvu.Rows" localSheetId="8" hidden="1">'SCH 6 Supplemental'!#REF!,'SCH 6 Supplemental'!$69:$69</definedName>
    <definedName name="Z_2305217D_C078_4CF6_9B74_09BF64FE0B02_.wvu.FilterData" localSheetId="11" hidden="1">'SCH 9'!$A$110:$S$154</definedName>
    <definedName name="Z_2F293E0C_46F6_4909_9632_54E30F870621_.wvu.Cols" localSheetId="9" hidden="1">'SCH 7'!#REF!</definedName>
    <definedName name="Z_2F293E0C_46F6_4909_9632_54E30F870621_.wvu.PrintArea" localSheetId="7" hidden="1">'SCH 6'!$A$3:$U$70</definedName>
    <definedName name="Z_2F293E0C_46F6_4909_9632_54E30F870621_.wvu.PrintArea" localSheetId="8" hidden="1">'SCH 6 Supplemental'!$A$3:$U$71</definedName>
    <definedName name="Z_2F293E0C_46F6_4909_9632_54E30F870621_.wvu.PrintArea" localSheetId="9" hidden="1">'SCH 7'!$A$3:$O$59</definedName>
    <definedName name="Z_2F293E0C_46F6_4909_9632_54E30F870621_.wvu.Rows" localSheetId="7" hidden="1">'SCH 6'!#REF!</definedName>
    <definedName name="Z_2F293E0C_46F6_4909_9632_54E30F870621_.wvu.Rows" localSheetId="8" hidden="1">'SCH 6 Supplemental'!#REF!,'SCH 6 Supplemental'!$69:$69</definedName>
    <definedName name="Z_3A1FEABB_1463_4BEC_9652_EFF91A972E5E_.wvu.PrintArea" localSheetId="24" hidden="1">'SCH 21'!$A$2:$V$34</definedName>
    <definedName name="Z_3A1FEABB_1463_4BEC_9652_EFF91A972E5E_.wvu.PrintArea" localSheetId="25" hidden="1">'SCH 21a'!$A$3:$X$45</definedName>
    <definedName name="Z_3A1FEABB_1463_4BEC_9652_EFF91A972E5E_.wvu.PrintArea" localSheetId="26" hidden="1">'SCH 21b'!$A$3:$X$62</definedName>
    <definedName name="Z_3A1FEABB_1463_4BEC_9652_EFF91A972E5E_.wvu.PrintArea" localSheetId="27" hidden="1">'SCH 21c'!$A$3:$X$46</definedName>
    <definedName name="Z_4FE4C711_D99E_4BDE_830D_C202D77EE41E_.wvu.PrintArea" localSheetId="24" hidden="1">'SCH 21'!$A$2:$V$34</definedName>
    <definedName name="Z_4FE4C711_D99E_4BDE_830D_C202D77EE41E_.wvu.PrintArea" localSheetId="25" hidden="1">'SCH 21a'!$A$3:$X$45</definedName>
    <definedName name="Z_4FE4C711_D99E_4BDE_830D_C202D77EE41E_.wvu.PrintArea" localSheetId="26" hidden="1">'SCH 21b'!$A$3:$X$62</definedName>
    <definedName name="Z_4FE4C711_D99E_4BDE_830D_C202D77EE41E_.wvu.PrintArea" localSheetId="27" hidden="1">'SCH 21c'!$A$3:$X$46</definedName>
    <definedName name="Z_5D7BBA57_EB2D_4ED9_B5B0_B0583A9BAC0D_.wvu.PrintArea" localSheetId="40" hidden="1">'SCH 34'!$A$3:$K$361</definedName>
    <definedName name="Z_5D7BBA57_EB2D_4ED9_B5B0_B0583A9BAC0D_.wvu.PrintArea" localSheetId="5" hidden="1">'SCH 4'!$A$3:$AH$52</definedName>
    <definedName name="Z_5D7BBA57_EB2D_4ED9_B5B0_B0583A9BAC0D_.wvu.PrintTitles" localSheetId="5" hidden="1">'SCH 4'!$A:$A</definedName>
    <definedName name="Z_5FE5AB88_E97C_47BF_BE11_48566B8A8577_.wvu.PrintArea" localSheetId="24" hidden="1">'SCH 21'!$A$2:$V$34</definedName>
    <definedName name="Z_5FE5AB88_E97C_47BF_BE11_48566B8A8577_.wvu.PrintArea" localSheetId="25" hidden="1">'SCH 21a'!$A$3:$X$45</definedName>
    <definedName name="Z_5FE5AB88_E97C_47BF_BE11_48566B8A8577_.wvu.PrintArea" localSheetId="26" hidden="1">'SCH 21b'!$A$3:$X$62</definedName>
    <definedName name="Z_5FE5AB88_E97C_47BF_BE11_48566B8A8577_.wvu.PrintArea" localSheetId="27" hidden="1">'SCH 21c'!$A$3:$X$46</definedName>
    <definedName name="Z_61EEA241_9614_4DAC_8318_DF30B583B1F8_.wvu.PrintArea" localSheetId="24" hidden="1">'SCH 21'!$A$2:$V$34</definedName>
    <definedName name="Z_61EEA241_9614_4DAC_8318_DF30B583B1F8_.wvu.PrintArea" localSheetId="25" hidden="1">'SCH 21a'!$A$3:$X$45</definedName>
    <definedName name="Z_61EEA241_9614_4DAC_8318_DF30B583B1F8_.wvu.PrintArea" localSheetId="26" hidden="1">'SCH 21b'!$A$3:$X$62</definedName>
    <definedName name="Z_61EEA241_9614_4DAC_8318_DF30B583B1F8_.wvu.PrintArea" localSheetId="27" hidden="1">'SCH 21c'!$A$3:$X$46</definedName>
    <definedName name="Z_63690CDE_65AE_4C7B_A29C_2201310F321A_.wvu.Cols" localSheetId="9" hidden="1">'SCH 7'!#REF!</definedName>
    <definedName name="Z_63690CDE_65AE_4C7B_A29C_2201310F321A_.wvu.PrintArea" localSheetId="7" hidden="1">'SCH 6'!$A$3:$U$70</definedName>
    <definedName name="Z_63690CDE_65AE_4C7B_A29C_2201310F321A_.wvu.PrintArea" localSheetId="8" hidden="1">'SCH 6 Supplemental'!$A$3:$U$71</definedName>
    <definedName name="Z_63690CDE_65AE_4C7B_A29C_2201310F321A_.wvu.PrintArea" localSheetId="9" hidden="1">'SCH 7'!$A$3:$O$59</definedName>
    <definedName name="Z_63690CDE_65AE_4C7B_A29C_2201310F321A_.wvu.Rows" localSheetId="7" hidden="1">'SCH 6'!#REF!</definedName>
    <definedName name="Z_63690CDE_65AE_4C7B_A29C_2201310F321A_.wvu.Rows" localSheetId="8" hidden="1">'SCH 6 Supplemental'!#REF!,'SCH 6 Supplemental'!$69:$69</definedName>
    <definedName name="Z_6B4403C1_3CA5_4A61_8C3E_03B79A7352E6_.wvu.PrintArea" localSheetId="24" hidden="1">'SCH 21'!$A$2:$V$34</definedName>
    <definedName name="Z_6B4403C1_3CA5_4A61_8C3E_03B79A7352E6_.wvu.PrintArea" localSheetId="25" hidden="1">'SCH 21a'!$A$3:$X$45</definedName>
    <definedName name="Z_6B4403C1_3CA5_4A61_8C3E_03B79A7352E6_.wvu.PrintArea" localSheetId="26" hidden="1">'SCH 21b'!$A$3:$X$62</definedName>
    <definedName name="Z_6B4403C1_3CA5_4A61_8C3E_03B79A7352E6_.wvu.PrintArea" localSheetId="27" hidden="1">'SCH 21c'!$A$3:$X$46</definedName>
    <definedName name="Z_BFE9355C_D4AE_4B91_AF0E_D28CA3775B17_.wvu.Cols" localSheetId="9" hidden="1">'SCH 7'!#REF!</definedName>
    <definedName name="Z_BFE9355C_D4AE_4B91_AF0E_D28CA3775B17_.wvu.PrintArea" localSheetId="7" hidden="1">'SCH 6'!$A$3:$U$70</definedName>
    <definedName name="Z_BFE9355C_D4AE_4B91_AF0E_D28CA3775B17_.wvu.PrintArea" localSheetId="8" hidden="1">'SCH 6 Supplemental'!$A$3:$U$71</definedName>
    <definedName name="Z_BFE9355C_D4AE_4B91_AF0E_D28CA3775B17_.wvu.PrintArea" localSheetId="9" hidden="1">'SCH 7'!$A$3:$O$59</definedName>
    <definedName name="Z_BFE9355C_D4AE_4B91_AF0E_D28CA3775B17_.wvu.Rows" localSheetId="7" hidden="1">'SCH 6'!#REF!</definedName>
    <definedName name="Z_BFE9355C_D4AE_4B91_AF0E_D28CA3775B17_.wvu.Rows" localSheetId="8" hidden="1">'SCH 6 Supplemental'!#REF!,'SCH 6 Supplemental'!$69:$69</definedName>
    <definedName name="Z_CE82124C_9858_4E74_B907_144CC053B26D_.wvu.Cols" localSheetId="9" hidden="1">'SCH 7'!#REF!</definedName>
    <definedName name="Z_CE82124C_9858_4E74_B907_144CC053B26D_.wvu.PrintArea" localSheetId="7" hidden="1">'SCH 6'!$A$3:$U$70</definedName>
    <definedName name="Z_CE82124C_9858_4E74_B907_144CC053B26D_.wvu.PrintArea" localSheetId="8" hidden="1">'SCH 6 Supplemental'!$A$3:$U$71</definedName>
    <definedName name="Z_CE82124C_9858_4E74_B907_144CC053B26D_.wvu.PrintArea" localSheetId="9" hidden="1">'SCH 7'!$A$3:$O$59</definedName>
    <definedName name="Z_CE82124C_9858_4E74_B907_144CC053B26D_.wvu.Rows" localSheetId="7" hidden="1">'SCH 6'!#REF!</definedName>
    <definedName name="Z_CE82124C_9858_4E74_B907_144CC053B26D_.wvu.Rows" localSheetId="8" hidden="1">'SCH 6 Supplemental'!#REF!,'SCH 6 Supplemental'!$69:$69</definedName>
    <definedName name="Z_D89BD60A_ADCB_4349_A74F_44B462530A4A_.wvu.PrintArea" localSheetId="24" hidden="1">'SCH 21'!$A$2:$V$34</definedName>
    <definedName name="Z_D89BD60A_ADCB_4349_A74F_44B462530A4A_.wvu.PrintArea" localSheetId="25" hidden="1">'SCH 21a'!$A$3:$X$45</definedName>
    <definedName name="Z_D89BD60A_ADCB_4349_A74F_44B462530A4A_.wvu.PrintArea" localSheetId="26" hidden="1">'SCH 21b'!$A$3:$X$62</definedName>
    <definedName name="Z_D89BD60A_ADCB_4349_A74F_44B462530A4A_.wvu.PrintArea" localSheetId="27" hidden="1">'SCH 21c'!$A$3:$X$46</definedName>
    <definedName name="Z_ED3159C1_C8BB_4E3F_B115_F30B7E0A8348_.wvu.PrintArea" localSheetId="24" hidden="1">'SCH 21'!$A$2:$V$34</definedName>
    <definedName name="Z_ED3159C1_C8BB_4E3F_B115_F30B7E0A8348_.wvu.PrintArea" localSheetId="25" hidden="1">'SCH 21a'!$A$3:$X$45</definedName>
    <definedName name="Z_ED3159C1_C8BB_4E3F_B115_F30B7E0A8348_.wvu.PrintArea" localSheetId="26" hidden="1">'SCH 21b'!$A$3:$X$62</definedName>
    <definedName name="Z_ED3159C1_C8BB_4E3F_B115_F30B7E0A8348_.wvu.PrintArea" localSheetId="27" hidden="1">'SCH 21c'!$A$3:$X$46</definedName>
    <definedName name="Z_FD30C435_4331_4D51_9F28_2083D67F73B8_.wvu.Cols" localSheetId="9" hidden="1">'SCH 7'!#REF!</definedName>
    <definedName name="Z_FD30C435_4331_4D51_9F28_2083D67F73B8_.wvu.PrintArea" localSheetId="7" hidden="1">'SCH 6'!$A$3:$U$70</definedName>
    <definedName name="Z_FD30C435_4331_4D51_9F28_2083D67F73B8_.wvu.PrintArea" localSheetId="8" hidden="1">'SCH 6 Supplemental'!$A$3:$U$71</definedName>
    <definedName name="Z_FD30C435_4331_4D51_9F28_2083D67F73B8_.wvu.PrintArea" localSheetId="9" hidden="1">'SCH 7'!$A$3:$O$59</definedName>
    <definedName name="Z_FD30C435_4331_4D51_9F28_2083D67F73B8_.wvu.Rows" localSheetId="7" hidden="1">'SCH 6'!#REF!</definedName>
    <definedName name="Z_FD30C435_4331_4D51_9F28_2083D67F73B8_.wvu.Rows" localSheetId="8" hidden="1">'SCH 6 Supplemental'!#REF!,'SCH 6 Supplemental'!$69:$69</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W35" i="26" l="1"/>
  <c r="X19" i="27"/>
  <c r="X56" i="27"/>
  <c r="X58" i="27"/>
  <c r="L28" i="6"/>
  <c r="L37" i="6"/>
  <c r="L46" i="6"/>
  <c r="L48" i="6"/>
  <c r="AF45" i="6"/>
  <c r="AF40" i="6"/>
  <c r="AF41" i="6"/>
  <c r="AF42" i="6"/>
  <c r="AF43" i="6"/>
  <c r="AF44" i="6"/>
  <c r="AF46" i="6"/>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G57" i="12"/>
  <c r="Q57" i="12"/>
  <c r="Q58" i="12"/>
  <c r="Q59" i="12"/>
  <c r="Q60" i="12"/>
  <c r="Q61" i="12"/>
  <c r="Q62" i="12"/>
  <c r="Q63" i="12"/>
  <c r="Q64" i="12"/>
  <c r="Q65" i="12"/>
  <c r="Q66" i="12"/>
  <c r="Q67" i="12"/>
  <c r="Q68" i="12"/>
  <c r="Q69" i="12"/>
  <c r="Q70" i="12"/>
  <c r="Q71" i="12"/>
  <c r="Q72" i="12"/>
  <c r="Q73" i="12"/>
  <c r="Q74" i="12"/>
  <c r="Q75" i="12"/>
  <c r="Q76" i="12"/>
  <c r="Q77" i="12"/>
  <c r="Q78" i="12"/>
  <c r="Q99" i="12"/>
  <c r="Q100" i="12"/>
  <c r="Q101" i="12"/>
  <c r="Q102" i="12"/>
  <c r="Q103" i="12"/>
  <c r="Q104" i="12"/>
  <c r="Q105" i="12"/>
  <c r="Q106" i="12"/>
  <c r="G32" i="13"/>
  <c r="G44" i="13"/>
  <c r="G49" i="13"/>
  <c r="G67" i="13"/>
  <c r="G82" i="13"/>
  <c r="G92" i="13"/>
  <c r="G102" i="13"/>
  <c r="G107" i="13"/>
  <c r="G109" i="13"/>
  <c r="I32" i="13"/>
  <c r="I44" i="13"/>
  <c r="I49" i="13"/>
  <c r="I67" i="13"/>
  <c r="I82" i="13"/>
  <c r="I92" i="13"/>
  <c r="I102" i="13"/>
  <c r="I107" i="13"/>
  <c r="I109" i="13"/>
  <c r="K32" i="13"/>
  <c r="K44" i="13"/>
  <c r="K49" i="13"/>
  <c r="K67" i="13"/>
  <c r="K82" i="13"/>
  <c r="K92" i="13"/>
  <c r="K102" i="13"/>
  <c r="K107" i="13"/>
  <c r="K109" i="13"/>
  <c r="M32" i="13"/>
  <c r="M44" i="13"/>
  <c r="M49" i="13"/>
  <c r="M67" i="13"/>
  <c r="M82" i="13"/>
  <c r="M92" i="13"/>
  <c r="M102" i="13"/>
  <c r="M107" i="13"/>
  <c r="M109" i="13"/>
  <c r="O32" i="13"/>
  <c r="O44" i="13"/>
  <c r="O49" i="13"/>
  <c r="O67" i="13"/>
  <c r="O82" i="13"/>
  <c r="O92" i="13"/>
  <c r="O102" i="13"/>
  <c r="O107" i="13"/>
  <c r="O109" i="13"/>
  <c r="Q32" i="13"/>
  <c r="Q44" i="13"/>
  <c r="Q49" i="13"/>
  <c r="Q67" i="13"/>
  <c r="Q82" i="13"/>
  <c r="Q92" i="13"/>
  <c r="Q102" i="13"/>
  <c r="Q107" i="13"/>
  <c r="Q109" i="13"/>
  <c r="S32" i="13"/>
  <c r="S44" i="13"/>
  <c r="S49" i="13"/>
  <c r="S67" i="13"/>
  <c r="S82" i="13"/>
  <c r="S92" i="13"/>
  <c r="S102" i="13"/>
  <c r="S107" i="13"/>
  <c r="S109" i="13"/>
  <c r="U32" i="13"/>
  <c r="U44" i="13"/>
  <c r="U49" i="13"/>
  <c r="U67" i="13"/>
  <c r="U82" i="13"/>
  <c r="U92" i="13"/>
  <c r="U102" i="13"/>
  <c r="U107" i="13"/>
  <c r="U109" i="13"/>
  <c r="W11" i="13"/>
  <c r="W12" i="13"/>
  <c r="W13" i="13"/>
  <c r="W14" i="13"/>
  <c r="W15" i="13"/>
  <c r="W16" i="13"/>
  <c r="W17" i="13"/>
  <c r="W18" i="13"/>
  <c r="W19" i="13"/>
  <c r="W20" i="13"/>
  <c r="W21" i="13"/>
  <c r="W22" i="13"/>
  <c r="W23" i="13"/>
  <c r="W24" i="13"/>
  <c r="W25" i="13"/>
  <c r="W26" i="13"/>
  <c r="W27" i="13"/>
  <c r="W28" i="13"/>
  <c r="W29" i="13"/>
  <c r="W30" i="13"/>
  <c r="W31" i="13"/>
  <c r="W32" i="13"/>
  <c r="W34" i="13"/>
  <c r="W35" i="13"/>
  <c r="W36" i="13"/>
  <c r="W37" i="13"/>
  <c r="W38" i="13"/>
  <c r="W39" i="13"/>
  <c r="W40" i="13"/>
  <c r="W41" i="13"/>
  <c r="W42" i="13"/>
  <c r="W43" i="13"/>
  <c r="W44" i="13"/>
  <c r="W46" i="13"/>
  <c r="W47" i="13"/>
  <c r="W48" i="13"/>
  <c r="W49" i="13"/>
  <c r="W51" i="13"/>
  <c r="W52" i="13"/>
  <c r="W53" i="13"/>
  <c r="W54" i="13"/>
  <c r="W55" i="13"/>
  <c r="W56" i="13"/>
  <c r="W57" i="13"/>
  <c r="W58" i="13"/>
  <c r="W59" i="13"/>
  <c r="W60" i="13"/>
  <c r="W61" i="13"/>
  <c r="W63" i="13"/>
  <c r="W64" i="13"/>
  <c r="W65" i="13"/>
  <c r="W66" i="13"/>
  <c r="W67" i="13"/>
  <c r="W80" i="13"/>
  <c r="W81" i="13"/>
  <c r="W82" i="13"/>
  <c r="W84" i="13"/>
  <c r="W85" i="13"/>
  <c r="W86" i="13"/>
  <c r="W87" i="13"/>
  <c r="W88" i="13"/>
  <c r="W89" i="13"/>
  <c r="W91" i="13"/>
  <c r="W92" i="13"/>
  <c r="W94" i="13"/>
  <c r="W95" i="13"/>
  <c r="W96" i="13"/>
  <c r="W97" i="13"/>
  <c r="W98" i="13"/>
  <c r="W99" i="13"/>
  <c r="W101" i="13"/>
  <c r="W102" i="13"/>
  <c r="W104" i="13"/>
  <c r="W105" i="13"/>
  <c r="W106" i="13"/>
  <c r="W107" i="13"/>
  <c r="W109" i="13"/>
  <c r="V25" i="25"/>
  <c r="E35" i="26"/>
  <c r="F19" i="27"/>
  <c r="F56" i="27"/>
  <c r="F19" i="28"/>
  <c r="F40" i="28"/>
  <c r="X19" i="28"/>
  <c r="X40" i="28"/>
  <c r="X42" i="28"/>
  <c r="X36" i="28"/>
  <c r="X31" i="28"/>
  <c r="X26" i="28"/>
  <c r="X51" i="27"/>
  <c r="X46" i="27"/>
  <c r="X41" i="27"/>
  <c r="X36" i="27"/>
  <c r="X31" i="27"/>
  <c r="X26" i="27"/>
  <c r="W31" i="26"/>
  <c r="W20" i="26"/>
  <c r="W37" i="26"/>
  <c r="AO51" i="24"/>
  <c r="AM51" i="24"/>
  <c r="AO50" i="24"/>
  <c r="AM50" i="24"/>
  <c r="AQ50" i="24"/>
  <c r="AO49" i="24"/>
  <c r="AM49" i="24"/>
  <c r="AQ49" i="24"/>
  <c r="AO46" i="24"/>
  <c r="AM46" i="24"/>
  <c r="AO45" i="24"/>
  <c r="AM45" i="24"/>
  <c r="AQ45" i="24"/>
  <c r="AO44" i="24"/>
  <c r="AM44" i="24"/>
  <c r="AO43" i="24"/>
  <c r="AM43" i="24"/>
  <c r="AQ43" i="24"/>
  <c r="AO42" i="24"/>
  <c r="AM42" i="24"/>
  <c r="AO41" i="24"/>
  <c r="AM41" i="24"/>
  <c r="AQ41" i="24"/>
  <c r="AO40" i="24"/>
  <c r="AM40" i="24"/>
  <c r="AO39" i="24"/>
  <c r="AM39" i="24"/>
  <c r="AQ39" i="24"/>
  <c r="AO38" i="24"/>
  <c r="AM38" i="24"/>
  <c r="AO35" i="24"/>
  <c r="AM35" i="24"/>
  <c r="AO34" i="24"/>
  <c r="AM34" i="24"/>
  <c r="AQ34" i="24"/>
  <c r="AO31" i="24"/>
  <c r="AM31" i="24"/>
  <c r="AO29" i="24"/>
  <c r="AM29" i="24"/>
  <c r="AO27" i="24"/>
  <c r="AM27" i="24"/>
  <c r="AO25" i="24"/>
  <c r="AM25" i="24"/>
  <c r="AQ25" i="24"/>
  <c r="AO23" i="24"/>
  <c r="AM23" i="24"/>
  <c r="AO22" i="24"/>
  <c r="AM22" i="24"/>
  <c r="AO21" i="24"/>
  <c r="AM21" i="24"/>
  <c r="AO20" i="24"/>
  <c r="AM20" i="24"/>
  <c r="AO19" i="24"/>
  <c r="AM19" i="24"/>
  <c r="AO18" i="24"/>
  <c r="AM18" i="24"/>
  <c r="AO17" i="24"/>
  <c r="AM17" i="24"/>
  <c r="AO16" i="24"/>
  <c r="AM16" i="24"/>
  <c r="AO15" i="24"/>
  <c r="AM15" i="24"/>
  <c r="AM14" i="24"/>
  <c r="AO14" i="24"/>
  <c r="AQ14" i="24"/>
  <c r="AQ51" i="24"/>
  <c r="AK51" i="24"/>
  <c r="AE51" i="24"/>
  <c r="Y51" i="24"/>
  <c r="AK50" i="24"/>
  <c r="AE50" i="24"/>
  <c r="Y50" i="24"/>
  <c r="AK49" i="24"/>
  <c r="AE49" i="24"/>
  <c r="Y49" i="24"/>
  <c r="AQ46" i="24"/>
  <c r="AK46" i="24"/>
  <c r="AE46" i="24"/>
  <c r="Y46" i="24"/>
  <c r="AK45" i="24"/>
  <c r="AE45" i="24"/>
  <c r="Y45" i="24"/>
  <c r="AQ44" i="24"/>
  <c r="AK44" i="24"/>
  <c r="AE44" i="24"/>
  <c r="Y44" i="24"/>
  <c r="AK43" i="24"/>
  <c r="AE43" i="24"/>
  <c r="Y43" i="24"/>
  <c r="AQ42" i="24"/>
  <c r="AK42" i="24"/>
  <c r="AE42" i="24"/>
  <c r="Y42" i="24"/>
  <c r="AK41" i="24"/>
  <c r="AE41" i="24"/>
  <c r="Y41" i="24"/>
  <c r="AQ40" i="24"/>
  <c r="AK40" i="24"/>
  <c r="AE40" i="24"/>
  <c r="Y40" i="24"/>
  <c r="AK39" i="24"/>
  <c r="AE39" i="24"/>
  <c r="Y39" i="24"/>
  <c r="AQ38" i="24"/>
  <c r="AK38" i="24"/>
  <c r="AE38" i="24"/>
  <c r="Y38" i="24"/>
  <c r="AQ35" i="24"/>
  <c r="AK35" i="24"/>
  <c r="AE35" i="24"/>
  <c r="Y35" i="24"/>
  <c r="AK34" i="24"/>
  <c r="AE34" i="24"/>
  <c r="Y34" i="24"/>
  <c r="AQ31" i="24"/>
  <c r="AK31" i="24"/>
  <c r="AE31" i="24"/>
  <c r="Y31" i="24"/>
  <c r="AQ29" i="24"/>
  <c r="AK29" i="24"/>
  <c r="AE29" i="24"/>
  <c r="Y29" i="24"/>
  <c r="AQ27" i="24"/>
  <c r="AK27" i="24"/>
  <c r="AE27" i="24"/>
  <c r="Y27" i="24"/>
  <c r="AK25" i="24"/>
  <c r="AE25" i="24"/>
  <c r="Y25" i="24"/>
  <c r="AQ23" i="24"/>
  <c r="AK23" i="24"/>
  <c r="AE23" i="24"/>
  <c r="Y23" i="24"/>
  <c r="AQ22" i="24"/>
  <c r="AK22" i="24"/>
  <c r="AE22" i="24"/>
  <c r="Y22" i="24"/>
  <c r="AQ21" i="24"/>
  <c r="AK21" i="24"/>
  <c r="AE21" i="24"/>
  <c r="Y21" i="24"/>
  <c r="AQ20" i="24"/>
  <c r="AK20" i="24"/>
  <c r="AE20" i="24"/>
  <c r="Y20" i="24"/>
  <c r="AQ19" i="24"/>
  <c r="AK19" i="24"/>
  <c r="AE19" i="24"/>
  <c r="Y19" i="24"/>
  <c r="AQ18" i="24"/>
  <c r="AK18" i="24"/>
  <c r="AE18" i="24"/>
  <c r="Y18" i="24"/>
  <c r="AQ17" i="24"/>
  <c r="AK17" i="24"/>
  <c r="AE17" i="24"/>
  <c r="Y17" i="24"/>
  <c r="AQ16" i="24"/>
  <c r="AK16" i="24"/>
  <c r="AE16" i="24"/>
  <c r="Y16" i="24"/>
  <c r="AK15" i="24"/>
  <c r="AE15" i="24"/>
  <c r="AE14" i="24"/>
  <c r="AE53" i="24"/>
  <c r="Y15" i="24"/>
  <c r="AK14" i="24"/>
  <c r="Y14" i="24"/>
  <c r="S51" i="24"/>
  <c r="M51" i="24"/>
  <c r="G51" i="24"/>
  <c r="S50" i="24"/>
  <c r="M50" i="24"/>
  <c r="G50" i="24"/>
  <c r="S49" i="24"/>
  <c r="M49" i="24"/>
  <c r="G49" i="24"/>
  <c r="S46" i="24"/>
  <c r="M46" i="24"/>
  <c r="G46" i="24"/>
  <c r="S45" i="24"/>
  <c r="M45" i="24"/>
  <c r="G45" i="24"/>
  <c r="S44" i="24"/>
  <c r="M44" i="24"/>
  <c r="G44" i="24"/>
  <c r="S43" i="24"/>
  <c r="M43" i="24"/>
  <c r="G43" i="24"/>
  <c r="S42" i="24"/>
  <c r="M42" i="24"/>
  <c r="G42" i="24"/>
  <c r="S41" i="24"/>
  <c r="M41" i="24"/>
  <c r="G41" i="24"/>
  <c r="S40" i="24"/>
  <c r="M40" i="24"/>
  <c r="G40" i="24"/>
  <c r="S39" i="24"/>
  <c r="M39" i="24"/>
  <c r="G39" i="24"/>
  <c r="S38" i="24"/>
  <c r="M38" i="24"/>
  <c r="G38" i="24"/>
  <c r="S35" i="24"/>
  <c r="M35" i="24"/>
  <c r="G35" i="24"/>
  <c r="S34" i="24"/>
  <c r="M34" i="24"/>
  <c r="G34" i="24"/>
  <c r="S31" i="24"/>
  <c r="M31" i="24"/>
  <c r="G31" i="24"/>
  <c r="S29" i="24"/>
  <c r="M29" i="24"/>
  <c r="G29" i="24"/>
  <c r="S27" i="24"/>
  <c r="M27" i="24"/>
  <c r="G27" i="24"/>
  <c r="S25" i="24"/>
  <c r="M25" i="24"/>
  <c r="G25" i="24"/>
  <c r="S23" i="24"/>
  <c r="M23" i="24"/>
  <c r="G23" i="24"/>
  <c r="S22" i="24"/>
  <c r="M22" i="24"/>
  <c r="G22" i="24"/>
  <c r="S21" i="24"/>
  <c r="M21" i="24"/>
  <c r="G21" i="24"/>
  <c r="S20" i="24"/>
  <c r="M20" i="24"/>
  <c r="G20" i="24"/>
  <c r="S19" i="24"/>
  <c r="M19" i="24"/>
  <c r="G19" i="24"/>
  <c r="S18" i="24"/>
  <c r="M18" i="24"/>
  <c r="G18" i="24"/>
  <c r="S17" i="24"/>
  <c r="M17" i="24"/>
  <c r="G17" i="24"/>
  <c r="S16" i="24"/>
  <c r="M16" i="24"/>
  <c r="G16" i="24"/>
  <c r="S15" i="24"/>
  <c r="M15" i="24"/>
  <c r="G15" i="24"/>
  <c r="S14" i="24"/>
  <c r="M14" i="24"/>
  <c r="G14" i="24"/>
  <c r="AC53" i="24"/>
  <c r="AA53" i="24"/>
  <c r="AQ15" i="24"/>
  <c r="G47" i="21"/>
  <c r="M31" i="38"/>
  <c r="K31" i="38"/>
  <c r="I31" i="38"/>
  <c r="G31" i="38"/>
  <c r="E31" i="38"/>
  <c r="C31" i="38"/>
  <c r="O30" i="38"/>
  <c r="O28" i="38"/>
  <c r="O26" i="38"/>
  <c r="O24" i="38"/>
  <c r="O22" i="38"/>
  <c r="O20" i="38"/>
  <c r="Q20" i="38"/>
  <c r="Q31" i="38"/>
  <c r="O17" i="38"/>
  <c r="O15" i="38"/>
  <c r="O31" i="38"/>
  <c r="V43" i="31"/>
  <c r="V44" i="31"/>
  <c r="AD44" i="31"/>
  <c r="S334" i="12"/>
  <c r="O334" i="12"/>
  <c r="M334" i="12"/>
  <c r="K334" i="12"/>
  <c r="I334" i="12"/>
  <c r="E334" i="12"/>
  <c r="S255" i="12"/>
  <c r="O255" i="12"/>
  <c r="M255" i="12"/>
  <c r="K255" i="12"/>
  <c r="I255" i="12"/>
  <c r="G255" i="12"/>
  <c r="E255" i="12"/>
  <c r="S157" i="12"/>
  <c r="O157" i="12"/>
  <c r="M157" i="12"/>
  <c r="K157" i="12"/>
  <c r="I157" i="12"/>
  <c r="G157" i="12"/>
  <c r="E157" i="12"/>
  <c r="S106" i="12"/>
  <c r="O106" i="12"/>
  <c r="M106" i="12"/>
  <c r="K106" i="12"/>
  <c r="I106" i="12"/>
  <c r="E106" i="12"/>
  <c r="Q423" i="12"/>
  <c r="J423" i="12"/>
  <c r="J422" i="12"/>
  <c r="E422" i="12"/>
  <c r="Q422" i="12"/>
  <c r="Q421" i="12"/>
  <c r="J421" i="12"/>
  <c r="Q420" i="12"/>
  <c r="J420" i="12"/>
  <c r="Q419" i="12"/>
  <c r="J419" i="12"/>
  <c r="Q418" i="12"/>
  <c r="J418" i="12"/>
  <c r="Q417" i="12"/>
  <c r="J417" i="12"/>
  <c r="Q416" i="12"/>
  <c r="J416" i="12"/>
  <c r="Q415" i="12"/>
  <c r="J415" i="12"/>
  <c r="Q410" i="12"/>
  <c r="Q405" i="12"/>
  <c r="Q398" i="12"/>
  <c r="Q397" i="12"/>
  <c r="Q396" i="12"/>
  <c r="Q395" i="12"/>
  <c r="Q394" i="12"/>
  <c r="Q393" i="12"/>
  <c r="Q392" i="12"/>
  <c r="Q372" i="12"/>
  <c r="Q371" i="12"/>
  <c r="Q370" i="12"/>
  <c r="Q369" i="12"/>
  <c r="Q368" i="12"/>
  <c r="Q367" i="12"/>
  <c r="Q366" i="12"/>
  <c r="Q365" i="12"/>
  <c r="Q364" i="12"/>
  <c r="Q363" i="12"/>
  <c r="Q362" i="12"/>
  <c r="Q361" i="12"/>
  <c r="Q356" i="12"/>
  <c r="Q355" i="12"/>
  <c r="Q354" i="12"/>
  <c r="Q353" i="12"/>
  <c r="Q352" i="12"/>
  <c r="Q351" i="12"/>
  <c r="Q350" i="12"/>
  <c r="Q349" i="12"/>
  <c r="Q348" i="12"/>
  <c r="Q347" i="12"/>
  <c r="Q346" i="12"/>
  <c r="Q345" i="12"/>
  <c r="Q338" i="12"/>
  <c r="Q333" i="12"/>
  <c r="Q332" i="12"/>
  <c r="G331" i="12"/>
  <c r="Q331" i="12"/>
  <c r="Q330" i="12"/>
  <c r="Q329" i="12"/>
  <c r="Q328" i="12"/>
  <c r="Q327" i="12"/>
  <c r="Q326" i="12"/>
  <c r="Q325" i="12"/>
  <c r="Q324" i="12"/>
  <c r="Q323" i="12"/>
  <c r="Q322" i="12"/>
  <c r="Q321" i="12"/>
  <c r="Q320" i="12"/>
  <c r="Q319" i="12"/>
  <c r="Q299" i="12"/>
  <c r="Q298" i="12"/>
  <c r="Q297" i="12"/>
  <c r="Q296" i="12"/>
  <c r="Q295" i="12"/>
  <c r="Q294" i="12"/>
  <c r="Q293" i="12"/>
  <c r="Q292" i="12"/>
  <c r="Q291" i="12"/>
  <c r="Q290" i="12"/>
  <c r="Q289" i="12"/>
  <c r="Q288" i="12"/>
  <c r="Q287" i="12"/>
  <c r="Q286" i="12"/>
  <c r="Q285" i="12"/>
  <c r="Q284" i="12"/>
  <c r="Q283" i="12"/>
  <c r="Q282" i="12"/>
  <c r="Q281" i="12"/>
  <c r="Q280" i="12"/>
  <c r="Q279" i="12"/>
  <c r="Q278" i="12"/>
  <c r="Q273" i="12"/>
  <c r="Q272" i="12"/>
  <c r="Q271" i="12"/>
  <c r="Q270" i="12"/>
  <c r="Q269" i="12"/>
  <c r="Q268" i="12"/>
  <c r="Q267" i="12"/>
  <c r="Q266" i="12"/>
  <c r="Q265" i="12"/>
  <c r="Q264" i="12"/>
  <c r="Q259" i="12"/>
  <c r="Q254" i="12"/>
  <c r="J254" i="12"/>
  <c r="Q253" i="12"/>
  <c r="Q252" i="12"/>
  <c r="Q251" i="12"/>
  <c r="Q250" i="12"/>
  <c r="Q249" i="12"/>
  <c r="Q248"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57" i="12"/>
  <c r="Q255" i="12"/>
  <c r="G106" i="12"/>
  <c r="Q334" i="12"/>
  <c r="G334" i="12"/>
  <c r="S24" i="11"/>
  <c r="S29" i="11"/>
  <c r="S35" i="11"/>
  <c r="S37" i="11"/>
  <c r="Q35" i="11"/>
  <c r="O35" i="11"/>
  <c r="M35" i="11"/>
  <c r="K35" i="11"/>
  <c r="I35" i="11"/>
  <c r="G35" i="11"/>
  <c r="E35" i="11"/>
  <c r="Q29" i="11"/>
  <c r="O29" i="11"/>
  <c r="M29" i="11"/>
  <c r="K29" i="11"/>
  <c r="I29" i="11"/>
  <c r="G29" i="11"/>
  <c r="E29" i="11"/>
  <c r="O24" i="11"/>
  <c r="M24" i="11"/>
  <c r="K24" i="11"/>
  <c r="I24" i="11"/>
  <c r="G24" i="11"/>
  <c r="E24" i="11"/>
  <c r="Q23" i="11"/>
  <c r="Q24" i="11"/>
  <c r="Q37" i="11"/>
  <c r="G37" i="11"/>
  <c r="O37" i="11"/>
  <c r="K37" i="11"/>
  <c r="E37" i="11"/>
  <c r="M37" i="11"/>
  <c r="I37" i="11"/>
  <c r="G46" i="17"/>
  <c r="E46" i="17"/>
  <c r="C46" i="17"/>
  <c r="I45" i="17"/>
  <c r="I46" i="17"/>
  <c r="G41" i="17"/>
  <c r="G49" i="17"/>
  <c r="E41" i="17"/>
  <c r="C41" i="17"/>
  <c r="C49" i="17"/>
  <c r="I40" i="17"/>
  <c r="I39" i="17"/>
  <c r="I38" i="17"/>
  <c r="I37" i="17"/>
  <c r="I36" i="17"/>
  <c r="I35" i="17"/>
  <c r="I34" i="17"/>
  <c r="I33" i="17"/>
  <c r="I32" i="17"/>
  <c r="I31" i="17"/>
  <c r="I30" i="17"/>
  <c r="I29" i="17"/>
  <c r="I27" i="17"/>
  <c r="I26" i="17"/>
  <c r="I25" i="17"/>
  <c r="I23" i="17"/>
  <c r="I21" i="17"/>
  <c r="I20" i="17"/>
  <c r="I18" i="17"/>
  <c r="I17" i="17"/>
  <c r="I15" i="17"/>
  <c r="I13" i="17"/>
  <c r="G28" i="15"/>
  <c r="E28" i="15"/>
  <c r="C28" i="15"/>
  <c r="I27" i="15"/>
  <c r="I25" i="15"/>
  <c r="G19" i="15"/>
  <c r="E19" i="15"/>
  <c r="C19" i="15"/>
  <c r="I18" i="15"/>
  <c r="I17" i="15"/>
  <c r="I15" i="15"/>
  <c r="G28" i="14"/>
  <c r="E28" i="14"/>
  <c r="C28" i="14"/>
  <c r="C15" i="14"/>
  <c r="C20" i="14"/>
  <c r="C29" i="14"/>
  <c r="I27" i="14"/>
  <c r="I26" i="14"/>
  <c r="I25" i="14"/>
  <c r="I24" i="14"/>
  <c r="I28" i="14"/>
  <c r="G20" i="14"/>
  <c r="E20" i="14"/>
  <c r="I19" i="14"/>
  <c r="I20" i="14"/>
  <c r="G15" i="14"/>
  <c r="G29" i="14"/>
  <c r="E15" i="14"/>
  <c r="E29" i="14"/>
  <c r="I14" i="14"/>
  <c r="I15" i="14"/>
  <c r="I29" i="14"/>
  <c r="E49" i="17"/>
  <c r="I41" i="17"/>
  <c r="I49" i="17"/>
  <c r="I28" i="15"/>
  <c r="C30" i="15"/>
  <c r="I19" i="15"/>
  <c r="I30" i="15"/>
  <c r="G30" i="15"/>
  <c r="E30" i="15"/>
  <c r="I361" i="41"/>
  <c r="G361" i="41"/>
  <c r="E361" i="41"/>
  <c r="K359" i="41"/>
  <c r="K357" i="41"/>
  <c r="K355" i="41"/>
  <c r="K353" i="41"/>
  <c r="K352" i="41"/>
  <c r="K351" i="41"/>
  <c r="K350" i="41"/>
  <c r="K349" i="41"/>
  <c r="K348" i="41"/>
  <c r="K347" i="41"/>
  <c r="K346" i="41"/>
  <c r="K345" i="41"/>
  <c r="K344" i="41"/>
  <c r="K343" i="41"/>
  <c r="K335" i="41"/>
  <c r="K334" i="41"/>
  <c r="K333" i="41"/>
  <c r="K332" i="41"/>
  <c r="K331" i="41"/>
  <c r="K330" i="41"/>
  <c r="K327" i="41"/>
  <c r="K325" i="41"/>
  <c r="K323" i="41"/>
  <c r="K321" i="41"/>
  <c r="K320" i="41"/>
  <c r="K319" i="41"/>
  <c r="K318" i="41"/>
  <c r="K317" i="41"/>
  <c r="K316" i="41"/>
  <c r="K315" i="41"/>
  <c r="K314" i="41"/>
  <c r="K313" i="41"/>
  <c r="K312" i="41"/>
  <c r="K311" i="41"/>
  <c r="K310" i="41"/>
  <c r="K309" i="41"/>
  <c r="K308" i="41"/>
  <c r="K307" i="41"/>
  <c r="K306" i="41"/>
  <c r="K305" i="41"/>
  <c r="K304" i="41"/>
  <c r="K303" i="41"/>
  <c r="K302" i="41"/>
  <c r="K301" i="41"/>
  <c r="K300" i="41"/>
  <c r="K299" i="41"/>
  <c r="K298" i="41"/>
  <c r="K297" i="41"/>
  <c r="K296" i="41"/>
  <c r="K295" i="41"/>
  <c r="K284" i="41"/>
  <c r="K283" i="41"/>
  <c r="K282" i="41"/>
  <c r="K281" i="41"/>
  <c r="K280" i="41"/>
  <c r="K279" i="41"/>
  <c r="K278" i="41"/>
  <c r="K277" i="41"/>
  <c r="K276" i="41"/>
  <c r="K275" i="41"/>
  <c r="K274" i="41"/>
  <c r="K271" i="41"/>
  <c r="K269" i="41"/>
  <c r="K268" i="41"/>
  <c r="K265" i="41"/>
  <c r="K263" i="41"/>
  <c r="K261" i="41"/>
  <c r="K259" i="41"/>
  <c r="K258" i="41"/>
  <c r="K257" i="41"/>
  <c r="K256" i="41"/>
  <c r="K255" i="41"/>
  <c r="K254" i="41"/>
  <c r="K253" i="41"/>
  <c r="K252" i="41"/>
  <c r="K251" i="41"/>
  <c r="K250" i="41"/>
  <c r="K249" i="41"/>
  <c r="K248" i="41"/>
  <c r="K247" i="41"/>
  <c r="K246" i="41"/>
  <c r="K245" i="41"/>
  <c r="K233" i="41"/>
  <c r="K231" i="41"/>
  <c r="K229" i="41"/>
  <c r="K227" i="41"/>
  <c r="K225" i="41"/>
  <c r="K224" i="41"/>
  <c r="K223" i="41"/>
  <c r="K222" i="41"/>
  <c r="K221" i="41"/>
  <c r="K220" i="41"/>
  <c r="K219" i="41"/>
  <c r="K218" i="41"/>
  <c r="K217" i="41"/>
  <c r="K216" i="41"/>
  <c r="K215" i="41"/>
  <c r="K214" i="41"/>
  <c r="K213" i="41"/>
  <c r="K212" i="41"/>
  <c r="K211" i="41"/>
  <c r="K210" i="41"/>
  <c r="K209" i="41"/>
  <c r="K208" i="41"/>
  <c r="K207" i="41"/>
  <c r="K206" i="41"/>
  <c r="K205" i="41"/>
  <c r="K204" i="41"/>
  <c r="K203" i="41"/>
  <c r="K202" i="41"/>
  <c r="K201" i="41"/>
  <c r="K200" i="41"/>
  <c r="K199" i="41"/>
  <c r="K196" i="41"/>
  <c r="K195" i="41"/>
  <c r="K185" i="41"/>
  <c r="K183" i="41"/>
  <c r="K181" i="41"/>
  <c r="K179" i="41"/>
  <c r="K177" i="41"/>
  <c r="K175" i="41"/>
  <c r="K173" i="41"/>
  <c r="K171" i="41"/>
  <c r="K169" i="41"/>
  <c r="K168" i="41"/>
  <c r="K167" i="41"/>
  <c r="K166" i="41"/>
  <c r="K165" i="41"/>
  <c r="K164" i="41"/>
  <c r="K163" i="41"/>
  <c r="K160" i="41"/>
  <c r="K159" i="41"/>
  <c r="K156" i="41"/>
  <c r="K154" i="41"/>
  <c r="K152" i="41"/>
  <c r="K143" i="41"/>
  <c r="K141" i="41"/>
  <c r="K140" i="41"/>
  <c r="K139" i="41"/>
  <c r="K136" i="41"/>
  <c r="K134" i="41"/>
  <c r="K133" i="41"/>
  <c r="K132" i="41"/>
  <c r="K131"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7" i="41"/>
  <c r="K65" i="41"/>
  <c r="K64" i="41"/>
  <c r="K63" i="41"/>
  <c r="K62" i="41"/>
  <c r="K61" i="41"/>
  <c r="K60" i="41"/>
  <c r="K59" i="41"/>
  <c r="K58" i="41"/>
  <c r="K57" i="41"/>
  <c r="K48" i="41"/>
  <c r="K46" i="41"/>
  <c r="K45" i="41"/>
  <c r="K44" i="41"/>
  <c r="K43" i="41"/>
  <c r="K42" i="41"/>
  <c r="K41" i="41"/>
  <c r="K40" i="41"/>
  <c r="K39" i="41"/>
  <c r="K38" i="41"/>
  <c r="K37" i="41"/>
  <c r="K36" i="41"/>
  <c r="K33" i="41"/>
  <c r="K31" i="41"/>
  <c r="K29" i="41"/>
  <c r="K27" i="41"/>
  <c r="K26" i="41"/>
  <c r="K25" i="41"/>
  <c r="K22" i="41"/>
  <c r="K21" i="41"/>
  <c r="K18" i="41"/>
  <c r="K16" i="41"/>
  <c r="K15" i="41"/>
  <c r="K12" i="41"/>
  <c r="K361" i="41"/>
  <c r="N19" i="39"/>
  <c r="E19" i="39"/>
  <c r="N24" i="39"/>
  <c r="M19" i="39"/>
  <c r="N22" i="39"/>
  <c r="M171" i="40"/>
  <c r="M119" i="40"/>
  <c r="M45" i="40"/>
  <c r="J27" i="31"/>
  <c r="AC28" i="6"/>
  <c r="AC37" i="6"/>
  <c r="AC46" i="6"/>
  <c r="AC48" i="6"/>
  <c r="T28" i="6"/>
  <c r="T37" i="6"/>
  <c r="T46" i="6"/>
  <c r="T48" i="6"/>
  <c r="J28" i="6"/>
  <c r="J37" i="6"/>
  <c r="J46" i="6"/>
  <c r="J48" i="6"/>
  <c r="AH46" i="6"/>
  <c r="AA46" i="6"/>
  <c r="X46" i="6"/>
  <c r="V46" i="6"/>
  <c r="P46" i="6"/>
  <c r="N46" i="6"/>
  <c r="H46" i="6"/>
  <c r="F46" i="6"/>
  <c r="C46" i="6"/>
  <c r="AH37" i="6"/>
  <c r="AA37" i="6"/>
  <c r="X37" i="6"/>
  <c r="V37" i="6"/>
  <c r="P37" i="6"/>
  <c r="N37" i="6"/>
  <c r="H37" i="6"/>
  <c r="F37" i="6"/>
  <c r="C37" i="6"/>
  <c r="AF36" i="6"/>
  <c r="AF35" i="6"/>
  <c r="AF34" i="6"/>
  <c r="AF33" i="6"/>
  <c r="AF31" i="6"/>
  <c r="AF32" i="6"/>
  <c r="AF37" i="6"/>
  <c r="AH28" i="6"/>
  <c r="AH48" i="6"/>
  <c r="AA28" i="6"/>
  <c r="AA48" i="6"/>
  <c r="X28" i="6"/>
  <c r="X48" i="6"/>
  <c r="V28" i="6"/>
  <c r="V48" i="6"/>
  <c r="P28" i="6"/>
  <c r="P48" i="6"/>
  <c r="N28" i="6"/>
  <c r="N48" i="6"/>
  <c r="H28" i="6"/>
  <c r="H48" i="6"/>
  <c r="F28" i="6"/>
  <c r="F48" i="6"/>
  <c r="C28" i="6"/>
  <c r="C48" i="6"/>
  <c r="AF27" i="6"/>
  <c r="AF26" i="6"/>
  <c r="AF25" i="6"/>
  <c r="AF24" i="6"/>
  <c r="AF23" i="6"/>
  <c r="AF22" i="6"/>
  <c r="AF21" i="6"/>
  <c r="AF20" i="6"/>
  <c r="AF28" i="6"/>
  <c r="AF17" i="6"/>
  <c r="AF48" i="6"/>
  <c r="Y88" i="30"/>
  <c r="W38" i="7"/>
  <c r="W41" i="7"/>
  <c r="W35" i="7"/>
  <c r="W29" i="7"/>
  <c r="W23" i="7"/>
  <c r="W17" i="7"/>
  <c r="S38" i="7"/>
  <c r="S41" i="7"/>
  <c r="U38" i="7"/>
  <c r="W40" i="7"/>
  <c r="U40" i="7"/>
  <c r="U59" i="9"/>
  <c r="S59" i="9"/>
  <c r="Q59" i="9"/>
  <c r="O59" i="9"/>
  <c r="M59" i="9"/>
  <c r="K59" i="9"/>
  <c r="I59" i="9"/>
  <c r="G59" i="9"/>
  <c r="E59" i="9"/>
  <c r="C59" i="9"/>
  <c r="S60" i="8"/>
  <c r="Q60" i="8"/>
  <c r="O60" i="8"/>
  <c r="M60" i="8"/>
  <c r="K60" i="8"/>
  <c r="I60" i="8"/>
  <c r="G60" i="8"/>
  <c r="E60" i="8"/>
  <c r="C60" i="8"/>
  <c r="U36" i="4"/>
  <c r="S36" i="4"/>
  <c r="U60" i="8"/>
  <c r="Q48" i="22"/>
  <c r="Q21" i="22"/>
  <c r="Q18" i="22"/>
  <c r="Q16" i="22"/>
  <c r="O51" i="22"/>
  <c r="O41" i="22"/>
  <c r="O18" i="22"/>
  <c r="K48" i="22"/>
  <c r="I27" i="22"/>
  <c r="I28" i="22"/>
  <c r="E40" i="22"/>
  <c r="E36" i="22"/>
  <c r="E27" i="22"/>
  <c r="E24" i="22"/>
  <c r="E16" i="22"/>
  <c r="C42" i="22"/>
  <c r="C39" i="22"/>
  <c r="C24" i="22"/>
  <c r="C18" i="22"/>
  <c r="Q44" i="21"/>
  <c r="Q36" i="21"/>
  <c r="Q27" i="21"/>
  <c r="Q23" i="21"/>
  <c r="Q12" i="21"/>
  <c r="O51" i="21"/>
  <c r="O39" i="21"/>
  <c r="O23" i="21"/>
  <c r="K44" i="21"/>
  <c r="K18" i="21"/>
  <c r="I28" i="21"/>
  <c r="I27" i="21"/>
  <c r="I23" i="21"/>
  <c r="I17" i="21"/>
  <c r="E44" i="21"/>
  <c r="E40" i="21"/>
  <c r="E21" i="21"/>
  <c r="C17" i="21"/>
  <c r="C41" i="21"/>
  <c r="C42" i="21"/>
  <c r="C28" i="21"/>
  <c r="C23" i="21"/>
  <c r="Q48" i="19"/>
  <c r="Q59" i="19"/>
  <c r="E36" i="35"/>
  <c r="E52" i="35"/>
  <c r="I31" i="35"/>
  <c r="I53" i="35"/>
  <c r="W56" i="33"/>
  <c r="U49" i="33"/>
  <c r="Y49" i="33"/>
  <c r="U52" i="29"/>
  <c r="AC52" i="29"/>
  <c r="AQ55" i="20"/>
  <c r="I38" i="7"/>
  <c r="I33" i="7"/>
  <c r="I15" i="7"/>
  <c r="I21" i="7"/>
  <c r="I27" i="7"/>
  <c r="I39" i="7"/>
  <c r="T31" i="3"/>
  <c r="U26" i="5"/>
  <c r="V31" i="3"/>
  <c r="E19" i="2"/>
  <c r="AS55" i="20"/>
  <c r="AO55" i="20"/>
  <c r="AM55" i="20"/>
  <c r="AK55" i="20"/>
  <c r="AI55" i="20"/>
  <c r="AG55" i="20"/>
  <c r="AE55" i="20"/>
  <c r="AC55" i="20"/>
  <c r="AA55" i="20"/>
  <c r="Y55" i="20"/>
  <c r="W55" i="20"/>
  <c r="U55" i="20"/>
  <c r="S55" i="20"/>
  <c r="Q55" i="20"/>
  <c r="O55" i="20"/>
  <c r="M55" i="20"/>
  <c r="K55" i="20"/>
  <c r="I55" i="20"/>
  <c r="G55" i="20"/>
  <c r="F25" i="25"/>
  <c r="H25" i="25"/>
  <c r="J25" i="25"/>
  <c r="L25" i="25"/>
  <c r="N25" i="25"/>
  <c r="P25" i="25"/>
  <c r="R25" i="25"/>
  <c r="T25" i="25"/>
  <c r="D25" i="25"/>
  <c r="I35" i="26"/>
  <c r="J19" i="27"/>
  <c r="J56" i="27"/>
  <c r="J19" i="28"/>
  <c r="J40" i="28"/>
  <c r="J42" i="28"/>
  <c r="U35" i="26"/>
  <c r="V19" i="27"/>
  <c r="V56" i="27"/>
  <c r="V19" i="28"/>
  <c r="V40" i="28"/>
  <c r="V42" i="28"/>
  <c r="S35" i="26"/>
  <c r="T19" i="27"/>
  <c r="T56" i="27"/>
  <c r="T19" i="28"/>
  <c r="T40" i="28"/>
  <c r="T42" i="28"/>
  <c r="O35" i="26"/>
  <c r="P19" i="27"/>
  <c r="P56" i="27"/>
  <c r="P19" i="28"/>
  <c r="P40" i="28"/>
  <c r="P42" i="28"/>
  <c r="G35" i="26"/>
  <c r="H19" i="27"/>
  <c r="H56" i="27"/>
  <c r="H19" i="28"/>
  <c r="H40" i="28"/>
  <c r="H42" i="28"/>
  <c r="V36" i="28"/>
  <c r="V35" i="28"/>
  <c r="V31" i="28"/>
  <c r="V30" i="28"/>
  <c r="V26" i="28"/>
  <c r="V25" i="28"/>
  <c r="T36" i="28"/>
  <c r="T35" i="28"/>
  <c r="T31" i="28"/>
  <c r="T30" i="28"/>
  <c r="T26" i="28"/>
  <c r="T25" i="28"/>
  <c r="R36" i="28"/>
  <c r="R35" i="28"/>
  <c r="R31" i="28"/>
  <c r="R30" i="28"/>
  <c r="R26" i="28"/>
  <c r="R25" i="28"/>
  <c r="P36" i="28"/>
  <c r="P35" i="28"/>
  <c r="P31" i="28"/>
  <c r="P30" i="28"/>
  <c r="P26" i="28"/>
  <c r="P25" i="28"/>
  <c r="N36" i="28"/>
  <c r="N35" i="28"/>
  <c r="N31" i="28"/>
  <c r="N30" i="28"/>
  <c r="N26" i="28"/>
  <c r="N25" i="28"/>
  <c r="L36" i="28"/>
  <c r="L35" i="28"/>
  <c r="L31" i="28"/>
  <c r="L30" i="28"/>
  <c r="L26" i="28"/>
  <c r="L25" i="28"/>
  <c r="J36" i="28"/>
  <c r="J35" i="28"/>
  <c r="J31" i="28"/>
  <c r="J30" i="28"/>
  <c r="J26" i="28"/>
  <c r="J25" i="28"/>
  <c r="H36" i="28"/>
  <c r="H35" i="28"/>
  <c r="H31" i="28"/>
  <c r="H30" i="28"/>
  <c r="H26" i="28"/>
  <c r="H25" i="28"/>
  <c r="V58" i="27"/>
  <c r="V51" i="27"/>
  <c r="V50" i="27"/>
  <c r="V46" i="27"/>
  <c r="V45" i="27"/>
  <c r="V41" i="27"/>
  <c r="V40" i="27"/>
  <c r="V36" i="27"/>
  <c r="V35" i="27"/>
  <c r="V31" i="27"/>
  <c r="V30" i="27"/>
  <c r="V26" i="27"/>
  <c r="V25" i="27"/>
  <c r="T58" i="27"/>
  <c r="T51" i="27"/>
  <c r="T50" i="27"/>
  <c r="T46" i="27"/>
  <c r="T41" i="27"/>
  <c r="T36" i="27"/>
  <c r="T35" i="27"/>
  <c r="T31" i="27"/>
  <c r="T30" i="27"/>
  <c r="T26" i="27"/>
  <c r="T25" i="27"/>
  <c r="R51" i="27"/>
  <c r="R50" i="27"/>
  <c r="R36" i="27"/>
  <c r="R35" i="27"/>
  <c r="R31" i="27"/>
  <c r="R30" i="27"/>
  <c r="R26" i="27"/>
  <c r="R25" i="27"/>
  <c r="P51" i="27"/>
  <c r="P50" i="27"/>
  <c r="P36" i="27"/>
  <c r="P35" i="27"/>
  <c r="P31" i="27"/>
  <c r="P30" i="27"/>
  <c r="P26" i="27"/>
  <c r="P25" i="27"/>
  <c r="N51" i="27"/>
  <c r="N50" i="27"/>
  <c r="N36" i="27"/>
  <c r="N35" i="27"/>
  <c r="N31" i="27"/>
  <c r="N30" i="27"/>
  <c r="N26" i="27"/>
  <c r="N25" i="27"/>
  <c r="L51" i="27"/>
  <c r="L50" i="27"/>
  <c r="L36" i="27"/>
  <c r="L35" i="27"/>
  <c r="L31" i="27"/>
  <c r="L30" i="27"/>
  <c r="L26" i="27"/>
  <c r="L25" i="27"/>
  <c r="J58" i="27"/>
  <c r="J51" i="27"/>
  <c r="J50" i="27"/>
  <c r="J36" i="27"/>
  <c r="J35" i="27"/>
  <c r="J31" i="27"/>
  <c r="J30" i="27"/>
  <c r="J26" i="27"/>
  <c r="J25" i="27"/>
  <c r="H58" i="27"/>
  <c r="H51" i="27"/>
  <c r="H36" i="27"/>
  <c r="H35" i="27"/>
  <c r="H31" i="27"/>
  <c r="H30" i="27"/>
  <c r="H26" i="27"/>
  <c r="H25" i="27"/>
  <c r="F31" i="27"/>
  <c r="F36" i="27"/>
  <c r="F51" i="27"/>
  <c r="S37" i="26"/>
  <c r="U31" i="26"/>
  <c r="U30" i="26"/>
  <c r="U20" i="26"/>
  <c r="U19" i="26"/>
  <c r="S31" i="26"/>
  <c r="S30" i="26"/>
  <c r="S20" i="26"/>
  <c r="S19" i="26"/>
  <c r="Q31" i="26"/>
  <c r="Q30" i="26"/>
  <c r="Q20" i="26"/>
  <c r="Q19" i="26"/>
  <c r="O31" i="26"/>
  <c r="O30" i="26"/>
  <c r="O20" i="26"/>
  <c r="O19" i="26"/>
  <c r="I37" i="26"/>
  <c r="G37" i="26"/>
  <c r="M31" i="26"/>
  <c r="M30" i="26"/>
  <c r="M20" i="26"/>
  <c r="M19" i="26"/>
  <c r="K31" i="26"/>
  <c r="K30" i="26"/>
  <c r="K24" i="26"/>
  <c r="K20" i="26"/>
  <c r="K19" i="26"/>
  <c r="I31" i="26"/>
  <c r="I30" i="26"/>
  <c r="I24" i="26"/>
  <c r="I20" i="26"/>
  <c r="I19" i="26"/>
  <c r="G31" i="26"/>
  <c r="G30" i="26"/>
  <c r="G24" i="26"/>
  <c r="G20" i="26"/>
  <c r="G19" i="26"/>
  <c r="E31" i="26"/>
  <c r="E20" i="26"/>
  <c r="C19" i="9"/>
  <c r="C43" i="9"/>
  <c r="C50" i="9"/>
  <c r="C52" i="9"/>
  <c r="S43" i="9"/>
  <c r="S50" i="9"/>
  <c r="S19" i="9"/>
  <c r="S52" i="9"/>
  <c r="Q43" i="9"/>
  <c r="Q50" i="9"/>
  <c r="Q19" i="9"/>
  <c r="Q52" i="9"/>
  <c r="O43" i="9"/>
  <c r="O50" i="9"/>
  <c r="O19" i="9"/>
  <c r="O52" i="9"/>
  <c r="M42" i="9"/>
  <c r="M43" i="9"/>
  <c r="M50" i="9"/>
  <c r="M19" i="9"/>
  <c r="M52" i="9"/>
  <c r="K43" i="9"/>
  <c r="K50" i="9"/>
  <c r="K19" i="9"/>
  <c r="K52" i="9"/>
  <c r="I43" i="9"/>
  <c r="I50" i="9"/>
  <c r="I19" i="9"/>
  <c r="I52" i="9"/>
  <c r="G43" i="9"/>
  <c r="G50" i="9"/>
  <c r="G19" i="9"/>
  <c r="G52" i="9"/>
  <c r="E43" i="9"/>
  <c r="E50" i="9"/>
  <c r="E19" i="9"/>
  <c r="E52" i="9"/>
  <c r="S42" i="8"/>
  <c r="S51" i="8"/>
  <c r="S18" i="8"/>
  <c r="S53" i="8"/>
  <c r="Q42" i="8"/>
  <c r="Q51" i="8"/>
  <c r="Q18" i="8"/>
  <c r="O42" i="8"/>
  <c r="O51" i="8"/>
  <c r="O18" i="8"/>
  <c r="O53" i="8"/>
  <c r="M45" i="8"/>
  <c r="M42" i="8"/>
  <c r="M51" i="8"/>
  <c r="M18" i="8"/>
  <c r="M53" i="8"/>
  <c r="K42" i="8"/>
  <c r="K51" i="8"/>
  <c r="K18" i="8"/>
  <c r="K53" i="8"/>
  <c r="I42" i="8"/>
  <c r="I51" i="8"/>
  <c r="I18" i="8"/>
  <c r="I53" i="8"/>
  <c r="G35" i="8"/>
  <c r="G42" i="8"/>
  <c r="G51" i="8"/>
  <c r="G18" i="8"/>
  <c r="G53" i="8"/>
  <c r="E36" i="8"/>
  <c r="E35" i="8"/>
  <c r="E42" i="8"/>
  <c r="E51" i="8"/>
  <c r="E18" i="8"/>
  <c r="E53" i="8"/>
  <c r="C42" i="8"/>
  <c r="C51" i="8"/>
  <c r="C18" i="8"/>
  <c r="C53" i="8"/>
  <c r="U41" i="7"/>
  <c r="U35" i="7"/>
  <c r="U34" i="7"/>
  <c r="U29" i="7"/>
  <c r="U28" i="7"/>
  <c r="U23" i="7"/>
  <c r="U22" i="7"/>
  <c r="U17" i="7"/>
  <c r="U16" i="7"/>
  <c r="U15" i="7"/>
  <c r="Q38" i="7"/>
  <c r="S40" i="7"/>
  <c r="S33" i="7"/>
  <c r="S35" i="7"/>
  <c r="S34" i="7"/>
  <c r="S29" i="7"/>
  <c r="S28" i="7"/>
  <c r="S27" i="7"/>
  <c r="S23" i="7"/>
  <c r="S22" i="7"/>
  <c r="S21" i="7"/>
  <c r="S17" i="7"/>
  <c r="S16" i="7"/>
  <c r="S15" i="7"/>
  <c r="S39" i="7"/>
  <c r="Q41" i="7"/>
  <c r="Q35" i="7"/>
  <c r="Q34" i="7"/>
  <c r="Q29" i="7"/>
  <c r="Q28" i="7"/>
  <c r="Q23" i="7"/>
  <c r="Q22" i="7"/>
  <c r="Q17" i="7"/>
  <c r="Q16" i="7"/>
  <c r="Q15" i="7"/>
  <c r="O38" i="7"/>
  <c r="O41" i="7"/>
  <c r="M38" i="7"/>
  <c r="O40" i="7"/>
  <c r="O33" i="7"/>
  <c r="O35" i="7"/>
  <c r="O34" i="7"/>
  <c r="O29" i="7"/>
  <c r="O28" i="7"/>
  <c r="O27" i="7"/>
  <c r="O23" i="7"/>
  <c r="O22" i="7"/>
  <c r="O21" i="7"/>
  <c r="O17" i="7"/>
  <c r="O16" i="7"/>
  <c r="O15" i="7"/>
  <c r="O39" i="7"/>
  <c r="M41" i="7"/>
  <c r="M35" i="7"/>
  <c r="M34" i="7"/>
  <c r="M29" i="7"/>
  <c r="M28" i="7"/>
  <c r="M23" i="7"/>
  <c r="M22" i="7"/>
  <c r="M17" i="7"/>
  <c r="M16" i="7"/>
  <c r="M15" i="7"/>
  <c r="K40" i="7"/>
  <c r="K38" i="7"/>
  <c r="K41" i="7"/>
  <c r="K35" i="7"/>
  <c r="K34" i="7"/>
  <c r="K29" i="7"/>
  <c r="K28" i="7"/>
  <c r="K23" i="7"/>
  <c r="K22" i="7"/>
  <c r="K17" i="7"/>
  <c r="K16" i="7"/>
  <c r="K15" i="7"/>
  <c r="I41" i="7"/>
  <c r="I35" i="7"/>
  <c r="I29" i="7"/>
  <c r="I23" i="7"/>
  <c r="I17" i="7"/>
  <c r="G38" i="7"/>
  <c r="G41" i="7"/>
  <c r="G35" i="7"/>
  <c r="G29" i="7"/>
  <c r="G23" i="7"/>
  <c r="G17" i="7"/>
  <c r="E38" i="7"/>
  <c r="Q53" i="8"/>
  <c r="U33" i="7"/>
  <c r="U27" i="7"/>
  <c r="U21" i="7"/>
  <c r="U39" i="7"/>
  <c r="Q33" i="7"/>
  <c r="Q27" i="7"/>
  <c r="Q40" i="7"/>
  <c r="Q21" i="7"/>
  <c r="Q39" i="7"/>
  <c r="M33" i="7"/>
  <c r="M27" i="7"/>
  <c r="M40" i="7"/>
  <c r="M21" i="7"/>
  <c r="M39" i="7"/>
  <c r="K33" i="7"/>
  <c r="K27" i="7"/>
  <c r="K21" i="7"/>
  <c r="K39" i="7"/>
  <c r="G50" i="5"/>
  <c r="I50" i="5"/>
  <c r="K50" i="5"/>
  <c r="G41" i="5"/>
  <c r="I41" i="5"/>
  <c r="K41" i="5"/>
  <c r="G32" i="5"/>
  <c r="I32" i="5"/>
  <c r="K32" i="5"/>
  <c r="I17" i="5"/>
  <c r="I19" i="5"/>
  <c r="K17" i="5"/>
  <c r="K19" i="5"/>
  <c r="K52" i="5"/>
  <c r="G17" i="5"/>
  <c r="G19" i="5"/>
  <c r="C50" i="5"/>
  <c r="C41" i="5"/>
  <c r="C32" i="5"/>
  <c r="C17" i="5"/>
  <c r="C19" i="5"/>
  <c r="E50" i="5"/>
  <c r="E41" i="5"/>
  <c r="E32" i="5"/>
  <c r="E17" i="5"/>
  <c r="E19" i="5"/>
  <c r="I52" i="5"/>
  <c r="G52" i="5"/>
  <c r="E52" i="5"/>
  <c r="C52" i="5"/>
  <c r="O424" i="12"/>
  <c r="O411" i="12"/>
  <c r="O406" i="12"/>
  <c r="O399" i="12"/>
  <c r="O357" i="12"/>
  <c r="P357" i="12"/>
  <c r="O339" i="12"/>
  <c r="O274" i="12"/>
  <c r="O260" i="12"/>
  <c r="Q339" i="12"/>
  <c r="O401" i="12"/>
  <c r="O426" i="12"/>
  <c r="O341" i="12"/>
  <c r="X40" i="27"/>
  <c r="O429" i="12"/>
  <c r="S49" i="21"/>
  <c r="S49" i="22"/>
  <c r="M49" i="22"/>
  <c r="G49" i="22"/>
  <c r="K52" i="18"/>
  <c r="F20" i="28"/>
  <c r="R21" i="28"/>
  <c r="X25" i="28"/>
  <c r="F26" i="28"/>
  <c r="X30" i="28"/>
  <c r="F31" i="28"/>
  <c r="X35" i="28"/>
  <c r="F36" i="28"/>
  <c r="F20" i="27"/>
  <c r="N21" i="27"/>
  <c r="T21" i="27"/>
  <c r="X25" i="27"/>
  <c r="F26" i="27"/>
  <c r="X30" i="27"/>
  <c r="X35" i="27"/>
  <c r="X45" i="27"/>
  <c r="X50" i="27"/>
  <c r="Y58" i="27"/>
  <c r="W19" i="26"/>
  <c r="W30" i="26"/>
  <c r="F21" i="28"/>
  <c r="J21" i="27"/>
  <c r="K35" i="26"/>
  <c r="L19" i="27"/>
  <c r="L56" i="27"/>
  <c r="M35" i="26"/>
  <c r="N19" i="27"/>
  <c r="N56" i="27"/>
  <c r="N58" i="27"/>
  <c r="N21" i="28"/>
  <c r="Q35" i="26"/>
  <c r="R19" i="27"/>
  <c r="R56" i="27"/>
  <c r="T21" i="28"/>
  <c r="O36" i="26"/>
  <c r="P20" i="27"/>
  <c r="H21" i="27"/>
  <c r="D15" i="25"/>
  <c r="F15" i="25"/>
  <c r="H15" i="25"/>
  <c r="J15" i="25"/>
  <c r="L15" i="25"/>
  <c r="N15" i="25"/>
  <c r="P15" i="25"/>
  <c r="R15" i="25"/>
  <c r="T15" i="25"/>
  <c r="V15" i="25"/>
  <c r="D16" i="25"/>
  <c r="F16" i="25"/>
  <c r="H16" i="25"/>
  <c r="J16" i="25"/>
  <c r="L16" i="25"/>
  <c r="N16" i="25"/>
  <c r="P16" i="25"/>
  <c r="R16" i="25"/>
  <c r="T16" i="25"/>
  <c r="V16" i="25"/>
  <c r="D18" i="25"/>
  <c r="F18" i="25"/>
  <c r="H18" i="25"/>
  <c r="J18" i="25"/>
  <c r="L18" i="25"/>
  <c r="N18" i="25"/>
  <c r="P18" i="25"/>
  <c r="R18" i="25"/>
  <c r="T18" i="25"/>
  <c r="V18" i="25"/>
  <c r="D22" i="25"/>
  <c r="F22" i="25"/>
  <c r="H22" i="25"/>
  <c r="J22" i="25"/>
  <c r="L22" i="25"/>
  <c r="N22" i="25"/>
  <c r="P22" i="25"/>
  <c r="R22" i="25"/>
  <c r="T22" i="25"/>
  <c r="V22" i="25"/>
  <c r="D23" i="25"/>
  <c r="F23" i="25"/>
  <c r="H23" i="25"/>
  <c r="J23" i="25"/>
  <c r="L23" i="25"/>
  <c r="N23" i="25"/>
  <c r="P23" i="25"/>
  <c r="R23" i="25"/>
  <c r="T23" i="25"/>
  <c r="V23" i="25"/>
  <c r="D24" i="25"/>
  <c r="F24" i="25"/>
  <c r="H24" i="25"/>
  <c r="J24" i="25"/>
  <c r="L24" i="25"/>
  <c r="N24" i="25"/>
  <c r="P24" i="25"/>
  <c r="R24" i="25"/>
  <c r="T24" i="25"/>
  <c r="V24" i="25"/>
  <c r="D26" i="25"/>
  <c r="F26" i="25"/>
  <c r="H26" i="25"/>
  <c r="J26" i="25"/>
  <c r="L26" i="25"/>
  <c r="N26" i="25"/>
  <c r="P26" i="25"/>
  <c r="R26" i="25"/>
  <c r="T26" i="25"/>
  <c r="V26" i="25"/>
  <c r="D27" i="25"/>
  <c r="F27" i="25"/>
  <c r="H27" i="25"/>
  <c r="J27" i="25"/>
  <c r="L27" i="25"/>
  <c r="N27" i="25"/>
  <c r="P27" i="25"/>
  <c r="R27" i="25"/>
  <c r="T27" i="25"/>
  <c r="V27" i="25"/>
  <c r="D31" i="25"/>
  <c r="F31" i="25"/>
  <c r="H31" i="25"/>
  <c r="J31" i="25"/>
  <c r="L31" i="25"/>
  <c r="N31" i="25"/>
  <c r="P31" i="25"/>
  <c r="R31" i="25"/>
  <c r="T31" i="25"/>
  <c r="V31" i="25"/>
  <c r="D32" i="25"/>
  <c r="F32" i="25"/>
  <c r="H32" i="25"/>
  <c r="J32" i="25"/>
  <c r="L32" i="25"/>
  <c r="N32" i="25"/>
  <c r="P32" i="25"/>
  <c r="R32" i="25"/>
  <c r="T32" i="25"/>
  <c r="V32" i="25"/>
  <c r="D33" i="25"/>
  <c r="F33" i="25"/>
  <c r="H33" i="25"/>
  <c r="J33" i="25"/>
  <c r="L33" i="25"/>
  <c r="N33" i="25"/>
  <c r="P33" i="25"/>
  <c r="R33" i="25"/>
  <c r="T33" i="25"/>
  <c r="V33" i="25"/>
  <c r="C71" i="42"/>
  <c r="AD43" i="31"/>
  <c r="W15" i="22"/>
  <c r="W16" i="22"/>
  <c r="W17" i="22"/>
  <c r="W18" i="22"/>
  <c r="W20" i="22"/>
  <c r="W21" i="22"/>
  <c r="W23" i="22"/>
  <c r="W24" i="22"/>
  <c r="W25" i="22"/>
  <c r="W27" i="22"/>
  <c r="W28" i="22"/>
  <c r="W29" i="22"/>
  <c r="W31" i="22"/>
  <c r="W32" i="22"/>
  <c r="W33" i="22"/>
  <c r="W34" i="22"/>
  <c r="W35" i="22"/>
  <c r="W36" i="22"/>
  <c r="W37" i="22"/>
  <c r="W39" i="22"/>
  <c r="W40" i="22"/>
  <c r="W41" i="22"/>
  <c r="W42" i="22"/>
  <c r="W43" i="22"/>
  <c r="W44" i="22"/>
  <c r="W46" i="22"/>
  <c r="W47" i="22"/>
  <c r="W48" i="22"/>
  <c r="W51" i="22"/>
  <c r="W52" i="22"/>
  <c r="W53" i="22"/>
  <c r="W14" i="22"/>
  <c r="W12" i="22"/>
  <c r="U15" i="22"/>
  <c r="U16" i="22"/>
  <c r="U17" i="22"/>
  <c r="U18" i="22"/>
  <c r="U20" i="22"/>
  <c r="U21" i="22"/>
  <c r="U23" i="22"/>
  <c r="U24" i="22"/>
  <c r="U25" i="22"/>
  <c r="U27" i="22"/>
  <c r="U28" i="22"/>
  <c r="U29" i="22"/>
  <c r="U31" i="22"/>
  <c r="U32" i="22"/>
  <c r="U33" i="22"/>
  <c r="U34" i="22"/>
  <c r="U35" i="22"/>
  <c r="U36" i="22"/>
  <c r="U37" i="22"/>
  <c r="U39" i="22"/>
  <c r="U40" i="22"/>
  <c r="U41" i="22"/>
  <c r="U42" i="22"/>
  <c r="U43" i="22"/>
  <c r="U44" i="22"/>
  <c r="U46" i="22"/>
  <c r="U47" i="22"/>
  <c r="U48" i="22"/>
  <c r="U51" i="22"/>
  <c r="U52" i="22"/>
  <c r="U53" i="22"/>
  <c r="U14" i="22"/>
  <c r="U12" i="22"/>
  <c r="S15" i="22"/>
  <c r="S16" i="22"/>
  <c r="S17" i="22"/>
  <c r="S18" i="22"/>
  <c r="S20" i="22"/>
  <c r="S21" i="22"/>
  <c r="S23" i="22"/>
  <c r="S24" i="22"/>
  <c r="S25" i="22"/>
  <c r="S27" i="22"/>
  <c r="S28" i="22"/>
  <c r="S29" i="22"/>
  <c r="S31" i="22"/>
  <c r="S32" i="22"/>
  <c r="S33" i="22"/>
  <c r="S34" i="22"/>
  <c r="S35" i="22"/>
  <c r="S36" i="22"/>
  <c r="S37" i="22"/>
  <c r="S39" i="22"/>
  <c r="S40" i="22"/>
  <c r="S41" i="22"/>
  <c r="S42" i="22"/>
  <c r="S43" i="22"/>
  <c r="S44" i="22"/>
  <c r="S46" i="22"/>
  <c r="S47" i="22"/>
  <c r="S48" i="22"/>
  <c r="S51" i="22"/>
  <c r="S52" i="22"/>
  <c r="S53" i="22"/>
  <c r="S14" i="22"/>
  <c r="S12" i="22"/>
  <c r="M15" i="22"/>
  <c r="M16" i="22"/>
  <c r="M17" i="22"/>
  <c r="M18" i="22"/>
  <c r="M20" i="22"/>
  <c r="M21" i="22"/>
  <c r="M23" i="22"/>
  <c r="M24" i="22"/>
  <c r="M25" i="22"/>
  <c r="M27" i="22"/>
  <c r="M28" i="22"/>
  <c r="M29" i="22"/>
  <c r="M31" i="22"/>
  <c r="M32" i="22"/>
  <c r="M33" i="22"/>
  <c r="M34" i="22"/>
  <c r="M35" i="22"/>
  <c r="M36" i="22"/>
  <c r="M37" i="22"/>
  <c r="M39" i="22"/>
  <c r="M40" i="22"/>
  <c r="M41" i="22"/>
  <c r="M42" i="22"/>
  <c r="M43" i="22"/>
  <c r="M44" i="22"/>
  <c r="M46" i="22"/>
  <c r="M47" i="22"/>
  <c r="M48" i="22"/>
  <c r="M51" i="22"/>
  <c r="M52" i="22"/>
  <c r="M53" i="22"/>
  <c r="M14" i="22"/>
  <c r="M12" i="22"/>
  <c r="G15" i="22"/>
  <c r="G16" i="22"/>
  <c r="G17" i="22"/>
  <c r="G18" i="22"/>
  <c r="G20" i="22"/>
  <c r="G21" i="22"/>
  <c r="G23" i="22"/>
  <c r="G24" i="22"/>
  <c r="G25" i="22"/>
  <c r="G27" i="22"/>
  <c r="G28" i="22"/>
  <c r="G29" i="22"/>
  <c r="G31" i="22"/>
  <c r="G32" i="22"/>
  <c r="G33" i="22"/>
  <c r="G34" i="22"/>
  <c r="G35" i="22"/>
  <c r="G36" i="22"/>
  <c r="G37" i="22"/>
  <c r="G39" i="22"/>
  <c r="G40" i="22"/>
  <c r="G41" i="22"/>
  <c r="G42" i="22"/>
  <c r="G43" i="22"/>
  <c r="G44" i="22"/>
  <c r="G46" i="22"/>
  <c r="G47" i="22"/>
  <c r="G48" i="22"/>
  <c r="G51" i="22"/>
  <c r="G52" i="22"/>
  <c r="G53" i="22"/>
  <c r="G14" i="22"/>
  <c r="G12" i="22"/>
  <c r="Q54" i="22"/>
  <c r="O54" i="22"/>
  <c r="K54" i="22"/>
  <c r="I54" i="22"/>
  <c r="E54" i="22"/>
  <c r="C54" i="22"/>
  <c r="Q54" i="21"/>
  <c r="O54" i="21"/>
  <c r="K54" i="21"/>
  <c r="I54" i="21"/>
  <c r="S15" i="21"/>
  <c r="S16" i="21"/>
  <c r="S17" i="21"/>
  <c r="S18" i="21"/>
  <c r="S20" i="21"/>
  <c r="S21" i="21"/>
  <c r="S23" i="21"/>
  <c r="S24" i="21"/>
  <c r="S25" i="21"/>
  <c r="S27" i="21"/>
  <c r="S28" i="21"/>
  <c r="S29" i="21"/>
  <c r="S31" i="21"/>
  <c r="S32" i="21"/>
  <c r="S33" i="21"/>
  <c r="S34" i="21"/>
  <c r="S35" i="21"/>
  <c r="S36" i="21"/>
  <c r="S37" i="21"/>
  <c r="S39" i="21"/>
  <c r="S40" i="21"/>
  <c r="S41" i="21"/>
  <c r="S42" i="21"/>
  <c r="S43" i="21"/>
  <c r="S44" i="21"/>
  <c r="S46" i="21"/>
  <c r="S47" i="21"/>
  <c r="S48" i="21"/>
  <c r="S51" i="21"/>
  <c r="S52" i="21"/>
  <c r="S53" i="21"/>
  <c r="S14" i="21"/>
  <c r="S12" i="21"/>
  <c r="M47" i="21"/>
  <c r="M15" i="21"/>
  <c r="M16" i="21"/>
  <c r="M17" i="21"/>
  <c r="M18" i="21"/>
  <c r="M20" i="21"/>
  <c r="M21" i="21"/>
  <c r="M23" i="21"/>
  <c r="M24" i="21"/>
  <c r="M25" i="21"/>
  <c r="M27" i="21"/>
  <c r="M28" i="21"/>
  <c r="M29" i="21"/>
  <c r="M31" i="21"/>
  <c r="M32" i="21"/>
  <c r="M33" i="21"/>
  <c r="M34" i="21"/>
  <c r="M35" i="21"/>
  <c r="M36" i="21"/>
  <c r="M37" i="21"/>
  <c r="M39" i="21"/>
  <c r="M40" i="21"/>
  <c r="M41" i="21"/>
  <c r="M42" i="21"/>
  <c r="M43" i="21"/>
  <c r="M44" i="21"/>
  <c r="M46" i="21"/>
  <c r="M48" i="21"/>
  <c r="M51" i="21"/>
  <c r="M52" i="21"/>
  <c r="M53" i="21"/>
  <c r="M14" i="21"/>
  <c r="M12" i="21"/>
  <c r="E54" i="21"/>
  <c r="C54" i="21"/>
  <c r="G15" i="21"/>
  <c r="G16" i="21"/>
  <c r="G17" i="21"/>
  <c r="G18" i="21"/>
  <c r="G20" i="21"/>
  <c r="G21" i="21"/>
  <c r="G23" i="21"/>
  <c r="G24" i="21"/>
  <c r="G25" i="21"/>
  <c r="G27" i="21"/>
  <c r="G28" i="21"/>
  <c r="G29" i="21"/>
  <c r="G31" i="21"/>
  <c r="G32" i="21"/>
  <c r="G33" i="21"/>
  <c r="G34" i="21"/>
  <c r="G35" i="21"/>
  <c r="G36" i="21"/>
  <c r="G37" i="21"/>
  <c r="G39" i="21"/>
  <c r="G40" i="21"/>
  <c r="G41" i="21"/>
  <c r="G42" i="21"/>
  <c r="G43" i="21"/>
  <c r="G44" i="21"/>
  <c r="G46" i="21"/>
  <c r="G48" i="21"/>
  <c r="G51" i="21"/>
  <c r="G53" i="21"/>
  <c r="G14" i="21"/>
  <c r="G12" i="21"/>
  <c r="Y14" i="22"/>
  <c r="Y48" i="22"/>
  <c r="Y43" i="22"/>
  <c r="Y39" i="22"/>
  <c r="Y34" i="22"/>
  <c r="Y29" i="22"/>
  <c r="Y24" i="22"/>
  <c r="Y18" i="22"/>
  <c r="X21" i="27"/>
  <c r="S54" i="21"/>
  <c r="Y46" i="22"/>
  <c r="Y27" i="22"/>
  <c r="M54" i="21"/>
  <c r="Y53" i="22"/>
  <c r="Y47" i="22"/>
  <c r="Y42" i="22"/>
  <c r="Y37" i="22"/>
  <c r="Y33" i="22"/>
  <c r="Y28" i="22"/>
  <c r="Y23" i="22"/>
  <c r="Y17" i="22"/>
  <c r="Y52" i="22"/>
  <c r="Y41" i="22"/>
  <c r="Y36" i="22"/>
  <c r="Y32" i="22"/>
  <c r="Y21" i="22"/>
  <c r="Y16" i="22"/>
  <c r="Y12" i="22"/>
  <c r="Y51" i="22"/>
  <c r="Y44" i="22"/>
  <c r="Y40" i="22"/>
  <c r="Y35" i="22"/>
  <c r="Y31" i="22"/>
  <c r="Y25" i="22"/>
  <c r="Y20" i="22"/>
  <c r="Y15" i="22"/>
  <c r="S54" i="22"/>
  <c r="W54" i="22"/>
  <c r="G54" i="21"/>
  <c r="L21" i="27"/>
  <c r="P19" i="25"/>
  <c r="P28" i="25"/>
  <c r="P34" i="25"/>
  <c r="H19" i="25"/>
  <c r="H28" i="25"/>
  <c r="H34" i="25"/>
  <c r="T19" i="25"/>
  <c r="T28" i="25"/>
  <c r="T34" i="25"/>
  <c r="V19" i="25"/>
  <c r="V28" i="25"/>
  <c r="V34" i="25"/>
  <c r="N19" i="25"/>
  <c r="N28" i="25"/>
  <c r="N34" i="25"/>
  <c r="F19" i="25"/>
  <c r="F28" i="25"/>
  <c r="F34" i="25"/>
  <c r="D19" i="25"/>
  <c r="D28" i="25"/>
  <c r="D34" i="25"/>
  <c r="P21" i="27"/>
  <c r="W36" i="26"/>
  <c r="X20" i="27"/>
  <c r="G36" i="26"/>
  <c r="H20" i="27"/>
  <c r="L19" i="25"/>
  <c r="L28" i="25"/>
  <c r="L34" i="25"/>
  <c r="U36" i="26"/>
  <c r="V20" i="27"/>
  <c r="U37" i="26"/>
  <c r="V21" i="27"/>
  <c r="E37" i="26"/>
  <c r="F21" i="27"/>
  <c r="M36" i="26"/>
  <c r="N20" i="27"/>
  <c r="R19" i="25"/>
  <c r="R28" i="25"/>
  <c r="R34" i="25"/>
  <c r="J19" i="25"/>
  <c r="J28" i="25"/>
  <c r="J34" i="25"/>
  <c r="T57" i="27"/>
  <c r="T20" i="28"/>
  <c r="L19" i="28"/>
  <c r="L40" i="28"/>
  <c r="L21" i="28"/>
  <c r="R19" i="28"/>
  <c r="R40" i="28"/>
  <c r="R57" i="27"/>
  <c r="R20" i="28"/>
  <c r="V57" i="27"/>
  <c r="V20" i="28"/>
  <c r="V21" i="28"/>
  <c r="N57" i="27"/>
  <c r="N20" i="28"/>
  <c r="N19" i="28"/>
  <c r="N40" i="28"/>
  <c r="X57" i="27"/>
  <c r="X20" i="28"/>
  <c r="X21" i="28"/>
  <c r="P57" i="27"/>
  <c r="P20" i="28"/>
  <c r="P21" i="28"/>
  <c r="H57" i="27"/>
  <c r="H20" i="28"/>
  <c r="H21" i="28"/>
  <c r="Q36" i="26"/>
  <c r="R20" i="27"/>
  <c r="I36" i="26"/>
  <c r="J20" i="27"/>
  <c r="R21" i="27"/>
  <c r="S36" i="26"/>
  <c r="T20" i="27"/>
  <c r="K36" i="26"/>
  <c r="L20" i="27"/>
  <c r="L57" i="27"/>
  <c r="L20" i="28"/>
  <c r="U54" i="22"/>
  <c r="M54" i="22"/>
  <c r="G54" i="22"/>
  <c r="H41" i="28"/>
  <c r="Y54" i="22"/>
  <c r="P41" i="28"/>
  <c r="T41" i="28"/>
  <c r="V41" i="28"/>
  <c r="R41" i="28"/>
  <c r="J21" i="28"/>
  <c r="J57" i="27"/>
  <c r="J20" i="28"/>
  <c r="X41" i="28"/>
  <c r="N41" i="28"/>
  <c r="J41" i="28"/>
  <c r="L41" i="28"/>
  <c r="Q50" i="5"/>
  <c r="O50" i="5"/>
  <c r="M50" i="5"/>
  <c r="S50" i="5"/>
  <c r="Q41" i="5"/>
  <c r="O41" i="5"/>
  <c r="M41" i="5"/>
  <c r="S41" i="5"/>
  <c r="Q32" i="5"/>
  <c r="O32" i="5"/>
  <c r="M32" i="5"/>
  <c r="S32" i="5"/>
  <c r="Q17" i="5"/>
  <c r="Q19" i="5"/>
  <c r="O17" i="5"/>
  <c r="O19" i="5"/>
  <c r="M17" i="5"/>
  <c r="M19" i="5"/>
  <c r="S17" i="5"/>
  <c r="S19" i="5"/>
  <c r="V45" i="31"/>
  <c r="AD45" i="31"/>
  <c r="AD48" i="31"/>
  <c r="N54" i="19"/>
  <c r="M52" i="5"/>
  <c r="Q52" i="5"/>
  <c r="O52" i="5"/>
  <c r="S52" i="5"/>
  <c r="G15" i="4"/>
  <c r="Q102" i="4"/>
  <c r="Q80" i="4"/>
  <c r="M102" i="4"/>
  <c r="M80" i="4"/>
  <c r="I102" i="4"/>
  <c r="I80" i="4"/>
  <c r="E102" i="4"/>
  <c r="E80" i="4"/>
  <c r="Q54" i="4"/>
  <c r="Q42" i="4"/>
  <c r="Q30" i="4"/>
  <c r="Q21" i="4"/>
  <c r="M54" i="4"/>
  <c r="M42" i="4"/>
  <c r="M30" i="4"/>
  <c r="M21" i="4"/>
  <c r="I54" i="4"/>
  <c r="I42" i="4"/>
  <c r="I30" i="4"/>
  <c r="I21" i="4"/>
  <c r="E54" i="4"/>
  <c r="E42" i="4"/>
  <c r="E30" i="4"/>
  <c r="E21" i="4"/>
  <c r="V16" i="3"/>
  <c r="R65" i="3"/>
  <c r="R54" i="3"/>
  <c r="R45" i="3"/>
  <c r="R36" i="3"/>
  <c r="R21" i="3"/>
  <c r="R25" i="3"/>
  <c r="N65" i="3"/>
  <c r="N54" i="3"/>
  <c r="N45" i="3"/>
  <c r="N36" i="3"/>
  <c r="N21" i="3"/>
  <c r="N25" i="3"/>
  <c r="J65" i="3"/>
  <c r="J54" i="3"/>
  <c r="J21" i="3"/>
  <c r="J25" i="3"/>
  <c r="F65" i="3"/>
  <c r="F21" i="3"/>
  <c r="F25" i="3"/>
  <c r="N16" i="19"/>
  <c r="F45" i="3"/>
  <c r="J36" i="3"/>
  <c r="N56" i="3"/>
  <c r="F54" i="3"/>
  <c r="R56" i="3"/>
  <c r="F36" i="3"/>
  <c r="J45" i="3"/>
  <c r="E114" i="4"/>
  <c r="F58" i="3"/>
  <c r="M114" i="4"/>
  <c r="N58" i="3"/>
  <c r="Q114" i="4"/>
  <c r="R58" i="3"/>
  <c r="I114" i="4"/>
  <c r="J58" i="3"/>
  <c r="R56" i="23"/>
  <c r="R18" i="23"/>
  <c r="K15" i="18"/>
  <c r="N68" i="3"/>
  <c r="J56" i="3"/>
  <c r="J68" i="3"/>
  <c r="R68" i="3"/>
  <c r="F56" i="3"/>
  <c r="F68" i="3"/>
  <c r="E57" i="18"/>
  <c r="I12" i="35"/>
  <c r="U95" i="29"/>
  <c r="AC95" i="29"/>
  <c r="G33" i="7"/>
  <c r="E41" i="7"/>
  <c r="E35" i="7"/>
  <c r="I34" i="7"/>
  <c r="G34" i="7"/>
  <c r="E29" i="7"/>
  <c r="I28" i="7"/>
  <c r="G28" i="7"/>
  <c r="E23" i="7"/>
  <c r="I22" i="7"/>
  <c r="G22" i="7"/>
  <c r="E17" i="7"/>
  <c r="I16" i="7"/>
  <c r="G16" i="7"/>
  <c r="Q63" i="9"/>
  <c r="I40" i="7"/>
  <c r="I63" i="9"/>
  <c r="I66" i="9"/>
  <c r="E15" i="7"/>
  <c r="E27" i="7"/>
  <c r="S63" i="9"/>
  <c r="S66" i="9"/>
  <c r="G40" i="7"/>
  <c r="E21" i="7"/>
  <c r="E33" i="7"/>
  <c r="G15" i="7"/>
  <c r="G21" i="7"/>
  <c r="G27" i="7"/>
  <c r="G63" i="9"/>
  <c r="G66" i="9"/>
  <c r="O63" i="9"/>
  <c r="O66" i="9"/>
  <c r="E63" i="9"/>
  <c r="E66" i="9"/>
  <c r="M63" i="9"/>
  <c r="M66" i="9"/>
  <c r="C63" i="9"/>
  <c r="C66" i="9"/>
  <c r="K63" i="9"/>
  <c r="K66" i="9"/>
  <c r="S64" i="8"/>
  <c r="S67" i="8"/>
  <c r="Q64" i="8"/>
  <c r="Q67" i="8"/>
  <c r="C64" i="8"/>
  <c r="C67" i="8"/>
  <c r="K64" i="8"/>
  <c r="K67" i="8"/>
  <c r="O64" i="8"/>
  <c r="O67" i="8"/>
  <c r="E64" i="8"/>
  <c r="E67" i="8"/>
  <c r="I64" i="8"/>
  <c r="I67" i="8"/>
  <c r="M64" i="8"/>
  <c r="M67" i="8"/>
  <c r="G64" i="8"/>
  <c r="G67" i="8"/>
  <c r="AI53" i="24"/>
  <c r="AG53" i="24"/>
  <c r="W53" i="24"/>
  <c r="U53" i="24"/>
  <c r="Q53" i="24"/>
  <c r="O53" i="24"/>
  <c r="K53" i="24"/>
  <c r="I53" i="24"/>
  <c r="E53" i="24"/>
  <c r="C53" i="24"/>
  <c r="Q66" i="9"/>
  <c r="M53" i="24"/>
  <c r="AK53" i="24"/>
  <c r="G53" i="24"/>
  <c r="S53" i="24"/>
  <c r="E39" i="7"/>
  <c r="Y53" i="24"/>
  <c r="G39" i="7"/>
  <c r="AO53" i="24"/>
  <c r="AM53" i="24"/>
  <c r="AQ53" i="24"/>
  <c r="U110" i="4"/>
  <c r="S110" i="4"/>
  <c r="U106" i="4"/>
  <c r="S106" i="4"/>
  <c r="U94" i="4"/>
  <c r="U95" i="4"/>
  <c r="U96" i="4"/>
  <c r="U97" i="4"/>
  <c r="U98" i="4"/>
  <c r="U99" i="4"/>
  <c r="U100" i="4"/>
  <c r="U101" i="4"/>
  <c r="U93" i="4"/>
  <c r="S94" i="4"/>
  <c r="S95" i="4"/>
  <c r="S96" i="4"/>
  <c r="S97" i="4"/>
  <c r="S98" i="4"/>
  <c r="S99" i="4"/>
  <c r="S100" i="4"/>
  <c r="S101" i="4"/>
  <c r="S93" i="4"/>
  <c r="U88" i="4"/>
  <c r="S88" i="4"/>
  <c r="U84" i="4"/>
  <c r="S84" i="4"/>
  <c r="U77" i="4"/>
  <c r="U78" i="4"/>
  <c r="U79" i="4"/>
  <c r="S77" i="4"/>
  <c r="S78" i="4"/>
  <c r="S79" i="4"/>
  <c r="U76" i="4"/>
  <c r="S76" i="4"/>
  <c r="O102" i="4"/>
  <c r="K102" i="4"/>
  <c r="G102" i="4"/>
  <c r="C102" i="4"/>
  <c r="O80" i="4"/>
  <c r="K80" i="4"/>
  <c r="G80" i="4"/>
  <c r="C80" i="4"/>
  <c r="U58" i="4"/>
  <c r="S58" i="4"/>
  <c r="U52" i="4"/>
  <c r="U53" i="4"/>
  <c r="S52" i="4"/>
  <c r="S53" i="4"/>
  <c r="U51" i="4"/>
  <c r="S51" i="4"/>
  <c r="U46" i="4"/>
  <c r="S46" i="4"/>
  <c r="U37" i="4"/>
  <c r="U38" i="4"/>
  <c r="U39" i="4"/>
  <c r="U40" i="4"/>
  <c r="U41" i="4"/>
  <c r="S37" i="4"/>
  <c r="S38" i="4"/>
  <c r="S39" i="4"/>
  <c r="S40" i="4"/>
  <c r="S41" i="4"/>
  <c r="U35" i="4"/>
  <c r="S35" i="4"/>
  <c r="U27" i="4"/>
  <c r="U28" i="4"/>
  <c r="U29" i="4"/>
  <c r="U26" i="4"/>
  <c r="S27" i="4"/>
  <c r="S28" i="4"/>
  <c r="S29" i="4"/>
  <c r="S26" i="4"/>
  <c r="U20" i="4"/>
  <c r="S20" i="4"/>
  <c r="U19" i="4"/>
  <c r="S19" i="4"/>
  <c r="O54" i="4"/>
  <c r="K54" i="4"/>
  <c r="G54" i="4"/>
  <c r="C54" i="4"/>
  <c r="O42" i="4"/>
  <c r="K42" i="4"/>
  <c r="G42" i="4"/>
  <c r="C42" i="4"/>
  <c r="O30" i="4"/>
  <c r="K30" i="4"/>
  <c r="G30" i="4"/>
  <c r="C30" i="4"/>
  <c r="O21" i="4"/>
  <c r="K21" i="4"/>
  <c r="G21" i="4"/>
  <c r="C21" i="4"/>
  <c r="U72" i="4"/>
  <c r="S72" i="4"/>
  <c r="Q72" i="4"/>
  <c r="O72" i="4"/>
  <c r="M72" i="4"/>
  <c r="K72" i="4"/>
  <c r="I72" i="4"/>
  <c r="G72" i="4"/>
  <c r="U15" i="4"/>
  <c r="S15" i="4"/>
  <c r="Q15" i="4"/>
  <c r="O15" i="4"/>
  <c r="M15" i="4"/>
  <c r="K15" i="4"/>
  <c r="I15" i="4"/>
  <c r="G114" i="4"/>
  <c r="H58" i="3"/>
  <c r="S54" i="4"/>
  <c r="O114" i="4"/>
  <c r="P58" i="3"/>
  <c r="U21" i="4"/>
  <c r="S102" i="4"/>
  <c r="S42" i="4"/>
  <c r="C114" i="4"/>
  <c r="D58" i="3"/>
  <c r="K114" i="4"/>
  <c r="L58" i="3"/>
  <c r="U30" i="4"/>
  <c r="U54" i="4"/>
  <c r="U102" i="4"/>
  <c r="U80" i="4"/>
  <c r="S80" i="4"/>
  <c r="U42" i="4"/>
  <c r="S30" i="4"/>
  <c r="S21" i="4"/>
  <c r="S114" i="4"/>
  <c r="T58" i="3"/>
  <c r="U114" i="4"/>
  <c r="V58" i="3"/>
  <c r="I101" i="35"/>
  <c r="I77" i="35"/>
  <c r="E76" i="35"/>
  <c r="E70" i="35"/>
  <c r="I23" i="35"/>
  <c r="I18" i="35"/>
  <c r="V64" i="3"/>
  <c r="V63" i="3"/>
  <c r="V49" i="3"/>
  <c r="V50" i="3"/>
  <c r="V51" i="3"/>
  <c r="V52" i="3"/>
  <c r="V53" i="3"/>
  <c r="V48" i="3"/>
  <c r="V40" i="3"/>
  <c r="V41" i="3"/>
  <c r="V42" i="3"/>
  <c r="V43" i="3"/>
  <c r="V44" i="3"/>
  <c r="V39" i="3"/>
  <c r="V29" i="3"/>
  <c r="V30" i="3"/>
  <c r="V32" i="3"/>
  <c r="V33" i="3"/>
  <c r="V34" i="3"/>
  <c r="V35" i="3"/>
  <c r="V28" i="3"/>
  <c r="V22" i="3"/>
  <c r="V23" i="3"/>
  <c r="V24" i="3"/>
  <c r="V18" i="3"/>
  <c r="V19" i="3"/>
  <c r="V20" i="3"/>
  <c r="V17" i="3"/>
  <c r="T64" i="3"/>
  <c r="T63" i="3"/>
  <c r="T60" i="3"/>
  <c r="T51" i="3"/>
  <c r="U47" i="5"/>
  <c r="T53" i="3"/>
  <c r="U49" i="5"/>
  <c r="T48" i="3"/>
  <c r="U44" i="5"/>
  <c r="T42" i="3"/>
  <c r="U38" i="5"/>
  <c r="T44" i="3"/>
  <c r="U40" i="5"/>
  <c r="T32" i="3"/>
  <c r="U27" i="5"/>
  <c r="T33" i="3"/>
  <c r="U28" i="5"/>
  <c r="T34" i="3"/>
  <c r="U30" i="5"/>
  <c r="T35" i="3"/>
  <c r="U31" i="5"/>
  <c r="T22" i="3"/>
  <c r="T23" i="3"/>
  <c r="T24" i="3"/>
  <c r="U18" i="5"/>
  <c r="T18" i="3"/>
  <c r="U14" i="5"/>
  <c r="T19" i="3"/>
  <c r="U15" i="5"/>
  <c r="T20" i="3"/>
  <c r="U16" i="5"/>
  <c r="T17" i="3"/>
  <c r="U13" i="5"/>
  <c r="T16" i="3"/>
  <c r="U12" i="5"/>
  <c r="P65" i="3"/>
  <c r="L65" i="3"/>
  <c r="H65" i="3"/>
  <c r="P54" i="3"/>
  <c r="L54" i="3"/>
  <c r="H54" i="3"/>
  <c r="P45" i="3"/>
  <c r="L45" i="3"/>
  <c r="P21" i="3"/>
  <c r="P25" i="3"/>
  <c r="L21" i="3"/>
  <c r="L25" i="3"/>
  <c r="H21" i="3"/>
  <c r="H25" i="3"/>
  <c r="D65" i="3"/>
  <c r="D21" i="3"/>
  <c r="D25" i="3"/>
  <c r="K44" i="2"/>
  <c r="K34" i="2"/>
  <c r="K24" i="2"/>
  <c r="I44" i="2"/>
  <c r="I34" i="2"/>
  <c r="I24" i="2"/>
  <c r="G44" i="2"/>
  <c r="G34" i="2"/>
  <c r="G24" i="2"/>
  <c r="E39" i="2"/>
  <c r="E40" i="2"/>
  <c r="E41" i="2"/>
  <c r="E42" i="2"/>
  <c r="E43" i="2"/>
  <c r="E38" i="2"/>
  <c r="E29" i="2"/>
  <c r="E30" i="2"/>
  <c r="E31" i="2"/>
  <c r="E32" i="2"/>
  <c r="E33" i="2"/>
  <c r="E28" i="2"/>
  <c r="E17" i="2"/>
  <c r="E18" i="2"/>
  <c r="E20" i="2"/>
  <c r="E21" i="2"/>
  <c r="E22" i="2"/>
  <c r="E23" i="2"/>
  <c r="E16" i="2"/>
  <c r="V65" i="3"/>
  <c r="V54" i="3"/>
  <c r="T21" i="3"/>
  <c r="V45" i="3"/>
  <c r="V21" i="3"/>
  <c r="V25" i="3"/>
  <c r="V36" i="3"/>
  <c r="T65" i="3"/>
  <c r="T25" i="3"/>
  <c r="K45" i="2"/>
  <c r="G45" i="2"/>
  <c r="E34" i="2"/>
  <c r="E24" i="2"/>
  <c r="U17" i="5"/>
  <c r="U19" i="5"/>
  <c r="E44" i="2"/>
  <c r="A143" i="40"/>
  <c r="M126" i="40"/>
  <c r="A74" i="40"/>
  <c r="M61" i="40"/>
  <c r="V56" i="3"/>
  <c r="M174" i="40"/>
  <c r="L19" i="39"/>
  <c r="K19" i="39"/>
  <c r="J19" i="39"/>
  <c r="I19" i="39"/>
  <c r="H19" i="39"/>
  <c r="G19" i="39"/>
  <c r="F19" i="39"/>
  <c r="M22" i="39"/>
  <c r="I22" i="39"/>
  <c r="F22" i="39"/>
  <c r="J22" i="39"/>
  <c r="H22" i="39"/>
  <c r="L22" i="39"/>
  <c r="G22" i="39"/>
  <c r="K22" i="39"/>
  <c r="AA20" i="34"/>
  <c r="W20" i="34"/>
  <c r="S20" i="34"/>
  <c r="Q20" i="34"/>
  <c r="O20" i="34"/>
  <c r="M20" i="34"/>
  <c r="K20" i="34"/>
  <c r="I20" i="34"/>
  <c r="G20" i="34"/>
  <c r="E20" i="34"/>
  <c r="C20" i="34"/>
  <c r="U19" i="34"/>
  <c r="Y19" i="34"/>
  <c r="U18" i="34"/>
  <c r="Y18" i="34"/>
  <c r="U17" i="34"/>
  <c r="Y17" i="34"/>
  <c r="U16" i="34"/>
  <c r="Y16" i="34"/>
  <c r="U15" i="34"/>
  <c r="Y15" i="34"/>
  <c r="U14" i="34"/>
  <c r="Y14" i="34"/>
  <c r="AA57" i="33"/>
  <c r="S57" i="33"/>
  <c r="Q57" i="33"/>
  <c r="O57" i="33"/>
  <c r="M57" i="33"/>
  <c r="K57" i="33"/>
  <c r="I57" i="33"/>
  <c r="G57" i="33"/>
  <c r="E57" i="33"/>
  <c r="C57" i="33"/>
  <c r="U56" i="33"/>
  <c r="Y56" i="33"/>
  <c r="U55" i="33"/>
  <c r="Y55" i="33"/>
  <c r="U54" i="33"/>
  <c r="Y54" i="33"/>
  <c r="U53" i="33"/>
  <c r="Y53" i="33"/>
  <c r="U52" i="33"/>
  <c r="Y52" i="33"/>
  <c r="U51" i="33"/>
  <c r="Y51" i="33"/>
  <c r="U50" i="33"/>
  <c r="Y50" i="33"/>
  <c r="U48" i="33"/>
  <c r="Y48" i="33"/>
  <c r="U47" i="33"/>
  <c r="Y47" i="33"/>
  <c r="U46" i="33"/>
  <c r="Y46" i="33"/>
  <c r="U45" i="33"/>
  <c r="Y45" i="33"/>
  <c r="U44" i="33"/>
  <c r="Y44" i="33"/>
  <c r="U43" i="33"/>
  <c r="Y43" i="33"/>
  <c r="U41" i="33"/>
  <c r="Y41" i="33"/>
  <c r="U40" i="33"/>
  <c r="Y40" i="33"/>
  <c r="U39" i="33"/>
  <c r="Y39" i="33"/>
  <c r="U38" i="33"/>
  <c r="Y38" i="33"/>
  <c r="U37" i="33"/>
  <c r="Y37" i="33"/>
  <c r="U36" i="33"/>
  <c r="Y36" i="33"/>
  <c r="U35" i="33"/>
  <c r="Y35" i="33"/>
  <c r="U34" i="33"/>
  <c r="Y34" i="33"/>
  <c r="U33" i="33"/>
  <c r="Y33" i="33"/>
  <c r="U32" i="33"/>
  <c r="Y32" i="33"/>
  <c r="U31" i="33"/>
  <c r="Y31" i="33"/>
  <c r="U30" i="33"/>
  <c r="Y30" i="33"/>
  <c r="U29" i="33"/>
  <c r="Y29" i="33"/>
  <c r="U28" i="33"/>
  <c r="Y28" i="33"/>
  <c r="U27" i="33"/>
  <c r="Y27" i="33"/>
  <c r="U26" i="33"/>
  <c r="Y26" i="33"/>
  <c r="U25" i="33"/>
  <c r="Y25" i="33"/>
  <c r="U24" i="33"/>
  <c r="Y24" i="33"/>
  <c r="U23" i="33"/>
  <c r="Y23" i="33"/>
  <c r="U22" i="33"/>
  <c r="Y22" i="33"/>
  <c r="U21" i="33"/>
  <c r="Y21" i="33"/>
  <c r="U20" i="33"/>
  <c r="Y20" i="33"/>
  <c r="U18" i="33"/>
  <c r="Y18" i="33"/>
  <c r="U19" i="33"/>
  <c r="Y19" i="33"/>
  <c r="U17" i="33"/>
  <c r="Y17" i="33"/>
  <c r="W57" i="33"/>
  <c r="Y20" i="34"/>
  <c r="U20" i="34"/>
  <c r="Y57" i="33"/>
  <c r="U57" i="33"/>
  <c r="G33" i="32"/>
  <c r="G30" i="32"/>
  <c r="G28" i="32"/>
  <c r="I26" i="32"/>
  <c r="I35" i="32"/>
  <c r="E26" i="32"/>
  <c r="E35" i="32"/>
  <c r="C26" i="32"/>
  <c r="C35" i="32"/>
  <c r="G24" i="32"/>
  <c r="G23" i="32"/>
  <c r="G22" i="32"/>
  <c r="G21" i="32"/>
  <c r="G20" i="32"/>
  <c r="G19" i="32"/>
  <c r="G18" i="32"/>
  <c r="G17" i="32"/>
  <c r="AF61" i="31"/>
  <c r="AB61" i="31"/>
  <c r="Z61" i="31"/>
  <c r="X61" i="31"/>
  <c r="T61" i="31"/>
  <c r="R61" i="31"/>
  <c r="P61" i="31"/>
  <c r="N61" i="31"/>
  <c r="L61" i="31"/>
  <c r="J61" i="31"/>
  <c r="H61" i="31"/>
  <c r="F61" i="31"/>
  <c r="D61" i="31"/>
  <c r="V60" i="31"/>
  <c r="AD60" i="31"/>
  <c r="V59" i="31"/>
  <c r="AD59" i="31"/>
  <c r="V58" i="31"/>
  <c r="AD58" i="31"/>
  <c r="V57" i="31"/>
  <c r="AD57" i="31"/>
  <c r="V56" i="31"/>
  <c r="AD56" i="31"/>
  <c r="V55" i="31"/>
  <c r="AD55" i="31"/>
  <c r="V54" i="31"/>
  <c r="AD54" i="31"/>
  <c r="V53" i="31"/>
  <c r="AD53" i="31"/>
  <c r="V52" i="31"/>
  <c r="AD52" i="31"/>
  <c r="V51" i="31"/>
  <c r="AD51" i="31"/>
  <c r="V50" i="31"/>
  <c r="AD50" i="31"/>
  <c r="V49" i="31"/>
  <c r="AD49" i="31"/>
  <c r="V47" i="31"/>
  <c r="AD47" i="31"/>
  <c r="V46" i="31"/>
  <c r="AD46" i="31"/>
  <c r="V42" i="31"/>
  <c r="AD42" i="31"/>
  <c r="V41" i="31"/>
  <c r="AD41" i="31"/>
  <c r="V40" i="31"/>
  <c r="AD40" i="31"/>
  <c r="V39" i="31"/>
  <c r="AD39" i="31"/>
  <c r="V38" i="31"/>
  <c r="AD38" i="31"/>
  <c r="V37" i="31"/>
  <c r="AD37" i="31"/>
  <c r="V36" i="31"/>
  <c r="AD36" i="31"/>
  <c r="V35" i="31"/>
  <c r="AD35" i="31"/>
  <c r="V34" i="31"/>
  <c r="AD34" i="31"/>
  <c r="V33" i="31"/>
  <c r="AD33" i="31"/>
  <c r="V32" i="31"/>
  <c r="AD32" i="31"/>
  <c r="V31" i="31"/>
  <c r="AD31" i="31"/>
  <c r="V30" i="31"/>
  <c r="AD30" i="31"/>
  <c r="V29" i="31"/>
  <c r="AD29" i="31"/>
  <c r="V28" i="31"/>
  <c r="AD28" i="31"/>
  <c r="V27" i="31"/>
  <c r="AD27" i="31"/>
  <c r="V26" i="31"/>
  <c r="AD26" i="31"/>
  <c r="V25" i="31"/>
  <c r="AD25" i="31"/>
  <c r="V24" i="31"/>
  <c r="AD24" i="31"/>
  <c r="V23" i="31"/>
  <c r="AD23" i="31"/>
  <c r="V21" i="31"/>
  <c r="AD21" i="31"/>
  <c r="V20" i="31"/>
  <c r="AD20" i="31"/>
  <c r="V19" i="31"/>
  <c r="AD19" i="31"/>
  <c r="V18" i="31"/>
  <c r="AD18" i="31"/>
  <c r="V22" i="31"/>
  <c r="AD22" i="31"/>
  <c r="V17" i="31"/>
  <c r="AD17" i="31"/>
  <c r="G26" i="32"/>
  <c r="G35" i="32"/>
  <c r="V61" i="31"/>
  <c r="AD61" i="31"/>
  <c r="AG88" i="30"/>
  <c r="AC88" i="30"/>
  <c r="AA88" i="30"/>
  <c r="W88" i="30"/>
  <c r="S88" i="30"/>
  <c r="Q88" i="30"/>
  <c r="O88" i="30"/>
  <c r="M88" i="30"/>
  <c r="K88" i="30"/>
  <c r="I88" i="30"/>
  <c r="G88" i="30"/>
  <c r="E88" i="30"/>
  <c r="C88" i="30"/>
  <c r="U87" i="30"/>
  <c r="AE87" i="30"/>
  <c r="U86" i="30"/>
  <c r="AE86" i="30"/>
  <c r="U85" i="30"/>
  <c r="AE85" i="30"/>
  <c r="U84" i="30"/>
  <c r="AE84" i="30"/>
  <c r="U83" i="30"/>
  <c r="AE83" i="30"/>
  <c r="U82" i="30"/>
  <c r="AE82" i="30"/>
  <c r="U81" i="30"/>
  <c r="AE81" i="30"/>
  <c r="U80" i="30"/>
  <c r="AE80" i="30"/>
  <c r="U79" i="30"/>
  <c r="AE79" i="30"/>
  <c r="U78" i="30"/>
  <c r="AE78" i="30"/>
  <c r="U77" i="30"/>
  <c r="AE77" i="30"/>
  <c r="U76" i="30"/>
  <c r="AE76" i="30"/>
  <c r="U74" i="30"/>
  <c r="AE74" i="30"/>
  <c r="U73" i="30"/>
  <c r="AE73" i="30"/>
  <c r="U72" i="30"/>
  <c r="AE72" i="30"/>
  <c r="U71" i="30"/>
  <c r="AE71" i="30"/>
  <c r="U70" i="30"/>
  <c r="AE70" i="30"/>
  <c r="U69" i="30"/>
  <c r="AE69" i="30"/>
  <c r="U68" i="30"/>
  <c r="AE68" i="30"/>
  <c r="B68" i="30"/>
  <c r="U54" i="30"/>
  <c r="AE54" i="30"/>
  <c r="U53" i="30"/>
  <c r="AE53" i="30"/>
  <c r="U52" i="30"/>
  <c r="AE52" i="30"/>
  <c r="U51" i="30"/>
  <c r="AE51" i="30"/>
  <c r="U50" i="30"/>
  <c r="AE50" i="30"/>
  <c r="B50" i="30"/>
  <c r="U49" i="30"/>
  <c r="AE49" i="30"/>
  <c r="U48" i="30"/>
  <c r="AE48" i="30"/>
  <c r="U47" i="30"/>
  <c r="AE47" i="30"/>
  <c r="U46" i="30"/>
  <c r="AE46" i="30"/>
  <c r="U45" i="30"/>
  <c r="AE45" i="30"/>
  <c r="U44" i="30"/>
  <c r="AE44" i="30"/>
  <c r="U43" i="30"/>
  <c r="AE43" i="30"/>
  <c r="U42" i="30"/>
  <c r="AE42" i="30"/>
  <c r="U41" i="30"/>
  <c r="AE41" i="30"/>
  <c r="U40" i="30"/>
  <c r="AE40" i="30"/>
  <c r="U39" i="30"/>
  <c r="AE39" i="30"/>
  <c r="U38" i="30"/>
  <c r="AE38" i="30"/>
  <c r="U37" i="30"/>
  <c r="AE37" i="30"/>
  <c r="U36" i="30"/>
  <c r="AE36" i="30"/>
  <c r="U35" i="30"/>
  <c r="AE35" i="30"/>
  <c r="U34" i="30"/>
  <c r="AE34" i="30"/>
  <c r="U33" i="30"/>
  <c r="AE33" i="30"/>
  <c r="U32" i="30"/>
  <c r="AE32" i="30"/>
  <c r="U31" i="30"/>
  <c r="AE31" i="30"/>
  <c r="U30" i="30"/>
  <c r="AE30" i="30"/>
  <c r="U29" i="30"/>
  <c r="AE29" i="30"/>
  <c r="U28" i="30"/>
  <c r="AE28" i="30"/>
  <c r="U27" i="30"/>
  <c r="AE27" i="30"/>
  <c r="U26" i="30"/>
  <c r="AE26" i="30"/>
  <c r="U25" i="30"/>
  <c r="AE25" i="30"/>
  <c r="U24" i="30"/>
  <c r="AE24" i="30"/>
  <c r="U23" i="30"/>
  <c r="AE23" i="30"/>
  <c r="U22" i="30"/>
  <c r="AE22" i="30"/>
  <c r="U21" i="30"/>
  <c r="AE21" i="30"/>
  <c r="U20" i="30"/>
  <c r="AE20" i="30"/>
  <c r="U19" i="30"/>
  <c r="AE19" i="30"/>
  <c r="U17" i="30"/>
  <c r="AE17" i="30"/>
  <c r="U16" i="30"/>
  <c r="AE16" i="30"/>
  <c r="AE15" i="30"/>
  <c r="AE18" i="30"/>
  <c r="U88" i="30"/>
  <c r="AE88" i="30"/>
  <c r="S98" i="29"/>
  <c r="Q98" i="29"/>
  <c r="O98" i="29"/>
  <c r="M98" i="29"/>
  <c r="G98" i="29"/>
  <c r="E98" i="29"/>
  <c r="C98" i="29"/>
  <c r="U97" i="29"/>
  <c r="AC97" i="29"/>
  <c r="U96" i="29"/>
  <c r="AC96" i="29"/>
  <c r="U94" i="29"/>
  <c r="AC94" i="29"/>
  <c r="U93" i="29"/>
  <c r="AC93" i="29"/>
  <c r="U92" i="29"/>
  <c r="AC92" i="29"/>
  <c r="U91" i="29"/>
  <c r="AC91" i="29"/>
  <c r="U90" i="29"/>
  <c r="AC90" i="29"/>
  <c r="U89" i="29"/>
  <c r="AC89" i="29"/>
  <c r="U88" i="29"/>
  <c r="AC88" i="29"/>
  <c r="U87" i="29"/>
  <c r="AC87" i="29"/>
  <c r="U86" i="29"/>
  <c r="AC86" i="29"/>
  <c r="U85" i="29"/>
  <c r="AC85" i="29"/>
  <c r="U83" i="29"/>
  <c r="AC83" i="29"/>
  <c r="U82" i="29"/>
  <c r="AC82" i="29"/>
  <c r="U81" i="29"/>
  <c r="AC81" i="29"/>
  <c r="U80" i="29"/>
  <c r="AC80" i="29"/>
  <c r="U79" i="29"/>
  <c r="AC79" i="29"/>
  <c r="U78" i="29"/>
  <c r="AC78" i="29"/>
  <c r="U77" i="29"/>
  <c r="AC77" i="29"/>
  <c r="U76" i="29"/>
  <c r="AC76" i="29"/>
  <c r="U75" i="29"/>
  <c r="AC75" i="29"/>
  <c r="U74" i="29"/>
  <c r="AC74" i="29"/>
  <c r="U73" i="29"/>
  <c r="AC73" i="29"/>
  <c r="U57" i="29"/>
  <c r="AC57" i="29"/>
  <c r="U56" i="29"/>
  <c r="AC56" i="29"/>
  <c r="U55" i="29"/>
  <c r="AC55" i="29"/>
  <c r="U54" i="29"/>
  <c r="AC54" i="29"/>
  <c r="U53" i="29"/>
  <c r="AC53" i="29"/>
  <c r="U51" i="29"/>
  <c r="AC51" i="29"/>
  <c r="U50" i="29"/>
  <c r="AC50" i="29"/>
  <c r="U49" i="29"/>
  <c r="AC49" i="29"/>
  <c r="U48" i="29"/>
  <c r="AC48" i="29"/>
  <c r="U47" i="29"/>
  <c r="AC47" i="29"/>
  <c r="U46" i="29"/>
  <c r="AC46" i="29"/>
  <c r="U45" i="29"/>
  <c r="AC45" i="29"/>
  <c r="U44" i="29"/>
  <c r="AC44" i="29"/>
  <c r="U43" i="29"/>
  <c r="AC43" i="29"/>
  <c r="U42" i="29"/>
  <c r="AC42" i="29"/>
  <c r="U41" i="29"/>
  <c r="AC41" i="29"/>
  <c r="U40" i="29"/>
  <c r="AC40" i="29"/>
  <c r="U39" i="29"/>
  <c r="AC39" i="29"/>
  <c r="U38" i="29"/>
  <c r="AC38" i="29"/>
  <c r="U37" i="29"/>
  <c r="AC37" i="29"/>
  <c r="U36" i="29"/>
  <c r="AC36" i="29"/>
  <c r="U35" i="29"/>
  <c r="AC35" i="29"/>
  <c r="U34" i="29"/>
  <c r="AC34" i="29"/>
  <c r="AE98" i="29"/>
  <c r="U33" i="29"/>
  <c r="AC33" i="29"/>
  <c r="U32" i="29"/>
  <c r="AC32" i="29"/>
  <c r="U31" i="29"/>
  <c r="AC31" i="29"/>
  <c r="U30" i="29"/>
  <c r="AC30" i="29"/>
  <c r="U29" i="29"/>
  <c r="AC29" i="29"/>
  <c r="U28" i="29"/>
  <c r="AC28" i="29"/>
  <c r="U27" i="29"/>
  <c r="AC27" i="29"/>
  <c r="Y98" i="29"/>
  <c r="U26" i="29"/>
  <c r="AC26" i="29"/>
  <c r="K98" i="29"/>
  <c r="U25" i="29"/>
  <c r="AC25" i="29"/>
  <c r="U24" i="29"/>
  <c r="AC24" i="29"/>
  <c r="U23" i="29"/>
  <c r="AC23" i="29"/>
  <c r="AA98" i="29"/>
  <c r="U22" i="29"/>
  <c r="AC22" i="29"/>
  <c r="U21" i="29"/>
  <c r="AC21" i="29"/>
  <c r="W98" i="29"/>
  <c r="U19" i="29"/>
  <c r="AC19" i="29"/>
  <c r="U18" i="29"/>
  <c r="AC18" i="29"/>
  <c r="U17" i="29"/>
  <c r="AC17" i="29"/>
  <c r="U16" i="29"/>
  <c r="AC16" i="29"/>
  <c r="U20" i="29"/>
  <c r="AC20" i="29"/>
  <c r="U15" i="29"/>
  <c r="U98" i="29"/>
  <c r="I98" i="29"/>
  <c r="AC15" i="29"/>
  <c r="AC98" i="29"/>
  <c r="T58" i="23"/>
  <c r="O58" i="23"/>
  <c r="M58" i="23"/>
  <c r="K58" i="23"/>
  <c r="I58" i="23"/>
  <c r="G58" i="23"/>
  <c r="E58" i="23"/>
  <c r="C58" i="23"/>
  <c r="R57" i="23"/>
  <c r="R55" i="23"/>
  <c r="R54" i="23"/>
  <c r="R53" i="23"/>
  <c r="R52" i="23"/>
  <c r="R51" i="23"/>
  <c r="R50" i="23"/>
  <c r="R49" i="23"/>
  <c r="R48" i="23"/>
  <c r="R47" i="23"/>
  <c r="R46" i="23"/>
  <c r="R45" i="23"/>
  <c r="R44" i="23"/>
  <c r="R42" i="23"/>
  <c r="R41" i="23"/>
  <c r="R40" i="23"/>
  <c r="R38" i="23"/>
  <c r="R36" i="23"/>
  <c r="R35" i="23"/>
  <c r="R34" i="23"/>
  <c r="R33" i="23"/>
  <c r="R32" i="23"/>
  <c r="R31" i="23"/>
  <c r="R30" i="23"/>
  <c r="R29" i="23"/>
  <c r="R28" i="23"/>
  <c r="R27" i="23"/>
  <c r="R26" i="23"/>
  <c r="R25" i="23"/>
  <c r="R24" i="23"/>
  <c r="R23" i="23"/>
  <c r="R22" i="23"/>
  <c r="R21" i="23"/>
  <c r="R20" i="23"/>
  <c r="R19" i="23"/>
  <c r="R17" i="23"/>
  <c r="R16" i="23"/>
  <c r="R14" i="23"/>
  <c r="R58" i="23"/>
  <c r="H59" i="19"/>
  <c r="N58" i="19"/>
  <c r="N57" i="19"/>
  <c r="N56" i="19"/>
  <c r="N53" i="19"/>
  <c r="N52" i="19"/>
  <c r="N51" i="19"/>
  <c r="N49" i="19"/>
  <c r="N48" i="19"/>
  <c r="N40" i="19"/>
  <c r="N39" i="19"/>
  <c r="N38" i="19"/>
  <c r="N37" i="19"/>
  <c r="N36" i="19"/>
  <c r="N35" i="19"/>
  <c r="N34" i="19"/>
  <c r="N32" i="19"/>
  <c r="N31" i="19"/>
  <c r="N29" i="19"/>
  <c r="N28" i="19"/>
  <c r="N27" i="19"/>
  <c r="N25" i="19"/>
  <c r="N24" i="19"/>
  <c r="N22" i="19"/>
  <c r="N21" i="19"/>
  <c r="N20" i="19"/>
  <c r="N19" i="19"/>
  <c r="N18" i="19"/>
  <c r="N59" i="19"/>
  <c r="K59" i="19"/>
  <c r="Q57" i="18"/>
  <c r="O57" i="18"/>
  <c r="I57" i="18"/>
  <c r="G57" i="18"/>
  <c r="C57" i="18"/>
  <c r="K56" i="18"/>
  <c r="K55" i="18"/>
  <c r="K54" i="18"/>
  <c r="K51" i="18"/>
  <c r="K50" i="18"/>
  <c r="K49" i="18"/>
  <c r="K47" i="18"/>
  <c r="K46" i="18"/>
  <c r="K45" i="18"/>
  <c r="K44" i="18"/>
  <c r="K43" i="18"/>
  <c r="K42" i="18"/>
  <c r="K40" i="18"/>
  <c r="K39" i="18"/>
  <c r="K38" i="18"/>
  <c r="K37" i="18"/>
  <c r="K36" i="18"/>
  <c r="K35" i="18"/>
  <c r="K34" i="18"/>
  <c r="K32" i="18"/>
  <c r="K31" i="18"/>
  <c r="K30" i="18"/>
  <c r="K28" i="18"/>
  <c r="K27" i="18"/>
  <c r="K26" i="18"/>
  <c r="K24" i="18"/>
  <c r="K23" i="18"/>
  <c r="K21" i="18"/>
  <c r="K20" i="18"/>
  <c r="K19" i="18"/>
  <c r="K18" i="18"/>
  <c r="K17" i="18"/>
  <c r="K57" i="18"/>
  <c r="G15" i="16"/>
  <c r="G19" i="16"/>
  <c r="E15" i="16"/>
  <c r="E19" i="16"/>
  <c r="C15" i="16"/>
  <c r="C19" i="16"/>
  <c r="I14" i="16"/>
  <c r="I15" i="16"/>
  <c r="I19" i="16"/>
  <c r="S424" i="12"/>
  <c r="M424" i="12"/>
  <c r="K424" i="12"/>
  <c r="G424" i="12"/>
  <c r="E424" i="12"/>
  <c r="S411" i="12"/>
  <c r="M411" i="12"/>
  <c r="K411" i="12"/>
  <c r="I411" i="12"/>
  <c r="G411" i="12"/>
  <c r="E411" i="12"/>
  <c r="S406" i="12"/>
  <c r="M406" i="12"/>
  <c r="K406" i="12"/>
  <c r="I406" i="12"/>
  <c r="G406" i="12"/>
  <c r="E406" i="12"/>
  <c r="S399" i="12"/>
  <c r="M399" i="12"/>
  <c r="K399" i="12"/>
  <c r="I399" i="12"/>
  <c r="G399" i="12"/>
  <c r="E399" i="12"/>
  <c r="S357" i="12"/>
  <c r="M357" i="12"/>
  <c r="K357" i="12"/>
  <c r="I357" i="12"/>
  <c r="G357" i="12"/>
  <c r="E357" i="12"/>
  <c r="S339" i="12"/>
  <c r="M339" i="12"/>
  <c r="K339" i="12"/>
  <c r="I339" i="12"/>
  <c r="G339" i="12"/>
  <c r="E339" i="12"/>
  <c r="S274" i="12"/>
  <c r="M274" i="12"/>
  <c r="K274" i="12"/>
  <c r="I274" i="12"/>
  <c r="G274" i="12"/>
  <c r="E274" i="12"/>
  <c r="S260" i="12"/>
  <c r="M260" i="12"/>
  <c r="K260" i="12"/>
  <c r="I260" i="12"/>
  <c r="G260" i="12"/>
  <c r="E260" i="12"/>
  <c r="Q274" i="12"/>
  <c r="Q399" i="12"/>
  <c r="Q411" i="12"/>
  <c r="Q260" i="12"/>
  <c r="Q357" i="12"/>
  <c r="Q406" i="12"/>
  <c r="K401" i="12"/>
  <c r="I401" i="12"/>
  <c r="G401" i="12"/>
  <c r="S401" i="12"/>
  <c r="E426" i="12"/>
  <c r="E401" i="12"/>
  <c r="M401" i="12"/>
  <c r="M426" i="12"/>
  <c r="G426" i="12"/>
  <c r="S426" i="12"/>
  <c r="K426" i="12"/>
  <c r="I341" i="12"/>
  <c r="M341" i="12"/>
  <c r="G341" i="12"/>
  <c r="S341" i="12"/>
  <c r="I424" i="12"/>
  <c r="I426" i="12"/>
  <c r="E341" i="12"/>
  <c r="Q424" i="12"/>
  <c r="Q401" i="12"/>
  <c r="Q426" i="12"/>
  <c r="Q341" i="12"/>
  <c r="G429" i="12"/>
  <c r="S429" i="12"/>
  <c r="E429" i="12"/>
  <c r="M429" i="12"/>
  <c r="K341" i="12"/>
  <c r="K429" i="12"/>
  <c r="I429" i="12"/>
  <c r="Q429" i="12"/>
  <c r="O55" i="10"/>
  <c r="K55" i="10"/>
  <c r="I55" i="10"/>
  <c r="G55" i="10"/>
  <c r="E55" i="10"/>
  <c r="C55" i="10"/>
  <c r="M54" i="10"/>
  <c r="M53" i="10"/>
  <c r="O50" i="10"/>
  <c r="K50" i="10"/>
  <c r="I50" i="10"/>
  <c r="G50" i="10"/>
  <c r="E50" i="10"/>
  <c r="C50" i="10"/>
  <c r="M49" i="10"/>
  <c r="M48" i="10"/>
  <c r="O45" i="10"/>
  <c r="K45" i="10"/>
  <c r="I45" i="10"/>
  <c r="G45" i="10"/>
  <c r="E45" i="10"/>
  <c r="C45" i="10"/>
  <c r="M44" i="10"/>
  <c r="M43" i="10"/>
  <c r="M42" i="10"/>
  <c r="O39" i="10"/>
  <c r="K39" i="10"/>
  <c r="I39" i="10"/>
  <c r="G39" i="10"/>
  <c r="E39" i="10"/>
  <c r="M38" i="10"/>
  <c r="C39" i="10"/>
  <c r="M36" i="10"/>
  <c r="O33" i="10"/>
  <c r="K33" i="10"/>
  <c r="I33" i="10"/>
  <c r="G33" i="10"/>
  <c r="E33" i="10"/>
  <c r="C33" i="10"/>
  <c r="M32" i="10"/>
  <c r="M31" i="10"/>
  <c r="M30" i="10"/>
  <c r="M29" i="10"/>
  <c r="O26" i="10"/>
  <c r="K26" i="10"/>
  <c r="I26" i="10"/>
  <c r="G26" i="10"/>
  <c r="E26" i="10"/>
  <c r="M25" i="10"/>
  <c r="M24" i="10"/>
  <c r="M23" i="10"/>
  <c r="O20" i="10"/>
  <c r="K20" i="10"/>
  <c r="I20" i="10"/>
  <c r="G20" i="10"/>
  <c r="E20" i="10"/>
  <c r="C20" i="10"/>
  <c r="M19" i="10"/>
  <c r="M18" i="10"/>
  <c r="O15" i="10"/>
  <c r="K15" i="10"/>
  <c r="I15" i="10"/>
  <c r="G15" i="10"/>
  <c r="E15" i="10"/>
  <c r="M14" i="10"/>
  <c r="M13" i="10"/>
  <c r="M12" i="10"/>
  <c r="M11" i="10"/>
  <c r="U43" i="9"/>
  <c r="U50" i="9"/>
  <c r="U19" i="9"/>
  <c r="M33" i="10"/>
  <c r="M15" i="10"/>
  <c r="C15" i="10"/>
  <c r="G58" i="10"/>
  <c r="M45" i="10"/>
  <c r="E58" i="10"/>
  <c r="I58" i="10"/>
  <c r="K58" i="10"/>
  <c r="M20" i="10"/>
  <c r="M26" i="10"/>
  <c r="M37" i="10"/>
  <c r="M39" i="10"/>
  <c r="M50" i="10"/>
  <c r="M55" i="10"/>
  <c r="O58" i="10"/>
  <c r="U52" i="9"/>
  <c r="U42" i="8"/>
  <c r="U51" i="8"/>
  <c r="U18" i="8"/>
  <c r="C26" i="10"/>
  <c r="C58" i="10"/>
  <c r="M58" i="10"/>
  <c r="U63" i="9"/>
  <c r="U66" i="9"/>
  <c r="U53" i="8"/>
  <c r="W16" i="7"/>
  <c r="U64" i="8"/>
  <c r="U67" i="8"/>
  <c r="T52" i="3"/>
  <c r="U48" i="5"/>
  <c r="T50" i="3"/>
  <c r="U46" i="5"/>
  <c r="T43" i="3"/>
  <c r="U39" i="5"/>
  <c r="T41" i="3"/>
  <c r="U37" i="5"/>
  <c r="T30" i="3"/>
  <c r="U25" i="5"/>
  <c r="P36" i="3"/>
  <c r="P56" i="3"/>
  <c r="P68" i="3"/>
  <c r="L36" i="3"/>
  <c r="L56" i="3"/>
  <c r="L68" i="3"/>
  <c r="T29" i="3"/>
  <c r="U23" i="5"/>
  <c r="T40" i="3"/>
  <c r="U36" i="5"/>
  <c r="T39" i="3"/>
  <c r="D45" i="3"/>
  <c r="V60" i="3"/>
  <c r="V68" i="3"/>
  <c r="V71" i="3"/>
  <c r="E12" i="2"/>
  <c r="E45" i="2"/>
  <c r="I45" i="2"/>
  <c r="T49" i="3"/>
  <c r="D54" i="3"/>
  <c r="T28" i="3"/>
  <c r="D36" i="3"/>
  <c r="H45" i="3"/>
  <c r="H36" i="3"/>
  <c r="D56" i="3"/>
  <c r="U22" i="5"/>
  <c r="U32" i="5"/>
  <c r="T36" i="3"/>
  <c r="U45" i="5"/>
  <c r="U50" i="5"/>
  <c r="T54" i="3"/>
  <c r="H56" i="3"/>
  <c r="H68" i="3"/>
  <c r="U35" i="5"/>
  <c r="U41" i="5"/>
  <c r="T45" i="3"/>
  <c r="W28" i="7"/>
  <c r="U52" i="5"/>
  <c r="W22" i="7"/>
  <c r="W34" i="7"/>
  <c r="D68" i="3"/>
  <c r="T56" i="3"/>
  <c r="T68" i="3"/>
  <c r="W33" i="7"/>
  <c r="W27" i="7"/>
  <c r="W15" i="7"/>
  <c r="W21" i="7"/>
  <c r="W39" i="7"/>
</calcChain>
</file>

<file path=xl/sharedStrings.xml><?xml version="1.0" encoding="utf-8"?>
<sst xmlns="http://schemas.openxmlformats.org/spreadsheetml/2006/main" count="6719" uniqueCount="2722">
  <si>
    <t>STATE OF NEW YORK</t>
  </si>
  <si>
    <t>GOVERNMENTAL FUNDS</t>
  </si>
  <si>
    <t>SCHEDULE OF NET TAX RECEIPTS</t>
  </si>
  <si>
    <t>SCHEDULE 1</t>
  </si>
  <si>
    <t>(Amounts in thousands)</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</si>
  <si>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</si>
  <si>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</si>
  <si>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</si>
  <si>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</si>
  <si>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</si>
  <si>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</si>
  <si>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</si>
  <si>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</si>
  <si>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</si>
  <si>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</si>
  <si>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</si>
  <si>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</si>
  <si>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</si>
  <si>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</si>
  <si>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</si>
  <si>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</si>
  <si>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</si>
  <si>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</si>
  <si>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</si>
  <si>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</si>
  <si>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</si>
  <si>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</si>
  <si>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</si>
  <si>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</si>
  <si>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</si>
  <si>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</si>
  <si>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</si>
  <si>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</si>
  <si>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</si>
  <si>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</si>
  <si>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</si>
  <si>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</si>
  <si>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</si>
  <si>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</si>
  <si>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</si>
  <si>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</si>
  <si>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</si>
  <si>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</si>
  <si>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</si>
  <si>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</si>
  <si>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</si>
  <si>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</si>
  <si>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</si>
  <si>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</si>
  <si>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</si>
  <si>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</si>
  <si>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</si>
  <si>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</si>
  <si>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</si>
  <si>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</si>
  <si>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</si>
  <si>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</si>
  <si>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</si>
  <si>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</si>
  <si>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</si>
  <si>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</si>
  <si>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</si>
  <si>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</si>
  <si>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</si>
  <si>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</si>
  <si>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</si>
  <si>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</si>
  <si>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</si>
  <si>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</si>
  <si>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</si>
  <si>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</si>
  <si>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</si>
  <si>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</si>
  <si>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</si>
  <si>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</si>
  <si>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</si>
  <si>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</si>
  <si>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</si>
  <si>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</si>
  <si>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</si>
  <si>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 xml:space="preserve">  TOTAL TAX RECEIPTS.....................................................................</t>
  </si>
  <si>
    <r>
      <t>MISCELLANEOUS RECEIPTS</t>
    </r>
    <r>
      <rPr>
        <b/>
        <sz val="12"/>
        <rFont val="Arial"/>
        <family val="2"/>
      </rPr>
      <t xml:space="preserve"> (1)………………………….</t>
    </r>
  </si>
  <si>
    <t>FEDERAL RECEIPTS………………………………</t>
  </si>
  <si>
    <t>OTHER FINANCING SOURCES:</t>
  </si>
  <si>
    <t xml:space="preserve">        Bond and Note Proceeds, net...............................................…</t>
  </si>
  <si>
    <t xml:space="preserve">        Transfers from Other Funds.......................................................................</t>
  </si>
  <si>
    <t xml:space="preserve">          Total Other Financing Sources.........................................</t>
  </si>
  <si>
    <t>TOTAL.................................................................</t>
  </si>
  <si>
    <t>to exh A</t>
  </si>
  <si>
    <t xml:space="preserve">SCHEDULE OF TAX RECEIPTS </t>
  </si>
  <si>
    <t>SCHEDULE 3</t>
  </si>
  <si>
    <t>2006-07</t>
  </si>
  <si>
    <t>2007-08</t>
  </si>
  <si>
    <t>2008-09</t>
  </si>
  <si>
    <t>2009-10</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</si>
  <si>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</si>
  <si>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</si>
  <si>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</si>
  <si>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</si>
  <si>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</si>
  <si>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</si>
  <si>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</si>
  <si>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</si>
  <si>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</si>
  <si>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</si>
  <si>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</si>
  <si>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</si>
  <si>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</si>
  <si>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</si>
  <si>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</si>
  <si>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Beverage Container ........................................................</t>
  </si>
  <si>
    <t xml:space="preserve">     Highway Use .......................................................................</t>
  </si>
  <si>
    <t xml:space="preserve">     MCTD Taxicab Trip....................................................................................</t>
  </si>
  <si>
    <t xml:space="preserve">          Total Consumption/Use Taxes….................................</t>
  </si>
  <si>
    <t xml:space="preserve">     Corporation Franchise ...................................................</t>
  </si>
  <si>
    <t xml:space="preserve">     Corporation and Utility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</si>
  <si>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</si>
  <si>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</si>
  <si>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</si>
  <si>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</si>
  <si>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</si>
  <si>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</si>
  <si>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</si>
  <si>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</si>
  <si>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</si>
  <si>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</si>
  <si>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</si>
  <si>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</si>
  <si>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</si>
  <si>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</si>
  <si>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</si>
  <si>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</si>
  <si>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 xml:space="preserve">(Amounts in thousands) </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</si>
  <si>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</si>
  <si>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</si>
  <si>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</si>
  <si>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</si>
  <si>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</si>
  <si>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</si>
  <si>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</si>
  <si>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</si>
  <si>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</si>
  <si>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</si>
  <si>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</si>
  <si>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</si>
  <si>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</si>
  <si>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</si>
  <si>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</si>
  <si>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</si>
  <si>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</si>
  <si>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MTA FINANCIAL</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</si>
  <si>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</si>
  <si>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</si>
  <si>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</si>
  <si>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</si>
  <si>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</si>
  <si>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</si>
  <si>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</si>
  <si>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</si>
  <si>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</si>
  <si>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</si>
  <si>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</si>
  <si>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</si>
  <si>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</si>
  <si>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</si>
  <si>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</si>
  <si>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</si>
  <si>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</si>
  <si>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</si>
  <si>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</si>
  <si>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</si>
  <si>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(23650-23699)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</si>
  <si>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</si>
  <si>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</si>
  <si>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</si>
  <si>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</si>
  <si>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</si>
  <si>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</si>
  <si>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</si>
  <si>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</si>
  <si>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</si>
  <si>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</si>
  <si>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</si>
  <si>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</si>
  <si>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</si>
  <si>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</si>
  <si>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</si>
  <si>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</si>
  <si>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</si>
  <si>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</si>
  <si>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</si>
  <si>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</si>
  <si>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</si>
  <si>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</si>
  <si>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</si>
  <si>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</si>
  <si>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</si>
  <si>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</si>
  <si>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</si>
  <si>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</si>
  <si>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</si>
  <si>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</si>
  <si>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</si>
  <si>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</si>
  <si>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</si>
  <si>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</si>
  <si>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Change from Prior Year………………………</t>
  </si>
  <si>
    <t xml:space="preserve">   Per Capita………………………………………</t>
  </si>
  <si>
    <t>BUSINESS TAXES</t>
  </si>
  <si>
    <t xml:space="preserve">   Millions of Dollars………………………………. </t>
  </si>
  <si>
    <t xml:space="preserve">   Change from Prior Year…………………………</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</si>
  <si>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</si>
  <si>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</si>
  <si>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</si>
  <si>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</si>
  <si>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</si>
  <si>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</si>
  <si>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</si>
  <si>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</si>
  <si>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</si>
  <si>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</si>
  <si>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</si>
  <si>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</si>
  <si>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</si>
  <si>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</si>
  <si>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</si>
  <si>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</si>
  <si>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</si>
  <si>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</si>
  <si>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</si>
  <si>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</si>
  <si>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</si>
  <si>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</si>
  <si>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</si>
  <si>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</si>
  <si>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</si>
  <si>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</si>
  <si>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</si>
  <si>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</si>
  <si>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</si>
  <si>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</si>
  <si>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</si>
  <si>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on Financing Agreements....................................................................</t>
  </si>
  <si>
    <t xml:space="preserve">       Total Disbursements........……………………………………………</t>
  </si>
  <si>
    <t>Excess (Deficiency) of Receipts over Disbursements.................</t>
  </si>
  <si>
    <t>OTHER FINANCING SOURCES (USES):</t>
  </si>
  <si>
    <t xml:space="preserve">  Bond and Note Proceeds, net...............................................................</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</si>
  <si>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</si>
  <si>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</si>
  <si>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</si>
  <si>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</si>
  <si>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</si>
  <si>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</si>
  <si>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</si>
  <si>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</si>
  <si>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</si>
  <si>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</si>
  <si>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 xml:space="preserve">  Debt Service, Including Payments on Financing Agreements………</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</si>
  <si>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</si>
  <si>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</si>
  <si>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</si>
  <si>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</si>
  <si>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</si>
  <si>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</si>
  <si>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</si>
  <si>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</si>
  <si>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</si>
  <si>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</si>
  <si>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</si>
  <si>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</si>
  <si>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</si>
  <si>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</si>
  <si>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</si>
  <si>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</si>
  <si>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</si>
  <si>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</si>
  <si>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</si>
  <si>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</si>
  <si>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</si>
  <si>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</si>
  <si>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</si>
  <si>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</si>
  <si>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</si>
  <si>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</si>
  <si>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</si>
  <si>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</si>
  <si>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</si>
  <si>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</si>
  <si>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</si>
  <si>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</si>
  <si>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</si>
  <si>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</si>
  <si>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</si>
  <si>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</si>
  <si>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</si>
  <si>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</si>
  <si>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</si>
  <si>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</si>
  <si>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</si>
  <si>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</si>
  <si>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</si>
  <si>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</si>
  <si>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</si>
  <si>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</si>
  <si>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</si>
  <si>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</si>
  <si>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</si>
  <si>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</si>
  <si>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</si>
  <si>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</si>
  <si>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</si>
  <si>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</si>
  <si>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</si>
  <si>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</si>
  <si>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</si>
  <si>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</si>
  <si>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</si>
  <si>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</si>
  <si>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</si>
  <si>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Alcoholism and Substance Abuse Services, Office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</si>
  <si>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</si>
  <si>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</si>
  <si>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</si>
  <si>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</si>
  <si>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</si>
  <si>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</si>
  <si>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</si>
  <si>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</si>
  <si>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Disaster Aid…………………………………………………………………………………………………………………………………………………………………………………………………………..…………………</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</si>
  <si>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</si>
  <si>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</si>
  <si>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</si>
  <si>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</si>
  <si>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</si>
  <si>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</si>
  <si>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</si>
  <si>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</si>
  <si>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</si>
  <si>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</si>
  <si>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</si>
  <si>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</si>
  <si>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</si>
  <si>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</si>
  <si>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</si>
  <si>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</si>
  <si>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</si>
  <si>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</si>
  <si>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</si>
  <si>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</si>
  <si>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</si>
  <si>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</si>
  <si>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</si>
  <si>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</si>
  <si>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</si>
  <si>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</si>
  <si>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</si>
  <si>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</si>
  <si>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Lottery, Division of………………………………………………………………………………………………………………………………………………………………..</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</si>
  <si>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</si>
  <si>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</si>
  <si>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</si>
  <si>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</si>
  <si>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</si>
  <si>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</si>
  <si>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</si>
  <si>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</si>
  <si>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</si>
  <si>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</si>
  <si>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</si>
  <si>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</si>
  <si>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</si>
  <si>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</si>
  <si>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</si>
  <si>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</si>
  <si>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</si>
  <si>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</si>
  <si>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</si>
  <si>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</si>
  <si>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Veterans' Affairs, Division of………………………………………………………………………………</t>
  </si>
  <si>
    <t>Welfare Inspector General, Office of………………………………………………………………………………</t>
  </si>
  <si>
    <t xml:space="preserve">    TOTAL GENERAL...................................................……………………………………………………………………………………………………………………………........................</t>
  </si>
  <si>
    <t>SPECIAL REVENUE - FEDERAL:</t>
  </si>
  <si>
    <t>Adirondack Park Agency………………………………………………………………………………………………….……………………………………</t>
  </si>
  <si>
    <t>Aging, State Office for the………………………………………………………………….………………………………………………………………………..</t>
  </si>
  <si>
    <t>Agriculture and Markets, Department of………………………………………………………………………………</t>
  </si>
  <si>
    <t>Alcoholism and Substance Abuse Services, Office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</si>
  <si>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</si>
  <si>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</si>
  <si>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</si>
  <si>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</si>
  <si>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</si>
  <si>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</si>
  <si>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</si>
  <si>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</si>
  <si>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</si>
  <si>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</si>
  <si>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</si>
  <si>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</si>
  <si>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</si>
  <si>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</si>
  <si>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</si>
  <si>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</si>
  <si>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</si>
  <si>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</si>
  <si>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</si>
  <si>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</si>
  <si>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</si>
  <si>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</si>
  <si>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</si>
  <si>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Quality of Care and Advocacy, Commission on………………………………………………………………………………………..</t>
  </si>
  <si>
    <t>State Police, Division of…………………………………………………………………………………………………………………………………………………………</t>
  </si>
  <si>
    <t>State, Department of……………………………………………………………………………………………………………………………………………………………</t>
  </si>
  <si>
    <t>Unified Court System…………………………………………………………………………………………………………………….…………………………………………</t>
  </si>
  <si>
    <t>Victim Services, Office of…………………………………………………………………………………………………………………………………………………………..</t>
  </si>
  <si>
    <t>Workers' Compensation Board………………………………………………………………………………</t>
  </si>
  <si>
    <t xml:space="preserve">    TOTAL SPECIAL REVENUE - FEDERAL.........................................................</t>
  </si>
  <si>
    <t>SPECIAL REVENUE - STATE:</t>
  </si>
  <si>
    <t>Adirondack Park Agency…………………………………………………………………………………………………………………………………………………..</t>
  </si>
  <si>
    <t>Aging, State Office for the……………………………………………………………………………………………………………………………………………………………..</t>
  </si>
  <si>
    <t>Alcoholic Beverage Control, Division of…………………………………………………………………………………</t>
  </si>
  <si>
    <t>Alcoholism and Substance Abuse Services, Office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</si>
  <si>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</si>
  <si>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</si>
  <si>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</si>
  <si>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</si>
  <si>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</si>
  <si>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</si>
  <si>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</si>
  <si>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</si>
  <si>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</si>
  <si>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</si>
  <si>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</si>
  <si>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</si>
  <si>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</si>
  <si>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</si>
  <si>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</si>
  <si>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</si>
  <si>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</si>
  <si>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</si>
  <si>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</si>
  <si>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</si>
  <si>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</si>
  <si>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</si>
  <si>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</si>
  <si>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</si>
  <si>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</si>
  <si>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</si>
  <si>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Gaming Commission……………………………………………………………………………………..</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</si>
  <si>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</si>
  <si>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</si>
  <si>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</si>
  <si>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</si>
  <si>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</si>
  <si>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</si>
  <si>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</si>
  <si>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</si>
  <si>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</si>
  <si>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</si>
  <si>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</si>
  <si>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</si>
  <si>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</si>
  <si>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</si>
  <si>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</si>
  <si>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</si>
  <si>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</si>
  <si>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</si>
  <si>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</si>
  <si>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</si>
  <si>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</si>
  <si>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</si>
  <si>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</si>
  <si>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</si>
  <si>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</si>
  <si>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</si>
  <si>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</si>
  <si>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</si>
  <si>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</si>
  <si>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</si>
  <si>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</si>
  <si>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</si>
  <si>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</si>
  <si>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</si>
  <si>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</si>
  <si>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</si>
  <si>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</si>
  <si>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</si>
  <si>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</si>
  <si>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</si>
  <si>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</si>
  <si>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</si>
  <si>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</si>
  <si>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</si>
  <si>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</si>
  <si>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</si>
  <si>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</si>
  <si>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</si>
  <si>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</si>
  <si>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</si>
  <si>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</si>
  <si>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</si>
  <si>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</si>
  <si>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</si>
  <si>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</si>
  <si>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</si>
  <si>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</si>
  <si>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</si>
  <si>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</si>
  <si>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</si>
  <si>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CFDA NO.</t>
  </si>
  <si>
    <t>FEDERAL AGENCY</t>
  </si>
  <si>
    <t>PROGRAM</t>
  </si>
  <si>
    <t>LIFE-TO-DATE</t>
  </si>
  <si>
    <t>Education</t>
  </si>
  <si>
    <t>Department of Agriculture</t>
  </si>
  <si>
    <t>Department of Commerce</t>
  </si>
  <si>
    <t>National Endowment for the Arts</t>
  </si>
  <si>
    <t>Department of Education</t>
  </si>
  <si>
    <t>Health and Human Services</t>
  </si>
  <si>
    <t>Environmental Protection Agency</t>
  </si>
  <si>
    <t>Department of Energy</t>
  </si>
  <si>
    <t>Department of Housing and Urban Development</t>
  </si>
  <si>
    <t>Corporation for National and Community Service</t>
  </si>
  <si>
    <t>Department of Labor</t>
  </si>
  <si>
    <t>Department of Defense</t>
  </si>
  <si>
    <t>Department of Justice</t>
  </si>
  <si>
    <t>Transportation</t>
  </si>
  <si>
    <t>Department of 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</si>
  <si>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</si>
  <si>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</si>
  <si>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</si>
  <si>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</si>
  <si>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</si>
  <si>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</si>
  <si>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</si>
  <si>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</si>
  <si>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 xml:space="preserve">   NYS Gaming Commission.............................................................................................................................................................</t>
  </si>
  <si>
    <t>Total Special Revenue............................................................................................................................</t>
  </si>
  <si>
    <t>CAPITAL PROJECTS:</t>
  </si>
  <si>
    <t xml:space="preserve">   Office of General Services.................................................................................................................... </t>
  </si>
  <si>
    <t xml:space="preserve">   Transportation...................................................................................................................................................</t>
  </si>
  <si>
    <t xml:space="preserve">   Public Benefit Corporations..........................................................................................................................................</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</si>
  <si>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</si>
  <si>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</si>
  <si>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</si>
  <si>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</si>
  <si>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</si>
  <si>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</si>
  <si>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</si>
  <si>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</si>
  <si>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</si>
  <si>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</si>
  <si>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</si>
  <si>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</si>
  <si>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</si>
  <si>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</si>
  <si>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SCHEDULE 14</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</si>
  <si>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</si>
  <si>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</si>
  <si>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</si>
  <si>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</si>
  <si>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</si>
  <si>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</si>
  <si>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</si>
  <si>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</si>
  <si>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</si>
  <si>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</si>
  <si>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Albany Port District Commission - Construction/Rehabilitation of Port Facilities.......................</t>
  </si>
  <si>
    <t xml:space="preserve">       Hudson River Park Trust - Regional Development……………………………………………………………</t>
  </si>
  <si>
    <t xml:space="preserve">       Niagara Frontier Transportation Authority:</t>
  </si>
  <si>
    <t xml:space="preserve">            Construction/Rehabilitation of Buffalo International Airport……………………….................................................</t>
  </si>
  <si>
    <t xml:space="preserve">       Ogdensburg Bridge and Port Authority:</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</si>
  <si>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</si>
  <si>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</si>
  <si>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</si>
  <si>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       Urban Development Corporation:</t>
  </si>
  <si>
    <t xml:space="preserve">         Broadway Redevelopment.........................................................................................................................</t>
  </si>
  <si>
    <t xml:space="preserve">         Construction of Albany Civic Center..........................................................................................</t>
  </si>
  <si>
    <t xml:space="preserve">         Construction of Binghamton Multi - Use Stadium……………………….....................................................................</t>
  </si>
  <si>
    <t xml:space="preserve">         Construction of Buffalo Parking Facility.................................................................................................</t>
  </si>
  <si>
    <t xml:space="preserve">         Construction of Buffalo Sports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</si>
  <si>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</si>
  <si>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</si>
  <si>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</si>
  <si>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</si>
  <si>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</si>
  <si>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</si>
  <si>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</si>
  <si>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</si>
  <si>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</si>
  <si>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</si>
  <si>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</si>
  <si>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</si>
  <si>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</si>
  <si>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INTEREST (*)</t>
  </si>
  <si>
    <t>OUTSTANDING</t>
  </si>
  <si>
    <t>ISSUED</t>
  </si>
  <si>
    <t>PURPOSE</t>
  </si>
  <si>
    <t>REFUNDING</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</si>
  <si>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</si>
  <si>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</si>
  <si>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</si>
  <si>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</si>
  <si>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</si>
  <si>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</si>
  <si>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</si>
  <si>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</si>
  <si>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</si>
  <si>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Energy Conservation Through Improved Transportation: </t>
  </si>
  <si>
    <t xml:space="preserve">          Local Streets and Highways....................................................................................................................................</t>
  </si>
  <si>
    <t xml:space="preserve">          Rapid Transit and Rail Freight....................................................................................................................................</t>
  </si>
  <si>
    <t xml:space="preserve">          Air....................................................................................................................................</t>
  </si>
  <si>
    <t xml:space="preserve">          Land and Wetlands....................................................................................................................................</t>
  </si>
  <si>
    <t xml:space="preserve">          Water....................................................................................................................................</t>
  </si>
  <si>
    <t>Environmental Quality (1986):</t>
  </si>
  <si>
    <t xml:space="preserve">          Solid Waste Management....................................................................................................................................</t>
  </si>
  <si>
    <r>
      <t>Higher Education Facilities</t>
    </r>
    <r>
      <rPr>
        <sz val="12"/>
        <rFont val="Arial"/>
        <family val="2"/>
      </rPr>
      <t>....................................................................................................................................</t>
    </r>
  </si>
  <si>
    <t>Housing:</t>
  </si>
  <si>
    <t xml:space="preserve">          Low Income....................................................................................................................................</t>
  </si>
  <si>
    <t xml:space="preserve">          Middle Income....................................................................................................................................</t>
  </si>
  <si>
    <t xml:space="preserve">          Urban Renewal....................................................................................................................................</t>
  </si>
  <si>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</si>
  <si>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</si>
  <si>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</si>
  <si>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</si>
  <si>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</si>
  <si>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</si>
  <si>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</si>
  <si>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</si>
  <si>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</si>
  <si>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</si>
  <si>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</si>
  <si>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</si>
  <si>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</si>
  <si>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Ports, Canals and Waterways.........................................................................................................</t>
  </si>
  <si>
    <t xml:space="preserve">          Rapid Transit, Rail and Aviation............................................................................................</t>
  </si>
  <si>
    <t>Transportation Capital Facilities:</t>
  </si>
  <si>
    <t xml:space="preserve">          Aviation...................................................................................................</t>
  </si>
  <si>
    <t xml:space="preserve">          Highways.....................................................................................................................</t>
  </si>
  <si>
    <t xml:space="preserve">          Mass Transportation....................................................................................................................</t>
  </si>
  <si>
    <t>TOTAL GENERAL OBLIGATION DEBT.........................................</t>
  </si>
  <si>
    <t>(*)  Interest on general obligation bonds is paid from the General Debt Service Fund, except for interest on housing bonds, which is paid from the Housing Debt Fund.</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</si>
  <si>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</si>
  <si>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</si>
  <si>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</si>
  <si>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</si>
  <si>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</si>
  <si>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</si>
  <si>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</si>
  <si>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</si>
  <si>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</si>
  <si>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</si>
  <si>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</si>
  <si>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</si>
  <si>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</si>
  <si>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</si>
  <si>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</si>
  <si>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</si>
  <si>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</si>
  <si>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</si>
  <si>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</si>
  <si>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</si>
  <si>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</si>
  <si>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</si>
  <si>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</si>
  <si>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</si>
  <si>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</si>
  <si>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</si>
  <si>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</si>
  <si>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</si>
  <si>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</si>
  <si>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</si>
  <si>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</si>
  <si>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</si>
  <si>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</si>
  <si>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</si>
  <si>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</si>
  <si>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</si>
  <si>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</si>
  <si>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</si>
  <si>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</si>
  <si>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</si>
  <si>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</si>
  <si>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</si>
  <si>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</si>
  <si>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</si>
  <si>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</si>
  <si>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</si>
  <si>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</si>
  <si>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</si>
  <si>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</si>
  <si>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</si>
  <si>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</si>
  <si>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</si>
  <si>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</si>
  <si>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</si>
  <si>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</si>
  <si>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</si>
  <si>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</si>
  <si>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</si>
  <si>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David Axelrod Institute................................................................................................................................</t>
  </si>
  <si>
    <t xml:space="preserve">         Department of Health Facilities................................................................................................................................</t>
  </si>
  <si>
    <t xml:space="preserve">         Economic Development Housing................................................................................................................................</t>
  </si>
  <si>
    <t xml:space="preserve">         Education................................................................................................................................</t>
  </si>
  <si>
    <t xml:space="preserve">         General Purpose................................................................................................................................</t>
  </si>
  <si>
    <t xml:space="preserve">         Health Care................................................................................................................................</t>
  </si>
  <si>
    <t xml:space="preserve">         Mental Health Facilities................................................................................................................................</t>
  </si>
  <si>
    <t xml:space="preserve">         OGS Parking................................................................................................................................</t>
  </si>
  <si>
    <t xml:space="preserve">         Sales Tax Revenue Bond................................................................................................................................ </t>
  </si>
  <si>
    <t xml:space="preserve">         Secured Hospital Program................................................................................................................................</t>
  </si>
  <si>
    <t xml:space="preserve">         State Department of Education Facilities................................................................................................................................</t>
  </si>
  <si>
    <t xml:space="preserve">         State Facilities and Equipment................................................................................................................................</t>
  </si>
  <si>
    <t xml:space="preserve">         SUNY Community Colleges................................................................................................................................</t>
  </si>
  <si>
    <t xml:space="preserve">         SUNY Dormitory Facilities................................................................................................................................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</si>
  <si>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</si>
  <si>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</si>
  <si>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</si>
  <si>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</si>
  <si>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</si>
  <si>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</si>
  <si>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Thruway Authority:</t>
  </si>
  <si>
    <t xml:space="preserve">         Dedicated Highway and Bridge................................................................................................................................ </t>
  </si>
  <si>
    <t xml:space="preserve">         Local Highway and Bridge................................................................................................................................ </t>
  </si>
  <si>
    <t xml:space="preserve">         Transportation................................................................................................................................ </t>
  </si>
  <si>
    <t xml:space="preserve">     Urban Development Corporation:</t>
  </si>
  <si>
    <t xml:space="preserve">         Center for Industrial Innovation at RPI................................................................................................................................</t>
  </si>
  <si>
    <t xml:space="preserve">         Clarkson University................................................................................................................................</t>
  </si>
  <si>
    <t xml:space="preserve">         Columbia University Telecommunications Center................................................................................................................................</t>
  </si>
  <si>
    <t xml:space="preserve">         Community Enhancement Facilities Program................................................................................................................................</t>
  </si>
  <si>
    <t xml:space="preserve">         Cornell University Supercomputer Center................................................................................................................................</t>
  </si>
  <si>
    <t xml:space="preserve">         Correctional Facilities................................................................................................................................</t>
  </si>
  <si>
    <t xml:space="preserve">         Debt Reduction Reserve................................................................................................................................</t>
  </si>
  <si>
    <t xml:space="preserve">         Syracuse University Science and Technology Center................................................................................................................................</t>
  </si>
  <si>
    <t xml:space="preserve">         University Facilities Grant 95 Refunding...............................................................................................................................</t>
  </si>
  <si>
    <t>TOTAL...............................................................................................................................</t>
  </si>
  <si>
    <t>SCHEDULE 21</t>
  </si>
  <si>
    <t>(Amounts in millions)</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</si>
  <si>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</si>
  <si>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</si>
  <si>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</si>
  <si>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</si>
  <si>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</si>
  <si>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</si>
  <si>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</si>
  <si>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</si>
  <si>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</si>
  <si>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</si>
  <si>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</si>
  <si>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</si>
  <si>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</si>
  <si>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</si>
  <si>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</si>
  <si>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</si>
  <si>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</si>
  <si>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</si>
  <si>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</si>
  <si>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</si>
  <si>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</si>
  <si>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</si>
  <si>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</si>
  <si>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</si>
  <si>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</si>
  <si>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</si>
  <si>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</si>
  <si>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</si>
  <si>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</si>
  <si>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</si>
  <si>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</si>
  <si>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</si>
  <si>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</si>
  <si>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</si>
  <si>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</si>
  <si>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</si>
  <si>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</si>
  <si>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</si>
  <si>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</si>
  <si>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</si>
  <si>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</si>
  <si>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</si>
  <si>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</si>
  <si>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</si>
  <si>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</si>
  <si>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</si>
  <si>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</si>
  <si>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Division of Veterans' Affairs ………………………………………………………</t>
  </si>
  <si>
    <t>Executive Chamber............................................................................................................</t>
  </si>
  <si>
    <t>Greenway Heritage Conservancy for the Hudson River Valley…………………………………………………………..</t>
  </si>
  <si>
    <t>Higher Education Services ........................................................................................................................................</t>
  </si>
  <si>
    <t>Hudson River Valley Greenway ….………..………………………………..</t>
  </si>
  <si>
    <t>Interest on Lawyer Account ….………..………………………………..</t>
  </si>
  <si>
    <t>Judicial Conduct……………………………………………………………</t>
  </si>
  <si>
    <t>Judicial Nomination ………………………………………………………………</t>
  </si>
  <si>
    <t>Legislature...................................................................................................................................</t>
  </si>
  <si>
    <t>National and Community Service ……………………………...…...…………………</t>
  </si>
  <si>
    <t>NYS Joint Commission on Public Ethics  .........................................................................................................</t>
  </si>
  <si>
    <t>Office for People with Developmental Disabilities..............................................................................................................</t>
  </si>
  <si>
    <t>Office of Alcoholism and Substance Abuse Services................................................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</si>
  <si>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</si>
  <si>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</si>
  <si>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</si>
  <si>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</si>
  <si>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</si>
  <si>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</si>
  <si>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</si>
  <si>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</si>
  <si>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Prevention of Domestic Violence ………………………………..</t>
  </si>
  <si>
    <t>Office of State Inspector General …………………………………………………….</t>
  </si>
  <si>
    <t>Office of Temporary and Disability Assistance ...........................................................................................................</t>
  </si>
  <si>
    <t>Office of the State Comptroller.....................................................................................</t>
  </si>
  <si>
    <t>Office of Victim Services.....................................................................................</t>
  </si>
  <si>
    <t>Office of Welfare Inspector General ……………………………………..</t>
  </si>
  <si>
    <t>Public Benefits Corporations:</t>
  </si>
  <si>
    <t xml:space="preserve">        Energy Research &amp; Development Authority ……………………..….</t>
  </si>
  <si>
    <t xml:space="preserve">        Metropolitan Transportation Authority ………………...……….......</t>
  </si>
  <si>
    <t xml:space="preserve">        New York State Canal Corporation ………………...………..........</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</si>
  <si>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</si>
  <si>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</si>
  <si>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</si>
  <si>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</si>
  <si>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</si>
  <si>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</si>
  <si>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</si>
  <si>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</si>
  <si>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</si>
  <si>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SPECIAL REVENUE FUNDS - STATE</t>
  </si>
  <si>
    <t>SCHEDULE 23</t>
  </si>
  <si>
    <t xml:space="preserve">(Amounts in thousands)  </t>
  </si>
  <si>
    <t>Capital</t>
  </si>
  <si>
    <t>Government</t>
  </si>
  <si>
    <t>Safety</t>
  </si>
  <si>
    <t>Construction</t>
  </si>
  <si>
    <t>Board of Elections......................................................................................................................................................</t>
  </si>
  <si>
    <t>City University of New York ..............................................................................................</t>
  </si>
  <si>
    <t>Department of Civil Service ......................................................................................................................</t>
  </si>
  <si>
    <t>Department of Corrections and Community Supervision .............................................................................................................</t>
  </si>
  <si>
    <t>Department of Economic Development ..............................................................................................................................</t>
  </si>
  <si>
    <t>Department of Environmental Conservation ............................................................................................</t>
  </si>
  <si>
    <t>Department of Financial Services…………………………………………</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</si>
  <si>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</si>
  <si>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</si>
  <si>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</si>
  <si>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</si>
  <si>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</si>
  <si>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</si>
  <si>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</si>
  <si>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</si>
  <si>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</si>
  <si>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</si>
  <si>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</si>
  <si>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</si>
  <si>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</si>
  <si>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</si>
  <si>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</si>
  <si>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Higher Education Services........................................................................................................................................</t>
  </si>
  <si>
    <t>Interest on Lawyer Account ................................................................................</t>
  </si>
  <si>
    <t>Legislature ...................................................................................................................................</t>
  </si>
  <si>
    <t>Office for People with Developmental Disabilities…………………………………………..</t>
  </si>
  <si>
    <t>Office of Alcoholism and Substance Abuse Services..........................................................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</si>
  <si>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</si>
  <si>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</si>
  <si>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</si>
  <si>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</si>
  <si>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</si>
  <si>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</si>
  <si>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Prevention of Domestic Violence ...............................................................</t>
  </si>
  <si>
    <t>Office of State Inspector General .................................................................................................</t>
  </si>
  <si>
    <t>Office of the State Comptroller .....................................................................................</t>
  </si>
  <si>
    <t>Office of Victim Services...........................................................................................</t>
  </si>
  <si>
    <t>Office of Welfare Inspector General...............................................................................................................</t>
  </si>
  <si>
    <t xml:space="preserve">    Energy Research and Development Authority ......................................................................</t>
  </si>
  <si>
    <t xml:space="preserve">    Environmental Facilities Corporation .......................................................................</t>
  </si>
  <si>
    <t xml:space="preserve">    Olympic Regional Development Authority ...........................................</t>
  </si>
  <si>
    <t xml:space="preserve">    Urban Development Corporation (Empire State Dev Corp)......................................................................................</t>
  </si>
  <si>
    <t>Public Employment Relations Board…........................................................</t>
  </si>
  <si>
    <t>State Education Department ..................................................................................................................................................</t>
  </si>
  <si>
    <t>State Office for the Aging .............................................................................................................</t>
  </si>
  <si>
    <t>State University of New York ...........................................................................................</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</si>
  <si>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</si>
  <si>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</si>
  <si>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</si>
  <si>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</si>
  <si>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</si>
  <si>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</si>
  <si>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(Amounts in thousands)   </t>
  </si>
  <si>
    <t xml:space="preserve">       LOCAL ASSISTANCE GRANTS</t>
  </si>
  <si>
    <t>Adirondack Park Agency............................................................................................</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</si>
  <si>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</si>
  <si>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</si>
  <si>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</si>
  <si>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</si>
  <si>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</si>
  <si>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</si>
  <si>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</si>
  <si>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</si>
  <si>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</si>
  <si>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</si>
  <si>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</si>
  <si>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</si>
  <si>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</si>
  <si>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</si>
  <si>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</si>
  <si>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</si>
  <si>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</si>
  <si>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</si>
  <si>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</si>
  <si>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</si>
  <si>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</si>
  <si>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Division of Veterans' Affairs…………………………………………………………………………………………………….</t>
  </si>
  <si>
    <t>Higher Education Services…………………………………………………………………………….</t>
  </si>
  <si>
    <t>Office of Alcoholism and Substance Abuse Services..................................................................................</t>
  </si>
  <si>
    <t>Office of Children and Family Services…………………………………………………………………………………..</t>
  </si>
  <si>
    <t>Office of General Services.................................................................................................</t>
  </si>
  <si>
    <t>Office of Medicaid Inspector General………………………………………………………………………………</t>
  </si>
  <si>
    <t>Office of Mental Health..........................................................................................................................</t>
  </si>
  <si>
    <t>Office of Parks, Recreation and Historic Preservation.........................................................................</t>
  </si>
  <si>
    <t>Office of Prevention of Domestic Violence…………………………………………………………………….</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</si>
  <si>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</si>
  <si>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</si>
  <si>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</si>
  <si>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</si>
  <si>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</si>
  <si>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</si>
  <si>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</si>
  <si>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</si>
  <si>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</si>
  <si>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</si>
  <si>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</si>
  <si>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</si>
  <si>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</si>
  <si>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</si>
  <si>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</si>
  <si>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</si>
  <si>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</si>
  <si>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</si>
  <si>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</si>
  <si>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t xml:space="preserve">    Urban Development Corporation………………………………………………………………………………..   </t>
  </si>
  <si>
    <r>
      <t>Interest on General Obligation Bonds</t>
    </r>
    <r>
      <rPr>
        <sz val="11"/>
        <rFont val="Arial"/>
        <family val="2"/>
      </rPr>
      <t>..........................................……………..</t>
    </r>
  </si>
  <si>
    <r>
      <t>Principal on General Obligation Bonds</t>
    </r>
    <r>
      <rPr>
        <sz val="11"/>
        <rFont val="Arial"/>
        <family val="2"/>
      </rPr>
      <t>.........................................……………..</t>
    </r>
  </si>
  <si>
    <t>Administrative Expenses for Variable Rate</t>
  </si>
  <si>
    <r>
      <t xml:space="preserve">    General Obligation Bonds</t>
    </r>
    <r>
      <rPr>
        <sz val="11"/>
        <rFont val="Arial"/>
        <family val="2"/>
      </rPr>
      <t>.............................................................................................…………..</t>
    </r>
  </si>
  <si>
    <t xml:space="preserve">(*)  Related Expenses include remarketing fees, cost of issuance expenses, administrative fees, capital expenses and other expenses paid to the bank and/or the  </t>
  </si>
  <si>
    <t xml:space="preserve">      public benefit corporations issuing the bonds.    </t>
  </si>
  <si>
    <t xml:space="preserve">CAPITAL PROJECTS FUNDS - STATE </t>
  </si>
  <si>
    <t>SCHEDULE 26</t>
  </si>
  <si>
    <t>Adirondack Park Agency………………………………………….</t>
  </si>
  <si>
    <t>City University of New York………………………………………….</t>
  </si>
  <si>
    <t>Department of Corrections and Community Supervision……………………………………………….</t>
  </si>
  <si>
    <t>Department of Economic Development …………………………………………….</t>
  </si>
  <si>
    <t>Department of Environmental Conservation……………………………………….</t>
  </si>
  <si>
    <t>Department of Health…………………………………………………………………..</t>
  </si>
  <si>
    <t xml:space="preserve">Department of Law …………………………………………………………………... </t>
  </si>
  <si>
    <t>Department of Motor Vehicles ……………………………………………………….</t>
  </si>
  <si>
    <t>Department of State……………………………………………………………………</t>
  </si>
  <si>
    <t>Department of Transportation……………………………………………………….</t>
  </si>
  <si>
    <t>Disaster Aid……………….………………………………………….</t>
  </si>
  <si>
    <t>Division of Housing and Community Renewal ………………………………..</t>
  </si>
  <si>
    <t>Division of Military and Naval Affairs ……………………………………………</t>
  </si>
  <si>
    <t>Division of State Police ……………………………………………………………….</t>
  </si>
  <si>
    <t>Office for People with Developmental Disabilities...............................................................................................................</t>
  </si>
  <si>
    <t>Office of Alcoholism and Substance Abuse Services …………………….</t>
  </si>
  <si>
    <t>Office of Children and Family Services ……………………………………..</t>
  </si>
  <si>
    <t>Office of General Services………………………………………….</t>
  </si>
  <si>
    <t xml:space="preserve">Office of Information Technology Services ……………………………………………………….. </t>
  </si>
  <si>
    <t>Office of Mental Health…………………………………………………………</t>
  </si>
  <si>
    <t>Office of Parks, Recreation and Historic Preservation …………………….</t>
  </si>
  <si>
    <t>Office of State Inspector General……………………………………………………</t>
  </si>
  <si>
    <t>Office of Temporary and Disability Assistance …………………………….</t>
  </si>
  <si>
    <t xml:space="preserve">   Development Authority of The North Country…………………</t>
  </si>
  <si>
    <t xml:space="preserve">   Dormitory Authority………………………………………………….</t>
  </si>
  <si>
    <t xml:space="preserve">   Energy Research and Development Authority……………………..</t>
  </si>
  <si>
    <t xml:space="preserve">   Higher Education Capital Match Grant Board………..………</t>
  </si>
  <si>
    <t xml:space="preserve">   Hudson River Park Trust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</si>
  <si>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</si>
  <si>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</si>
  <si>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</si>
  <si>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</si>
  <si>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</si>
  <si>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</si>
  <si>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</si>
  <si>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</si>
  <si>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</si>
  <si>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</si>
  <si>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</si>
  <si>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</si>
  <si>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</si>
  <si>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</si>
  <si>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Housing and Community Renewal…………………………………………….</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</si>
  <si>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</si>
  <si>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</si>
  <si>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</si>
  <si>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</si>
  <si>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</si>
  <si>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</si>
  <si>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</si>
  <si>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</si>
  <si>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</si>
  <si>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</si>
  <si>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</si>
  <si>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</si>
  <si>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</si>
  <si>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</si>
  <si>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</si>
  <si>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</si>
  <si>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</si>
  <si>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</si>
  <si>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</si>
  <si>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</si>
  <si>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</si>
  <si>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</si>
  <si>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</si>
  <si>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</si>
  <si>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</si>
  <si>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</si>
  <si>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</si>
  <si>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</si>
  <si>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</si>
  <si>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</si>
  <si>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</si>
  <si>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</si>
  <si>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</si>
  <si>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</si>
  <si>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</si>
  <si>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</si>
  <si>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</si>
  <si>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</si>
  <si>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</si>
  <si>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</si>
  <si>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</si>
  <si>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</si>
  <si>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</si>
  <si>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</si>
  <si>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</si>
  <si>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</si>
  <si>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</si>
  <si>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2008…………………………………………………………………….</t>
  </si>
  <si>
    <t xml:space="preserve">       1959……………………………………………………………………………………..</t>
  </si>
  <si>
    <t xml:space="preserve">      2009…………………………………………………………………….</t>
  </si>
  <si>
    <t xml:space="preserve">       1960……………………………………………………………………………………..</t>
  </si>
  <si>
    <t xml:space="preserve">      2010…………………………………………………………………….</t>
  </si>
  <si>
    <t xml:space="preserve">       1979………………………………………………………………………………….</t>
  </si>
  <si>
    <t xml:space="preserve">      2011…………………………………………………………………….</t>
  </si>
  <si>
    <t xml:space="preserve">       1985…………………………………………………………………………………..</t>
  </si>
  <si>
    <t xml:space="preserve">      2012…………………………………………………………………….</t>
  </si>
  <si>
    <t xml:space="preserve">       1986…………………………………………………………………………………………………..</t>
  </si>
  <si>
    <t xml:space="preserve">      2013…………………………………………………………………….</t>
  </si>
  <si>
    <t xml:space="preserve">         Subtotal (carry forward)……………………………………………………..</t>
  </si>
  <si>
    <t xml:space="preserve">      2014…………………………………………………………………….</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</si>
  <si>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</si>
  <si>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</si>
  <si>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</si>
  <si>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</si>
  <si>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</si>
  <si>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</si>
  <si>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</si>
  <si>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</si>
  <si>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</si>
  <si>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</si>
  <si>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</si>
  <si>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</si>
  <si>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</si>
  <si>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</si>
  <si>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</si>
  <si>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</si>
  <si>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</si>
  <si>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</si>
  <si>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</si>
  <si>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</si>
  <si>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</si>
  <si>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</si>
  <si>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</si>
  <si>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</si>
  <si>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</si>
  <si>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</si>
  <si>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</si>
  <si>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</si>
  <si>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</si>
  <si>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</si>
  <si>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</si>
  <si>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</si>
  <si>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</si>
  <si>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</si>
  <si>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</si>
  <si>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</si>
  <si>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</si>
  <si>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</si>
  <si>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</si>
  <si>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</si>
  <si>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</si>
  <si>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</si>
  <si>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</si>
  <si>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</si>
  <si>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</si>
  <si>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</si>
  <si>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</si>
  <si>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</si>
  <si>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</si>
  <si>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</si>
  <si>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</si>
  <si>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</si>
  <si>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</si>
  <si>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</si>
  <si>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</si>
  <si>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</si>
  <si>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</si>
  <si>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</si>
  <si>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</si>
  <si>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 xml:space="preserve">      and Banking Development District investments.</t>
  </si>
  <si>
    <t>SCHEDULE 30</t>
  </si>
  <si>
    <t>AVERAGE-PORTFOLIO</t>
  </si>
  <si>
    <t>TOTAL INTEREST</t>
  </si>
  <si>
    <t>AVERAGE</t>
  </si>
  <si>
    <t>INCOME EARNED</t>
  </si>
  <si>
    <t>YIELDS</t>
  </si>
  <si>
    <t>Short-Term Investment Pool (STIP)</t>
  </si>
  <si>
    <t>NYC General Debt Service Funds</t>
  </si>
  <si>
    <t>Other Funds:</t>
  </si>
  <si>
    <t xml:space="preserve">    City of Troy MAC Account</t>
  </si>
  <si>
    <t xml:space="preserve">    Health Income Fund - Regular</t>
  </si>
  <si>
    <t xml:space="preserve">    Health Income Fund - NYC Veterans' Home</t>
  </si>
  <si>
    <t xml:space="preserve">    Local Gov't Assist. Tax Fund Debt Service</t>
  </si>
  <si>
    <t xml:space="preserve">    Mental Health Services Fund</t>
  </si>
  <si>
    <t xml:space="preserve">    Rensselaer County Real Estate Tax Fund</t>
  </si>
  <si>
    <t xml:space="preserve">    Roswell Park - Cancer Institute</t>
  </si>
  <si>
    <t>April</t>
  </si>
  <si>
    <t>May</t>
  </si>
  <si>
    <t>June</t>
  </si>
  <si>
    <t>July</t>
  </si>
  <si>
    <t>Aug.</t>
  </si>
  <si>
    <t>Sept.</t>
  </si>
  <si>
    <t>Oct.</t>
  </si>
  <si>
    <t>Nov.</t>
  </si>
  <si>
    <t>Dec.</t>
  </si>
  <si>
    <t>Jan.</t>
  </si>
  <si>
    <t>Feb.</t>
  </si>
  <si>
    <t>Mar.</t>
  </si>
  <si>
    <t>Short-Term Investment Pool</t>
  </si>
  <si>
    <t xml:space="preserve">  Yield</t>
  </si>
  <si>
    <t xml:space="preserve">  Average Portfolio</t>
  </si>
  <si>
    <t>(*) The Excelsior Linked Deposit Program authorizes the Comptroller to deposit State funds with participating lenders at a reduced rate of return when such lenders make lower</t>
  </si>
  <si>
    <t xml:space="preserve">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</si>
  <si>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</si>
  <si>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 xml:space="preserve">     branches in areas where there is a demonstrated need for banking services. The deposits with the banks are in the form of one year Certificates of Deposit.  Due to the</t>
  </si>
  <si>
    <t>SCHEDULE 31</t>
  </si>
  <si>
    <t>Treasury</t>
  </si>
  <si>
    <t>Sponsored</t>
  </si>
  <si>
    <t>Repurchase</t>
  </si>
  <si>
    <t>Commercial</t>
  </si>
  <si>
    <t xml:space="preserve">Savings </t>
  </si>
  <si>
    <t>Certificates</t>
  </si>
  <si>
    <t>Totals</t>
  </si>
  <si>
    <t>Bills</t>
  </si>
  <si>
    <t>Agencies</t>
  </si>
  <si>
    <t>Paper</t>
  </si>
  <si>
    <t>Acct</t>
  </si>
  <si>
    <t>of Deposit</t>
  </si>
  <si>
    <t>Short-Term Investment Pool (STIP).............................................</t>
  </si>
  <si>
    <t>NYC General Debt Service Funds...................................……….</t>
  </si>
  <si>
    <t xml:space="preserve">   Health Income Fund-Regular..........................................………….</t>
  </si>
  <si>
    <t xml:space="preserve">   Health Income Fund-NYC Veterans' Home....................…………….</t>
  </si>
  <si>
    <t xml:space="preserve">   Mental Health Services Fund............................................…………..</t>
  </si>
  <si>
    <t xml:space="preserve">   Rensselaer County Real Estate Tax..............................……………….</t>
  </si>
  <si>
    <t xml:space="preserve">   Roswell Park Cancer Institute……………………………………………..</t>
  </si>
  <si>
    <t>TOTAL INVESTMENT PORTFOLIO..................................</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</si>
  <si>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</si>
  <si>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</si>
  <si>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</si>
  <si>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</si>
  <si>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</si>
  <si>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</si>
  <si>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</si>
  <si>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</si>
  <si>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</si>
  <si>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</si>
  <si>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</si>
  <si>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</si>
  <si>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</si>
  <si>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</si>
  <si>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</si>
  <si>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</si>
  <si>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</si>
  <si>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</si>
  <si>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</si>
  <si>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</si>
  <si>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</si>
  <si>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</si>
  <si>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</si>
  <si>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</si>
  <si>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</si>
  <si>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</si>
  <si>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This schedule presents balances of petty cash, travel, and other cash advances (i.e., confidential, patient, and inmate work release) issued to State business units pursuant to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</si>
  <si>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xml:space="preserve">PETTY </t>
  </si>
  <si>
    <t>BUSINESS UNIT</t>
  </si>
  <si>
    <t>CASH</t>
  </si>
  <si>
    <t>TRAVEL</t>
  </si>
  <si>
    <t>OTHER</t>
  </si>
  <si>
    <t>Agriculture and Markets, Department of:</t>
  </si>
  <si>
    <t>Alcoholism and Substance Abuse Services, Office of:</t>
  </si>
  <si>
    <t>Assembly:</t>
  </si>
  <si>
    <t>City University of New York:</t>
  </si>
  <si>
    <t>Corcraft:</t>
  </si>
  <si>
    <t>Albion Correctional Facility - Industries………………………….…………………………………………………..…….</t>
  </si>
  <si>
    <t>Corrections and Community Supervision, Department of:</t>
  </si>
  <si>
    <t>Corrections and Community Supervision, Department of……………………………………………………………….....</t>
  </si>
  <si>
    <t>Gouverneur Correctional Facility……………………………………...…………………………...….</t>
  </si>
  <si>
    <t>Gowanda Correctional Facility…………………………………….……………………………....</t>
  </si>
  <si>
    <t>Great Meadow Correctional Facility…………………………………….……………………………....</t>
  </si>
  <si>
    <t>Education Department, State:</t>
  </si>
  <si>
    <t>General Services, Office of:</t>
  </si>
  <si>
    <t>General Services New York Power Authority Miscellaneous,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</si>
  <si>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</si>
  <si>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</si>
  <si>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</si>
  <si>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</si>
  <si>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</si>
  <si>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</si>
  <si>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</si>
  <si>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</si>
  <si>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</si>
  <si>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</si>
  <si>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NYS Gaming Commission………………………………………...……….…...……………………………..………………………</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</si>
  <si>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</si>
  <si>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</si>
  <si>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</si>
  <si>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</si>
  <si>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</si>
  <si>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</si>
  <si>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</si>
  <si>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</si>
  <si>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</si>
  <si>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</si>
  <si>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</si>
  <si>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</si>
  <si>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</si>
  <si>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</si>
  <si>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</si>
  <si>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</si>
  <si>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Public Ethics, Joint Commission on……………………………………...………………………….…….…..</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</si>
  <si>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</si>
  <si>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</si>
  <si>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</si>
  <si>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</si>
  <si>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</si>
  <si>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</si>
  <si>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</si>
  <si>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</si>
  <si>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</si>
  <si>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</si>
  <si>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</si>
  <si>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</si>
  <si>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</si>
  <si>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</si>
  <si>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</si>
  <si>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</si>
  <si>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</si>
  <si>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College at Buffalo…………………………………………………………………………….…...…..</t>
  </si>
  <si>
    <t>College at Cortland…………………………………………………………………...…………...…………….</t>
  </si>
  <si>
    <t>College at Fredonia…………………………………………………………………………..……………...…….</t>
  </si>
  <si>
    <t>College at Geneseo……………………………………………………………………..……………..………….</t>
  </si>
  <si>
    <t>College at New Paltz……………………………………………………………………...……………..……….</t>
  </si>
  <si>
    <t>College at Old Westbury………………………………………………………………….…………..………….</t>
  </si>
  <si>
    <t>College at Oneonta………………………………………………………………………..………..…………….</t>
  </si>
  <si>
    <t>College at Oswego…………………………………………………………..……………………………….….</t>
  </si>
  <si>
    <t>College at Plattsburgh………………………………………………………………..……………………..…….</t>
  </si>
  <si>
    <t>College at Potsdam……………………………………………………………………..……………………...….</t>
  </si>
  <si>
    <t>College at Purchase………………………………………………………………...………………………….….</t>
  </si>
  <si>
    <t>College of Agriculture and Technology at Morrisville…………………………………………….…...…….</t>
  </si>
  <si>
    <t>College of Environmental Science and Forestry…………………………………………...………...….</t>
  </si>
  <si>
    <t>College of Optometry………………………………………………………...………………...…….</t>
  </si>
  <si>
    <t>College of Technology at Alfred…………………………………………………...…………...……….</t>
  </si>
  <si>
    <t>College of Technology at Canton…………………………………………………….……………..…</t>
  </si>
  <si>
    <t>College of Technology at Delhi……………………………………………………..………….………</t>
  </si>
  <si>
    <t>College of Technology at Farmingdale………………………………………….…………….……….</t>
  </si>
  <si>
    <t>Health Science Center at Brooklyn………………………………………………….…………………….</t>
  </si>
  <si>
    <t>Institute of Technology at Utica/Rome……………………………………………………..……………...……………</t>
  </si>
  <si>
    <t>Maritime College………………………………………………………………………….…………</t>
  </si>
  <si>
    <t>SUNY at Albany…………………………………………………..………………………………….……</t>
  </si>
  <si>
    <t>SUNY at Binghamton…………………………………………………..………………………………….……</t>
  </si>
  <si>
    <t>SUNY at Stonybrook………………………………………………………….……………………...…………</t>
  </si>
  <si>
    <t>Temporary and Disability Assistance, Office of………………………..………………………….…</t>
  </si>
  <si>
    <t>Transportation, Department of……………………………………………………………….….…….…</t>
  </si>
  <si>
    <t>Unified Court System:</t>
  </si>
  <si>
    <t>Appellate Division - 1st Judicial Department………………………...……………………………...……</t>
  </si>
  <si>
    <t>Appellate Division - 2nd Judicial Department………………………..……………………………..….</t>
  </si>
  <si>
    <t>Committee on Professional Standards - 3rd Judicial Department…………………………………..………..…...…</t>
  </si>
  <si>
    <t>Court Administration New York City, Office of……………………………………………………...…..</t>
  </si>
  <si>
    <t>Court Administration Budget and Finance, Office of…………………………………...……</t>
  </si>
  <si>
    <t>Court of Appeals……………………………………………………………………………….………….…</t>
  </si>
  <si>
    <t>Lawyers Fund for Client Protection………………………………...……………………………….….</t>
  </si>
  <si>
    <t>Mental Hygiene Legal Service - 2nd Judicial Department………………………………...……..……..</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</si>
  <si>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</si>
  <si>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</si>
  <si>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</si>
  <si>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</si>
  <si>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</si>
  <si>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</si>
  <si>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</si>
  <si>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</si>
  <si>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</si>
  <si>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Total of Cash Advance Accounts By Business Unit and Department…………………………………………………….  </t>
  </si>
  <si>
    <t xml:space="preserve">         Medicaid.............................................................................................</t>
  </si>
  <si>
    <t>SCHEDULE 17</t>
  </si>
  <si>
    <t xml:space="preserve">PRINCIPAL AND INTEREST PAYMENTS </t>
  </si>
  <si>
    <t>INTEREST</t>
  </si>
  <si>
    <r>
      <t xml:space="preserve">     Improvements of the Nineties (ACTION)</t>
    </r>
    <r>
      <rPr>
        <sz val="12"/>
        <rFont val="Arial"/>
        <family val="2"/>
      </rPr>
      <t>....................................................................................................................................</t>
    </r>
  </si>
  <si>
    <r>
      <t>Higher Education Facilities</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</si>
  <si>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</si>
  <si>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</si>
  <si>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</si>
  <si>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</si>
  <si>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Canals and Waterways...................................................................................</t>
  </si>
  <si>
    <t xml:space="preserve">          Aviation...........................................................................................................</t>
  </si>
  <si>
    <t xml:space="preserve">          Mass Transit - Department of Transportation....................................................................................................................................</t>
  </si>
  <si>
    <r>
      <t>TOTALS</t>
    </r>
    <r>
      <rPr>
        <sz val="12"/>
        <rFont val="Arial"/>
        <family val="2"/>
      </rPr>
      <t>................................................................................................................................................</t>
    </r>
  </si>
  <si>
    <t>Beginning Fund Balances.........................................................................</t>
  </si>
  <si>
    <t>FUTURE GENERAL OBLIGATION DEBT SERVICE</t>
  </si>
  <si>
    <t>SCHEDULE 18</t>
  </si>
  <si>
    <t>Energy Conservation Through Improved Transportation:</t>
  </si>
  <si>
    <t xml:space="preserve">     Local Streets and Highways................................................................................................</t>
  </si>
  <si>
    <t xml:space="preserve">   </t>
  </si>
  <si>
    <t xml:space="preserve">     Rapid Transit and Rail Freight....................................................................................................................................</t>
  </si>
  <si>
    <t xml:space="preserve">          Urban Renewal...............................................................................................</t>
  </si>
  <si>
    <t xml:space="preserve">          Highways...............................................................................................</t>
  </si>
  <si>
    <t>THEREAFTER</t>
  </si>
  <si>
    <t>TOTAL FUTURE DEBT SERVICE</t>
  </si>
  <si>
    <t>(1) Miscellaneous Receipts in Governmental Funds include:</t>
  </si>
  <si>
    <t xml:space="preserve">TOTAL GOVERNMENTAL FUNDS  </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</si>
  <si>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</si>
  <si>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</si>
  <si>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</si>
  <si>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</si>
  <si>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</si>
  <si>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</si>
  <si>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</si>
  <si>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</si>
  <si>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</si>
  <si>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</si>
  <si>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</si>
  <si>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</si>
  <si>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</si>
  <si>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</si>
  <si>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</si>
  <si>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</si>
  <si>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</si>
  <si>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</si>
  <si>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</si>
  <si>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</si>
  <si>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</si>
  <si>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</si>
  <si>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</si>
  <si>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</si>
  <si>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</si>
  <si>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</si>
  <si>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</si>
  <si>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</si>
  <si>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</si>
  <si>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</si>
  <si>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</si>
  <si>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</si>
  <si>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</si>
  <si>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</si>
  <si>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</si>
  <si>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</si>
  <si>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</si>
  <si>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</si>
  <si>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</si>
  <si>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</si>
  <si>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</si>
  <si>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</si>
  <si>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</si>
  <si>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</si>
  <si>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</si>
  <si>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</si>
  <si>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</si>
  <si>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</si>
  <si>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</si>
  <si>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</si>
  <si>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</si>
  <si>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</si>
  <si>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March 31, 2017</t>
  </si>
  <si>
    <t>Dormitory Authority:</t>
  </si>
  <si>
    <t xml:space="preserve">     City University of New York....................................................................................................................................</t>
  </si>
  <si>
    <t xml:space="preserve">     Correctional Facilities....................................................................................................................................</t>
  </si>
  <si>
    <t>.</t>
  </si>
  <si>
    <t xml:space="preserve">     Dedicated Highway and Bridge Bonds....................................................................................................................................</t>
  </si>
  <si>
    <t xml:space="preserve">     Environmental Programs....................................................................................................................................</t>
  </si>
  <si>
    <t xml:space="preserve">     Housing Programs....................................................................................................................................</t>
  </si>
  <si>
    <t xml:space="preserve">     Local Highways....................................................................................................................................</t>
  </si>
  <si>
    <t xml:space="preserve">     MTA Service Contract Bonds....................................................................................................................................</t>
  </si>
  <si>
    <t xml:space="preserve">     State Mental Health Facilities...................................................................................................................................</t>
  </si>
  <si>
    <t xml:space="preserve">     State University of New York...................................................................................................................................</t>
  </si>
  <si>
    <t xml:space="preserve">     Others ..................................................................................................................................................</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</si>
  <si>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</si>
  <si>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</si>
  <si>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</si>
  <si>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</si>
  <si>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Thruway Authority:</t>
  </si>
  <si>
    <t xml:space="preserve">     Dedicated Highway and Bridge Trust Fund Bonds...................................................................................................................................</t>
  </si>
  <si>
    <t xml:space="preserve">     Local Highway and Bridge Service Contract Bonds...................................................................................................................................</t>
  </si>
  <si>
    <t>Urban Development Corporation:</t>
  </si>
  <si>
    <t xml:space="preserve">     Correctional Facilities...................................................................................................................................</t>
  </si>
  <si>
    <t xml:space="preserve">     Local Highways...................................................................................................................................</t>
  </si>
  <si>
    <t xml:space="preserve">     State Facility Revenue Bonds...................................................................................................................................</t>
  </si>
  <si>
    <t xml:space="preserve">     State University of New York ......................................................................................................................</t>
  </si>
  <si>
    <t xml:space="preserve">     Others..................................................................................................................................................................................</t>
  </si>
  <si>
    <t>Multiple Issuers:</t>
  </si>
  <si>
    <t xml:space="preserve">     Community Enhancement Facilities Assistance Program (DASNY/UDC)...................................................................................................................................</t>
  </si>
  <si>
    <t xml:space="preserve">     Strategic Investment Programs (DASNY/UDC)...................................................................................................................................</t>
  </si>
  <si>
    <t xml:space="preserve">     Other Economic Development Programs (DASNY/UDC)..............................................................................................................................</t>
  </si>
  <si>
    <t>TOTALS................................................................................................................................................</t>
  </si>
  <si>
    <t>March 31, 2018</t>
  </si>
  <si>
    <t>March 31, 2019</t>
  </si>
  <si>
    <t xml:space="preserve">       Total Receipts...............................................................………………………………..</t>
  </si>
  <si>
    <t xml:space="preserve">       Total Other Financing Sources (Uses)............................................................</t>
  </si>
  <si>
    <t xml:space="preserve">  Bond and Note Proceeds, net............................................................................</t>
  </si>
  <si>
    <t xml:space="preserve">  Public School Aid…………………………………………………………………..</t>
  </si>
  <si>
    <t xml:space="preserve">  Higher Ed……………………………………………………………………..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</si>
  <si>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</si>
  <si>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</si>
  <si>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</si>
  <si>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</si>
  <si>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</si>
  <si>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</si>
  <si>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</si>
  <si>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</si>
  <si>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</si>
  <si>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</si>
  <si>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</si>
  <si>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</si>
  <si>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</si>
  <si>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</si>
  <si>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</si>
  <si>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</si>
  <si>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</si>
  <si>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</si>
  <si>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</si>
  <si>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</si>
  <si>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</si>
  <si>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</si>
  <si>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</si>
  <si>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</si>
  <si>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</si>
  <si>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</si>
  <si>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</si>
  <si>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 xml:space="preserve">SHORT-TERM INVESTMENT PORTFOLIO BALANCES   </t>
  </si>
  <si>
    <t>Note to users: This Excel file contains formulas and links.</t>
  </si>
  <si>
    <t xml:space="preserve">CAPITAL PROJECTS   </t>
  </si>
  <si>
    <t xml:space="preserve">PERSONAL INCOME TAX </t>
  </si>
  <si>
    <t>Commission of Quality of Care and Advocacy ………………………………………………………</t>
  </si>
  <si>
    <t>Commission of Quality of Care and Advocacy …………………………………………</t>
  </si>
  <si>
    <t>Commission of Quality of Care and Advocacy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</si>
  <si>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</si>
  <si>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</si>
  <si>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</si>
  <si>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</si>
  <si>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</si>
  <si>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</si>
  <si>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</si>
  <si>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</si>
  <si>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</si>
  <si>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</si>
  <si>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</si>
  <si>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2 Miscellaneous Receipts</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</si>
  <si>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</si>
  <si>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</si>
  <si>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</si>
  <si>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</si>
  <si>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</si>
  <si>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</si>
  <si>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</si>
  <si>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</si>
  <si>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</si>
  <si>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</si>
  <si>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</si>
  <si>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</si>
  <si>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</si>
  <si>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of Disbursements of Federal Awards:</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</si>
  <si>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</si>
  <si>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</si>
  <si>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</si>
  <si>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</si>
  <si>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</si>
  <si>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</si>
  <si>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</si>
  <si>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</si>
  <si>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</si>
  <si>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</si>
  <si>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</si>
  <si>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</si>
  <si>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</si>
  <si>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</si>
  <si>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</si>
  <si>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</si>
  <si>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</si>
  <si>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</si>
  <si>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</si>
  <si>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</si>
  <si>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</si>
  <si>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</si>
  <si>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</si>
  <si>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</si>
  <si>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</si>
  <si>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</si>
  <si>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</si>
  <si>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</si>
  <si>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</si>
  <si>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</si>
  <si>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</si>
  <si>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</si>
  <si>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</si>
  <si>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</si>
  <si>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</si>
  <si>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</si>
  <si>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Report of Investment Yields, Portfolio Balances and Interest Earnings</t>
  </si>
  <si>
    <t>Schedule 31</t>
  </si>
  <si>
    <t>Short-Term Investment Portfolio Balances</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</si>
  <si>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</si>
  <si>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</si>
  <si>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</si>
  <si>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</si>
  <si>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</si>
  <si>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</si>
  <si>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</si>
  <si>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</si>
  <si>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</si>
  <si>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</si>
  <si>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</si>
  <si>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</si>
  <si>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</si>
  <si>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</si>
  <si>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</si>
  <si>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</si>
  <si>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</si>
  <si>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</si>
  <si>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</si>
  <si>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</si>
  <si>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</si>
  <si>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</si>
  <si>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</si>
  <si>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</si>
  <si>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</si>
  <si>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</si>
  <si>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</si>
  <si>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</si>
  <si>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</si>
  <si>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</si>
  <si>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</si>
  <si>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</si>
  <si>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</si>
  <si>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</si>
  <si>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</si>
  <si>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</si>
  <si>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</si>
  <si>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</si>
  <si>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</si>
  <si>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</si>
  <si>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</si>
  <si>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</si>
  <si>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</si>
  <si>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</si>
  <si>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</si>
  <si>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</si>
  <si>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</si>
  <si>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</si>
  <si>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</si>
  <si>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</si>
  <si>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</si>
  <si>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</si>
  <si>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</si>
  <si>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</si>
  <si>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</si>
  <si>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</si>
  <si>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</si>
  <si>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</si>
  <si>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</si>
  <si>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</si>
  <si>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</si>
  <si>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</si>
  <si>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</si>
  <si>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</si>
  <si>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</si>
  <si>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</si>
  <si>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</si>
  <si>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</si>
  <si>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</si>
  <si>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</si>
  <si>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</si>
  <si>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</si>
  <si>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</si>
  <si>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</si>
  <si>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</si>
  <si>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</si>
  <si>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</si>
  <si>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</si>
  <si>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</si>
  <si>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</si>
  <si>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</si>
  <si>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</si>
  <si>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</si>
  <si>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</si>
  <si>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</si>
  <si>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</si>
  <si>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</si>
  <si>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State Finance Law, §97-1</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</si>
  <si>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</si>
  <si>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</si>
  <si>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</si>
  <si>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</si>
  <si>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</si>
  <si>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</si>
  <si>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</si>
  <si>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</si>
  <si>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</si>
  <si>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</si>
  <si>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State Finance Law, §97-c</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</si>
  <si>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</si>
  <si>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</si>
  <si>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</si>
  <si>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</si>
  <si>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</si>
  <si>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</si>
  <si>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</si>
  <si>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</si>
  <si>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</si>
  <si>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</si>
  <si>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</si>
  <si>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</si>
  <si>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</si>
  <si>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</si>
  <si>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</si>
  <si>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</si>
  <si>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</si>
  <si>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</si>
  <si>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</si>
  <si>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</si>
  <si>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</si>
  <si>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</si>
  <si>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</si>
  <si>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</si>
  <si>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</si>
  <si>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</si>
  <si>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</si>
  <si>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</si>
  <si>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</si>
  <si>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</si>
  <si>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</si>
  <si>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</si>
  <si>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</si>
  <si>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</si>
  <si>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</si>
  <si>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</si>
  <si>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</si>
  <si>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</si>
  <si>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</si>
  <si>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</si>
  <si>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</si>
  <si>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</si>
  <si>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</si>
  <si>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</si>
  <si>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</si>
  <si>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</si>
  <si>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</si>
  <si>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</si>
  <si>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</si>
  <si>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</si>
  <si>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</si>
  <si>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</si>
  <si>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</si>
  <si>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</si>
  <si>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</si>
  <si>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</si>
  <si>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</si>
  <si>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</si>
  <si>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</si>
  <si>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</si>
  <si>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</si>
  <si>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</si>
  <si>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</si>
  <si>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</si>
  <si>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</si>
  <si>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</si>
  <si>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</si>
  <si>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</si>
  <si>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</si>
  <si>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</si>
  <si>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</si>
  <si>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</si>
  <si>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</si>
  <si>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</si>
  <si>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</si>
  <si>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</si>
  <si>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</si>
  <si>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</si>
  <si>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</si>
  <si>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</si>
  <si>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</si>
  <si>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</si>
  <si>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</si>
  <si>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</si>
  <si>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</si>
  <si>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</si>
  <si>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</si>
  <si>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</si>
  <si>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</si>
  <si>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</si>
  <si>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</si>
  <si>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</si>
  <si>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</si>
  <si>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</si>
  <si>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</si>
  <si>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</si>
  <si>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</si>
  <si>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</si>
  <si>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</si>
  <si>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</si>
  <si>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</si>
  <si>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</si>
  <si>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</si>
  <si>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</si>
  <si>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</si>
  <si>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</si>
  <si>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</si>
  <si>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</si>
  <si>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</si>
  <si>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</si>
  <si>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</si>
  <si>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</si>
  <si>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</si>
  <si>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</si>
  <si>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</si>
  <si>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</si>
  <si>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</si>
  <si>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</si>
  <si>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</si>
  <si>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and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</si>
  <si>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</si>
  <si>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</si>
  <si>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</si>
  <si>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</si>
  <si>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</si>
  <si>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</si>
  <si>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</si>
  <si>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</si>
  <si>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</si>
  <si>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</si>
  <si>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</si>
  <si>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</si>
  <si>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</si>
  <si>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</si>
  <si>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</si>
  <si>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</si>
  <si>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</si>
  <si>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</si>
  <si>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</si>
  <si>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</si>
  <si>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</si>
  <si>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</si>
  <si>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</si>
  <si>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</si>
  <si>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</si>
  <si>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</si>
  <si>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State Finance Law, §60 (5)</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</si>
  <si>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</si>
  <si>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</si>
  <si>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</si>
  <si>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</si>
  <si>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</si>
  <si>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</si>
  <si>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</si>
  <si>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</si>
  <si>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</si>
  <si>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</si>
  <si>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</si>
  <si>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</si>
  <si>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</si>
  <si>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</si>
  <si>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</si>
  <si>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</si>
  <si>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</si>
  <si>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</si>
  <si>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</si>
  <si>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</si>
  <si>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</si>
  <si>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</si>
  <si>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</si>
  <si>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</si>
  <si>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</si>
  <si>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</si>
  <si>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</si>
  <si>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</si>
  <si>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</si>
  <si>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</si>
  <si>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</si>
  <si>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</si>
  <si>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</si>
  <si>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</si>
  <si>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</si>
  <si>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</si>
  <si>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</si>
  <si>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</si>
  <si>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</si>
  <si>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</si>
  <si>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</si>
  <si>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</si>
  <si>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</si>
  <si>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</si>
  <si>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</si>
  <si>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</si>
  <si>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</si>
  <si>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</si>
  <si>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</si>
  <si>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</si>
  <si>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</si>
  <si>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</si>
  <si>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</si>
  <si>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</si>
  <si>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</si>
  <si>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</si>
  <si>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</si>
  <si>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</si>
  <si>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</si>
  <si>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</si>
  <si>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</si>
  <si>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</si>
  <si>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</si>
  <si>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</si>
  <si>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</si>
  <si>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</si>
  <si>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</si>
  <si>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</si>
  <si>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</si>
  <si>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</si>
  <si>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</si>
  <si>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</si>
  <si>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</si>
  <si>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Agencies Enterprise</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</si>
  <si>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</si>
  <si>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</si>
  <si>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</si>
  <si>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</si>
  <si>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</si>
  <si>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</si>
  <si>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</si>
  <si>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</si>
  <si>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</si>
  <si>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</si>
  <si>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</si>
  <si>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</si>
  <si>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</si>
  <si>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</si>
  <si>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</si>
  <si>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</si>
  <si>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</si>
  <si>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</si>
  <si>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</si>
  <si>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</si>
  <si>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</si>
  <si>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</si>
  <si>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</si>
  <si>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</si>
  <si>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</si>
  <si>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</si>
  <si>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</si>
  <si>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</si>
  <si>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</si>
  <si>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</si>
  <si>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</si>
  <si>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</si>
  <si>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</si>
  <si>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</si>
  <si>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</si>
  <si>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</si>
  <si>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</si>
  <si>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</si>
  <si>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</si>
  <si>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</si>
  <si>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</si>
  <si>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</si>
  <si>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</si>
  <si>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</si>
  <si>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</si>
  <si>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</si>
  <si>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</si>
  <si>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</si>
  <si>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</si>
  <si>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</si>
  <si>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</si>
  <si>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</si>
  <si>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</si>
  <si>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</si>
  <si>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</si>
  <si>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</si>
  <si>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</si>
  <si>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</si>
  <si>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</si>
  <si>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</si>
  <si>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</si>
  <si>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</si>
  <si>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</si>
  <si>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</si>
  <si>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</si>
  <si>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</si>
  <si>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</si>
  <si>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</si>
  <si>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</si>
  <si>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</si>
  <si>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</si>
  <si>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</si>
  <si>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</si>
  <si>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</si>
  <si>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</si>
  <si>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</si>
  <si>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</si>
  <si>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</si>
  <si>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</si>
  <si>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</si>
  <si>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</si>
  <si>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Agriculture and Markets Law, §258-b (4) (a)</t>
  </si>
  <si>
    <t xml:space="preserve"> 2014-15</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</si>
  <si>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</si>
  <si>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</si>
  <si>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</si>
  <si>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</si>
  <si>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</si>
  <si>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</si>
  <si>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</si>
  <si>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</si>
  <si>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</si>
  <si>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</si>
  <si>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MARCH 31, 2015</t>
  </si>
  <si>
    <t xml:space="preserve">         DASNY Revenue Bond…………………………………………..</t>
  </si>
  <si>
    <t xml:space="preserve">         UDC Revenue Bond………………………………………….….</t>
  </si>
  <si>
    <t xml:space="preserve"> MARCH 31, 2015</t>
  </si>
  <si>
    <r>
      <t xml:space="preserve">     Improvements of the Nineties (ACTION)</t>
    </r>
    <r>
      <rPr>
        <sz val="12"/>
        <rFont val="Arial"/>
        <family val="2"/>
      </rPr>
      <t>............................</t>
    </r>
  </si>
  <si>
    <r>
      <t>Higher Education Facilities</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</si>
  <si>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</si>
  <si>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</si>
  <si>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</si>
  <si>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</si>
  <si>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r>
      <t>TOTAL FUTURE DEBT SERVICE REQUIREMENTS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</si>
  <si>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</si>
  <si>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</si>
  <si>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</si>
  <si>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</si>
  <si>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</si>
  <si>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</si>
  <si>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</si>
  <si>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</si>
  <si>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</si>
  <si>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</si>
  <si>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</si>
  <si>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</si>
  <si>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Mental Hygiene Law, §7.27 (c) and §13.27 (c)</t>
  </si>
  <si>
    <t>Retirement and Social Security Law, §134 and §141</t>
  </si>
  <si>
    <t>SCHEDULE OF DISBURSEMENTS OF FEDERAL AWARDS</t>
  </si>
  <si>
    <t>AMERICAN RECOVERY AND REINVESTMENT ACT OF 2009</t>
  </si>
  <si>
    <t xml:space="preserve">    Thruway Authority………………………………………………………………….</t>
  </si>
  <si>
    <t>(*) See Accompanying Footnotes</t>
  </si>
  <si>
    <t>Justice Center for the Protection of People with Special Needs ………………………………………………………………</t>
  </si>
  <si>
    <t>Energy and Environment</t>
  </si>
  <si>
    <t>Health and Social Services</t>
  </si>
  <si>
    <t>Housing</t>
  </si>
  <si>
    <t>Labor</t>
  </si>
  <si>
    <t>Public Protection</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</si>
  <si>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</si>
  <si>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</si>
  <si>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</si>
  <si>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</si>
  <si>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</si>
  <si>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</si>
  <si>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</si>
  <si>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</si>
  <si>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</si>
  <si>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</si>
  <si>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</si>
  <si>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</si>
  <si>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TUITION REIMBURSEMENT ACCOUNT………………………………………………………………………………………….</t>
  </si>
  <si>
    <t>VOCATIONAL SCHOOL SUPERVISION………………………………………………………………………………………….</t>
  </si>
  <si>
    <t>LOCAL GOVERNMENT RECORDS MANAGEMENT………………………………………………………………………………………….</t>
  </si>
  <si>
    <t>CHILD HEALTH INSURANCE………………………………………………………………………………………….</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</si>
  <si>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</si>
  <si>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</si>
  <si>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</si>
  <si>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</si>
  <si>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</si>
  <si>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</si>
  <si>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</si>
  <si>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</si>
  <si>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</si>
  <si>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</si>
  <si>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</si>
  <si>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</si>
  <si>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</si>
  <si>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</si>
  <si>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</si>
  <si>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</si>
  <si>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</si>
  <si>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</si>
  <si>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</si>
  <si>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</si>
  <si>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</si>
  <si>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</si>
  <si>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</si>
  <si>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OPWDD PROVIDER OF SERVICE………………………………………………………………………………………….</t>
  </si>
  <si>
    <t>MENTAL HYGIENE PROGRAM………………………………………………………………………………………….</t>
  </si>
  <si>
    <t>MENTAL HYGIENE PATIENT INCOME ACCOUNT………………………………………………………………………………………….</t>
  </si>
  <si>
    <t>FINANCIAL CONTROL BOARD ACCOUNT………………………………………………………………………………………….</t>
  </si>
  <si>
    <t>RACING REGULATION ACCOUNT………………………………………………………………………………………….</t>
  </si>
  <si>
    <t>NY METROPOLITAN TRANSPORTATION COUNCIL………………………………………………………………………………………….</t>
  </si>
  <si>
    <t>STATE UNIVERSITY DORMITORY INCOME REIMBURSEMENTS ACCT………………………………………………………………………………………….</t>
  </si>
  <si>
    <t>ENERGY RESEARCH ACCOUNT………………………………………………………………………………………….</t>
  </si>
  <si>
    <t>CRIMINAL JUSTICE IMPROVEMENT………………………………………………………………………………………….</t>
  </si>
  <si>
    <t>FINGERPRINT IDENTIFICATION AND TECHNOLOGY ACCOUNT………………………………………………………………………………………….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</si>
  <si>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</si>
  <si>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</si>
  <si>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</si>
  <si>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</si>
  <si>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</si>
  <si>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</si>
  <si>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</si>
  <si>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</si>
  <si>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</si>
  <si>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</si>
  <si>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</si>
  <si>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CAPITAL PROJECTS FUND………………………………………………………………………………………….</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</si>
  <si>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</si>
  <si>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</si>
  <si>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</si>
  <si>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</si>
  <si>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</si>
  <si>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</si>
  <si>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</si>
  <si>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</si>
  <si>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</si>
  <si>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</si>
  <si>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</si>
  <si>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</si>
  <si>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</si>
  <si>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</si>
  <si>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</si>
  <si>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</si>
  <si>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</si>
  <si>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</si>
  <si>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</si>
  <si>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</si>
  <si>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</si>
  <si>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</si>
  <si>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</si>
  <si>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</si>
  <si>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DHCR - MORTGAGE SERVICING………………………………………………………………………………………….</t>
  </si>
  <si>
    <t>DMV - COMPULSORY INSURANCE PROGRAM………………………………………………………………………………………….</t>
  </si>
  <si>
    <t>HOUSING INDIRECT COST RECOVERY………………………………………………………………………………………….</t>
  </si>
  <si>
    <t>ACCIDENT PREVENTION COURSE PROGRAM………………………………………………………………………………………….</t>
  </si>
  <si>
    <t>DHCR - HOUSING CREDIT AGENCY APPLY FEE………………………………………………………………………………………….</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</si>
  <si>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</si>
  <si>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</si>
  <si>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</si>
  <si>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</si>
  <si>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</si>
  <si>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</si>
  <si>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</si>
  <si>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</si>
  <si>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</si>
  <si>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EFC DRINKING WATER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</si>
  <si>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</si>
  <si>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</si>
  <si>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</si>
  <si>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</si>
  <si>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</si>
  <si>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</si>
  <si>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</si>
  <si>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</si>
  <si>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</si>
  <si>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</si>
  <si>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</si>
  <si>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</si>
  <si>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</si>
  <si>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</si>
  <si>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</si>
  <si>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</si>
  <si>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</si>
  <si>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</si>
  <si>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</si>
  <si>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</si>
  <si>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</si>
  <si>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</si>
  <si>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</si>
  <si>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</si>
  <si>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</si>
  <si>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</si>
  <si>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</si>
  <si>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</si>
  <si>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</si>
  <si>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</si>
  <si>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</si>
  <si>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</si>
  <si>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</si>
  <si>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</si>
  <si>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</si>
  <si>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</si>
  <si>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</si>
  <si>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</si>
  <si>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</si>
  <si>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</si>
  <si>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</si>
  <si>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</si>
  <si>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</si>
  <si>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</si>
  <si>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</si>
  <si>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</si>
  <si>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</si>
  <si>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</si>
  <si>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</si>
  <si>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</si>
  <si>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</si>
  <si>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</si>
  <si>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</si>
  <si>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</si>
  <si>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</si>
  <si>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</si>
  <si>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</si>
  <si>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</si>
  <si>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</si>
  <si>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</si>
  <si>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</si>
  <si>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</si>
  <si>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</si>
  <si>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</si>
  <si>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</si>
  <si>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</si>
  <si>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</si>
  <si>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</si>
  <si>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</si>
  <si>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</si>
  <si>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</si>
  <si>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</si>
  <si>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</si>
  <si>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</si>
  <si>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</si>
  <si>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</si>
  <si>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</si>
  <si>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</si>
  <si>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</si>
  <si>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</si>
  <si>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</si>
  <si>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</si>
  <si>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</si>
  <si>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</si>
  <si>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</si>
  <si>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</si>
  <si>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</si>
  <si>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</si>
  <si>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</si>
  <si>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LAW: SEC. 11 ADMIN………………………………………………………………………………………….</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</si>
  <si>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</si>
  <si>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</si>
  <si>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</si>
  <si>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</si>
  <si>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</si>
  <si>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</si>
  <si>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</si>
  <si>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</si>
  <si>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</si>
  <si>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</si>
  <si>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</si>
  <si>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</si>
  <si>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</si>
  <si>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</si>
  <si>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</si>
  <si>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</si>
  <si>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</si>
  <si>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</si>
  <si>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</si>
  <si>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</si>
  <si>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</si>
  <si>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</si>
  <si>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</si>
  <si>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</si>
  <si>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</si>
  <si>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</si>
  <si>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</si>
  <si>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</si>
  <si>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</si>
  <si>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</si>
  <si>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</si>
  <si>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</si>
  <si>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</si>
  <si>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</si>
  <si>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</si>
  <si>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</si>
  <si>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</si>
  <si>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</si>
  <si>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</si>
  <si>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Child Nutrition Discretionary Grants Limited Availability………………………………………………………………………………………….</t>
  </si>
  <si>
    <t>Broadband Technology Opportunities Program (BTOP)………………………………………………………………………………………….</t>
  </si>
  <si>
    <t>Promotion of the Arts - Partnership Agreements………………………………………………………………………………………….</t>
  </si>
  <si>
    <t>Education Jobs Fund…………………………………………………………………………………………………………………….………………………………………….</t>
  </si>
  <si>
    <t>ARRA - Scholarships for Disadvantaged Students………………………………………………………………………………………….</t>
  </si>
  <si>
    <t>Independent Living Services for Older Individuals Who are Blind, Recovery Act………………………………………………………………………………………….</t>
  </si>
  <si>
    <t>State Fiscal Stabilization Fund (SFSF) - Government Services, Recovery Act………………………………………………………………………………………….</t>
  </si>
  <si>
    <t>State Fiscal Stabilization Fund (SFSF) - Race-to-the-Top Incentive Grants, Recovery Act………………………………………………………………………………………….</t>
  </si>
  <si>
    <t>State Fiscal Stabilization Fund (SFSF) - Education State Grants, Recovery Act………………………………………………………………………………………….</t>
  </si>
  <si>
    <t>Special Education - Preschool Grants, Recovery Act………………………………………………………………………………………….</t>
  </si>
  <si>
    <t>Special Education Grants to States, Recovery Act………………………………………………………………………………………….</t>
  </si>
  <si>
    <t>Rehabilitation Services - Vocational Rehabilitation Grants to States, Recovery Act………………………………………………………………………………………….</t>
  </si>
  <si>
    <t>Title I Grants to Local Education Agencies, Recovery Act………………………………………………………………………………………….</t>
  </si>
  <si>
    <t>School Improvement Grants, Recovery Act………………………………………………………………………………………….</t>
  </si>
  <si>
    <t>Education for Homeless Children and Youth, Recovery Act………………………………………………………………………………………….</t>
  </si>
  <si>
    <t>Education Technology State Grants, Recovery Act………………………………………………………………………………………….</t>
  </si>
  <si>
    <t>Teacher Incentive Fund, Recovery Act………………………………………………………………………………………….</t>
  </si>
  <si>
    <t>Statewide Data Systems, Recovery Act………………………………………………………………………………………….</t>
  </si>
  <si>
    <t>Federal Work-Study Program………………………………………………………………………………………….</t>
  </si>
  <si>
    <t>Federal Pell Grant Program………………………………………………………………………………………….</t>
  </si>
  <si>
    <t>Independent Living State Grants, Recovery Act………………………………………………………………………………………….</t>
  </si>
  <si>
    <t>Total Energy and Environment………………………………………………………………………………………….</t>
  </si>
  <si>
    <t>Total Food and Nutrition Services………………………………………………………………………………………….</t>
  </si>
  <si>
    <t>Total Health and Social Services………………………………………………………………………………………….</t>
  </si>
  <si>
    <t>Total Public Protection………………………………………………………………………………………….</t>
  </si>
  <si>
    <t>Total Transportation………………………………………………………………………………………….</t>
  </si>
  <si>
    <t>TOTAL ARRA DISBURSEMENTS………………………………………………………………………………………….</t>
  </si>
  <si>
    <t>Formula Grants for Other Than Urbanized Areas………………………………………………………………………………………….</t>
  </si>
  <si>
    <t>High-Speed Rail Corridors and Intercity Passenger Rail Service – Capital Assistance Grants………………………………………………………………………………………….</t>
  </si>
  <si>
    <t>Highway Planning and Construction………………………………………………………………………………………….</t>
  </si>
  <si>
    <t>Recovery Act - State Victim Compensation Formula Grant Program………………………………………………………………………………………….</t>
  </si>
  <si>
    <t>Recovery Act - State Victim Assistance Formula Grant Program………………………………………………………………………………………….</t>
  </si>
  <si>
    <t>Recovery Act - Internet Crimes against Children Task Force Program (ICAC)………………………………………………………………………………………….</t>
  </si>
  <si>
    <t>Violence Against Women Formula Grants………………………………………………………………………………………….</t>
  </si>
  <si>
    <t>National Guard Military Operations and Maintenance (O&amp;M) Projects………………………………………………………………………………………….</t>
  </si>
  <si>
    <t>State Broadband Data and Development Grant Program………………………………………………………………………………………….</t>
  </si>
  <si>
    <t>Total Labor………………………………………………………………………………………….………………………………………………………………………………………….</t>
  </si>
  <si>
    <t>ARRA - Community Services Block Grant………………………………………………………………………………………….</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</si>
  <si>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</si>
  <si>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</si>
  <si>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</si>
  <si>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</si>
  <si>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</si>
  <si>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</si>
  <si>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Special Supplemental Nutrition Program for Women, Infants &amp; Children (WIC)………………………………………………………………………………………….</t>
  </si>
  <si>
    <t>State Administrative Matching Grants for the Supplemental Nutrition Assistance Program………………………………………………………………………………………….</t>
  </si>
  <si>
    <t>WIC Grants To States (WGS)………………………………………………………………………………………….</t>
  </si>
  <si>
    <t>Homelessness Prevention and Rapid Re-Housing Program (Recovery Act Funded)………………………………………………………………………………………….</t>
  </si>
  <si>
    <t>Special Education - Grants for Infants and Families, Recovery Act………………………………………………………………………………………….</t>
  </si>
  <si>
    <t>Child Support Enforcement………………………………………………………………………………………….</t>
  </si>
  <si>
    <t>Foster Care - Title IV-E………………………………………………………………………………………….</t>
  </si>
  <si>
    <t>Adoption Assistance………………………………………………………………………………………….</t>
  </si>
  <si>
    <t>ARRA - Immunization………………………………………………………………………………………….</t>
  </si>
  <si>
    <t>ARRA - Child Care and Development Block Grant………………………………………………………………………………………….</t>
  </si>
  <si>
    <t>ARRA - Communities Putting Prevention to Work: Chronic Disease Self-Management Program………………………………………………………………………………………….</t>
  </si>
  <si>
    <r>
      <t>Medical Assistance Program (FMAP)</t>
    </r>
    <r>
      <rPr>
        <sz val="12"/>
        <rFont val="Arial"/>
        <family val="2"/>
      </rPr>
      <t>……………………………………………………………………………………………………………………………………………………………….…………….</t>
    </r>
  </si>
  <si>
    <t>AmeriCorps…………………………………………………………………………………………………………………………………………………………….……………………….</t>
  </si>
  <si>
    <t>Total Housing………………………………………………………………………………………………………………………………………………………….………………………….</t>
  </si>
  <si>
    <t>Aquaculture Grants Program (AGP)………………………………………………………………………………………….</t>
  </si>
  <si>
    <t>Recovery Act of 2009: Wildland Fire Management………………………………………………………………………………………….</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</si>
  <si>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</si>
  <si>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</si>
  <si>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</si>
  <si>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</si>
  <si>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</si>
  <si>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</si>
  <si>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Weatherization Assistance for Low-Income Persons………………………………………………………………………………………….</t>
  </si>
  <si>
    <t>Electricity Delivery and Energy Reliability, Research, Development and Analysis………………………………………………………………………………………….</t>
  </si>
  <si>
    <t>Emergency Food Assistance Program (Administrative Costs)………………………………………………………………………………………….</t>
  </si>
  <si>
    <t>Aging Home-Delivered Nutrition Services for States………………………………………………………………………………………….</t>
  </si>
  <si>
    <t>Aging Congregate Nutrition Services for States………………………………………………………………………………………….</t>
  </si>
  <si>
    <t xml:space="preserve">Recovery Act - Edward Byrne Memorial Justice Assistance Grant (JAG) Program </t>
  </si>
  <si>
    <t xml:space="preserve">
Grants to States and Territories………………………………………………………………………………………….</t>
  </si>
  <si>
    <t>Justice Center for the Protection of People with Special Needs………………………………….</t>
  </si>
  <si>
    <t xml:space="preserve">   (continued)</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</si>
  <si>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</si>
  <si>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</si>
  <si>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</si>
  <si>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</si>
  <si>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</si>
  <si>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</si>
  <si>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March 31, 2020</t>
  </si>
  <si>
    <t>Lake George Park Commission……………………………………….</t>
  </si>
  <si>
    <t>NYS Gaming Commission…...............................................................</t>
  </si>
  <si>
    <t>Office of Indigent Legal Services….……………………………………</t>
  </si>
  <si>
    <t>Judicial Screening ………………………………………………………………..</t>
  </si>
  <si>
    <t>Adirondack Park Agency………………………………………………………………………………………………………….…….</t>
  </si>
  <si>
    <t>Agriculture and Markets, Department of…………………………………………………..…………………………...….</t>
  </si>
  <si>
    <t>State Fair……………………………………………………...………………………………………………………………………....……</t>
  </si>
  <si>
    <t>Alcoholic Beverage Control, Division of………………….…………………………..…..………………….………………………....</t>
  </si>
  <si>
    <t>Alcoholism and Substance Abuse Services, Office of……………………………………...…..……………...…….</t>
  </si>
  <si>
    <t>Kingsboro Addiction Treatment Center………………………………..………….………………...…………………...….</t>
  </si>
  <si>
    <t>Legislative Task Force on Demographic Research and Reapportionment………………………………………………</t>
  </si>
  <si>
    <t>New York State Assembly……………………………………………………………….……………………………...……....……</t>
  </si>
  <si>
    <t>New York State Assembly Ways and Means……………………..…………………………………...…………...………….……</t>
  </si>
  <si>
    <t>Budget, Division of the………………………………….………………….……..……………………………………….….…..……</t>
  </si>
  <si>
    <t>Children and Family Services, Office of……………………………...…………………………………………………....….</t>
  </si>
  <si>
    <t>City College………………………………………………………...……………….……...……………………………………………....</t>
  </si>
  <si>
    <t>College of Staten Island……………………………………...……………………………….…………………………………….….</t>
  </si>
  <si>
    <t>Graduate School…………………………………………...………………………………………...……………………………..……</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</si>
  <si>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</si>
  <si>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</si>
  <si>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</si>
  <si>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</si>
  <si>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</si>
  <si>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</si>
  <si>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</si>
  <si>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</si>
  <si>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</si>
  <si>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Attica Correctional Facility - Industries……………………………………………………..………………….......…….</t>
  </si>
  <si>
    <t>Central Office - Industries…………………………………………………………………………..……………………………..……</t>
  </si>
  <si>
    <t>Eastern Correctional Facility - Industries…………………………….………………………………………….………..…..</t>
  </si>
  <si>
    <t>Elmira Correctional Facility - Industries………………………………………………………………………………..………..</t>
  </si>
  <si>
    <t>Fishkill Correctional Facility - Industries………………..………………………………………………………………...….</t>
  </si>
  <si>
    <t>Great Meadow Correctional Facility - Industries…………………….………………………………………...…….….</t>
  </si>
  <si>
    <t>Green Haven Correctional Facility - Industries……………………..………………………………………………….……</t>
  </si>
  <si>
    <t>Wallkill Correctional Facility - Industries………………………………….…………………………..……………………...</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</si>
  <si>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</si>
  <si>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</si>
  <si>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</si>
  <si>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</si>
  <si>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</si>
  <si>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</si>
  <si>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</si>
  <si>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</si>
  <si>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</si>
  <si>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</si>
  <si>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</si>
  <si>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</si>
  <si>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</si>
  <si>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</si>
  <si>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</si>
  <si>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</si>
  <si>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</si>
  <si>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</si>
  <si>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</si>
  <si>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</si>
  <si>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</si>
  <si>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</si>
  <si>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</si>
  <si>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</si>
  <si>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</si>
  <si>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</si>
  <si>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Lincoln Correctional Facility………………………………………………………………..……………………………...……..</t>
  </si>
  <si>
    <t>Livingston Correctional Facility…………………………………..………………………………………………………..….…..</t>
  </si>
  <si>
    <t>Marcy Correctional Facility………………………………………..………………………………………………………...………</t>
  </si>
  <si>
    <t>Mid-State Correctional Facility……………………………………..……………………………..……………………………....</t>
  </si>
  <si>
    <t>Mohawk Correctional Facility………………………………………...…………………………………………..…………….….</t>
  </si>
  <si>
    <t>New York City Central Administration…………………………..…………………………………………………...…...…..</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</si>
  <si>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</si>
  <si>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</si>
  <si>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</si>
  <si>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</si>
  <si>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</si>
  <si>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</si>
  <si>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</si>
  <si>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</si>
  <si>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</si>
  <si>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</si>
  <si>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</si>
  <si>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</si>
  <si>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</si>
  <si>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</si>
  <si>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</si>
  <si>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</si>
  <si>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</si>
  <si>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</si>
  <si>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</si>
  <si>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</si>
  <si>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</si>
  <si>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</si>
  <si>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</si>
  <si>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Education Department, State……………………………………………….……………………………………………………....</t>
  </si>
  <si>
    <t>Rome School for the Deaf…………………………………………...…………………………..……………………………….....</t>
  </si>
  <si>
    <t>Employee Relations, Governor's Office of………………………………………….………………………………………..……………..…......................................</t>
  </si>
  <si>
    <t>Environmental Conservation, Department of…………………………………………….……………………………..……</t>
  </si>
  <si>
    <t>Financial Control Board for New York City…………………………………………………………..….….………………...…</t>
  </si>
  <si>
    <t>Financial Services, Department of……………………………………………………………………………...………………….</t>
  </si>
  <si>
    <t>General Services, Office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</si>
  <si>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</si>
  <si>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</si>
  <si>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</si>
  <si>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</si>
  <si>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</si>
  <si>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</si>
  <si>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</si>
  <si>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</si>
  <si>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</si>
  <si>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Interest on Lawyer Account……………………………………………….…..………………………………………....………</t>
  </si>
  <si>
    <t>Joint Operations - Legislature…………………………………………………….….……………………………………………..</t>
  </si>
  <si>
    <t>Judicial Conduct, State Commission on………………………………….……………………………………..……….……</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</si>
  <si>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</si>
  <si>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</si>
  <si>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</si>
  <si>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</si>
  <si>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</si>
  <si>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</si>
  <si>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</si>
  <si>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</si>
  <si>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</si>
  <si>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</si>
  <si>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</si>
  <si>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</si>
  <si>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</si>
  <si>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</si>
  <si>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</si>
  <si>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</si>
  <si>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</si>
  <si>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</si>
  <si>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</si>
  <si>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</si>
  <si>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</si>
  <si>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</si>
  <si>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</si>
  <si>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</si>
  <si>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</si>
  <si>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</si>
  <si>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</si>
  <si>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</si>
  <si>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</si>
  <si>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</si>
  <si>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College at Brockport…………………………………………………………………………………………………...…….…...….</t>
  </si>
  <si>
    <t>SUNY at Buffalo……………………………………………………….…………………………………………………………..……...</t>
  </si>
  <si>
    <t>Taxation and Finance, Department of…………………………………………………………………………..….……………</t>
  </si>
  <si>
    <t>10th Judicial District Nassau County…………………………………………………….………………………………...……..</t>
  </si>
  <si>
    <t>Workers' Compensation Board………………………………………..……………………………………………………...…..</t>
  </si>
  <si>
    <t xml:space="preserve">SCHEDULE OF DISBURSEMENTS OF FEDERAL AWARDS      </t>
  </si>
  <si>
    <t xml:space="preserve">AMERICAN RECOVERY AND REINVESTMENT ACT OF 2009      </t>
  </si>
  <si>
    <t>PUBLIC BENEFIT CORPORATIONS:</t>
  </si>
  <si>
    <t>Development Authority of the North Country:</t>
  </si>
  <si>
    <t>Expansion of US Army Fort Drum……………………………………………………….</t>
  </si>
  <si>
    <t>Regional Economic Development Program……………………………………………….</t>
  </si>
  <si>
    <t>New York Racing Association - Economic Development…………………..</t>
  </si>
  <si>
    <t>TOTAL LOCAL ASSISTANCE ACCOUNT.................................................................................................................</t>
  </si>
  <si>
    <t>High Risk Targeted Investment Program………………………………………</t>
  </si>
  <si>
    <t>TOTAL STATE OPERATIONS ACCOUNT.................................................................................................................................................</t>
  </si>
  <si>
    <t>TOTAL GENERAL FUND.....................................................................................................................................................</t>
  </si>
  <si>
    <t>ARRA - Emergency Contingency Fund for Temporary Assistance for Needy Families</t>
  </si>
  <si>
    <t>(TANF) State Programs………………………………...……………………………………………………………….………..</t>
  </si>
  <si>
    <t>Emerging Industry Sectors………………….………………….……………………………………………………………………….……….</t>
  </si>
  <si>
    <t>Program of Competitive Grants for Worker Training and Placement in High Growth and</t>
  </si>
  <si>
    <t>Total Education……………………………………………………………………………………………………</t>
  </si>
  <si>
    <t>ARRA - Head Start…………………………………………………………………………………………………</t>
  </si>
  <si>
    <t xml:space="preserve">     NYS GAMING COMMISSION:</t>
  </si>
  <si>
    <t xml:space="preserve">Medical Marihuana Trust </t>
  </si>
  <si>
    <t xml:space="preserve">NYS Storm Recovery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</si>
  <si>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</si>
  <si>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</si>
  <si>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</si>
  <si>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</si>
  <si>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</si>
  <si>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</si>
  <si>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</si>
  <si>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§97-lll</t>
  </si>
  <si>
    <t>New York State Commercial Gaming Revenue</t>
  </si>
  <si>
    <t>State Finance Law, §71, §72, §73, §92-h  and §92-z</t>
  </si>
  <si>
    <t>SCHEDULE 24</t>
  </si>
  <si>
    <t xml:space="preserve">SCHEDULE 25         </t>
  </si>
  <si>
    <t>SCHEDULE 28</t>
  </si>
  <si>
    <t xml:space="preserve">            SCHEDULE 29</t>
  </si>
  <si>
    <t>SCHEDULE 34</t>
  </si>
  <si>
    <t>TOTAL DEBT OUTSTANDING………………………..</t>
  </si>
  <si>
    <t>State Guaranteed Authority Debt…………………………………..</t>
  </si>
  <si>
    <t xml:space="preserve">Moral Obligation Debt…………………………………………..  </t>
  </si>
  <si>
    <t>STATE RELATED DEBT</t>
  </si>
  <si>
    <t>SUBTOTAL - STATE FUNDED DEBT…………………</t>
  </si>
  <si>
    <t>Transitional Finance Agency (TFA)…………………………..</t>
  </si>
  <si>
    <t xml:space="preserve">Sales Tax Asset Receivable Corporation (STARC)………..  </t>
  </si>
  <si>
    <t xml:space="preserve">Municipal Bond Bank Agency (MBBA)………………………….     </t>
  </si>
  <si>
    <t xml:space="preserve">Tobacco Settlement Financing Corporation………………..     </t>
  </si>
  <si>
    <t>STATE FUNDED DEBT</t>
  </si>
  <si>
    <t xml:space="preserve">SUBTOTAL - STATE SUPPORTED DEBT………...  </t>
  </si>
  <si>
    <t xml:space="preserve">  Obligation Debt……………………………………………..</t>
  </si>
  <si>
    <t xml:space="preserve">Lease/Purchase and Contractual               </t>
  </si>
  <si>
    <t>Certificates of Participation……………………………..……….</t>
  </si>
  <si>
    <t>General Obligation Debt………………………………………….</t>
  </si>
  <si>
    <t>STATE SUPPORTED DEBT</t>
  </si>
  <si>
    <t xml:space="preserve">DEBT OUTSTANDING AS OF MARCH 31 </t>
  </si>
  <si>
    <t xml:space="preserve">(*)    Population estimates are based on current information published by the US Census Bureau.  </t>
  </si>
  <si>
    <t xml:space="preserve">   Per Capita…………………………….  </t>
  </si>
  <si>
    <t xml:space="preserve">   Change from Prior Year……………...   </t>
  </si>
  <si>
    <t xml:space="preserve">   Millions of Dollars……………………..</t>
  </si>
  <si>
    <t xml:space="preserve">TOTAL STATE SUPPORTED DEBT:  </t>
  </si>
  <si>
    <t>Obligation Debt</t>
  </si>
  <si>
    <t xml:space="preserve">Lease/Purchase and Contractual     </t>
  </si>
  <si>
    <t xml:space="preserve">Certificates of Participation </t>
  </si>
  <si>
    <t>General Obligation Debt</t>
  </si>
  <si>
    <t xml:space="preserve">STATE SUPPORTED DEBT: </t>
  </si>
  <si>
    <t>SCHEDULE 21a</t>
  </si>
  <si>
    <t xml:space="preserve">STATE SUPPORTED DEBT OUTSTANDING AS OF MARCH 31 PER CAPITA (*)         </t>
  </si>
  <si>
    <t xml:space="preserve">   Per Capita……………………………………………          </t>
  </si>
  <si>
    <t xml:space="preserve">   Change from Prior Year………………………………..</t>
  </si>
  <si>
    <t xml:space="preserve">   Millions of Dollars…………………………………. </t>
  </si>
  <si>
    <t>TOTAL STATE FUNDED DEBT:</t>
  </si>
  <si>
    <t xml:space="preserve">   Per Capita……………………………………………           </t>
  </si>
  <si>
    <t xml:space="preserve">   Change from Prior Year…………………………………</t>
  </si>
  <si>
    <t xml:space="preserve">   Millions of Dollars…………………………………..  </t>
  </si>
  <si>
    <t xml:space="preserve">Transitional Finance Agency (TFA)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</si>
  <si>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</si>
  <si>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</si>
  <si>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</si>
  <si>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</si>
  <si>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</si>
  <si>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</si>
  <si>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</si>
  <si>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</si>
  <si>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</si>
  <si>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</si>
  <si>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</si>
  <si>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SCHEDULE 21b</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</si>
  <si>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</si>
  <si>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</si>
  <si>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</si>
  <si>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</si>
  <si>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</si>
  <si>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</si>
  <si>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</si>
  <si>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</si>
  <si>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</si>
  <si>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</si>
  <si>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</si>
  <si>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</si>
  <si>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</si>
  <si>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</si>
  <si>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</si>
  <si>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</si>
  <si>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</si>
  <si>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</si>
  <si>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SCHEDULE 21c</t>
  </si>
  <si>
    <t xml:space="preserve">STATE RELATED DEBT OBLIGATIONS OUTSTANDING AS OF MARCH 31 PER CAPITA (*)      </t>
  </si>
  <si>
    <t>Schedule 21a</t>
  </si>
  <si>
    <t>Schedule 21b</t>
  </si>
  <si>
    <t>Schedule 21c</t>
  </si>
  <si>
    <t>Schedule 34</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</si>
  <si>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</si>
  <si>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</si>
  <si>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</si>
  <si>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</si>
  <si>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</si>
  <si>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</si>
  <si>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</si>
  <si>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</si>
  <si>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</si>
  <si>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</si>
  <si>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</si>
  <si>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</si>
  <si>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r>
      <t>Smart Schools Bond Act</t>
    </r>
    <r>
      <rPr>
        <sz val="12"/>
        <rFont val="Arial"/>
        <family val="2"/>
      </rPr>
      <t xml:space="preserve">…………………………….……………... </t>
    </r>
  </si>
  <si>
    <r>
      <t>Smart Schools Bond Act</t>
    </r>
    <r>
      <rPr>
        <sz val="12"/>
        <rFont val="Arial"/>
        <family val="2"/>
      </rPr>
      <t>……………………………………….…………</t>
    </r>
  </si>
  <si>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</si>
  <si>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</si>
  <si>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</si>
  <si>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</si>
  <si>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</si>
  <si>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</si>
  <si>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</si>
  <si>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</si>
  <si>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</si>
  <si>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</si>
  <si>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COMBINED STATEMENT OF RECEIPTS AND OTHER FINANCING RESOURCES   </t>
  </si>
  <si>
    <r>
      <t xml:space="preserve">     Improvements of the Nineties (ACTION) </t>
    </r>
    <r>
      <rPr>
        <sz val="12"/>
        <rFont val="Arial"/>
        <family val="2"/>
      </rPr>
      <t>..................................</t>
    </r>
  </si>
  <si>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</si>
  <si>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</si>
  <si>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</si>
  <si>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</si>
  <si>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</si>
  <si>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</si>
  <si>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</si>
  <si>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</si>
  <si>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</si>
  <si>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</si>
  <si>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</si>
  <si>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</si>
  <si>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</si>
  <si>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</si>
  <si>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</si>
  <si>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State supported debt includes certificates of participation (COPS), capital leases for State facilities, and debt as defined in State Finance Law 67-a, where the State is constitutionally obligated to pay debt service to bondholders or where it is contractually obligated to pay money to public authorities to enable it to make payments on its outstanding bonds.</t>
  </si>
  <si>
    <r>
      <t>State funded debt obligations include all state-supported debt from Schedule 21a,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Agency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future tobacco settlement payments, contingent debt service appropriations or SUNY dormitory rental income</t>
    </r>
    <r>
      <rPr>
        <sz val="12"/>
        <rFont val="Arial"/>
        <family val="2"/>
      </rPr>
      <t>.</t>
    </r>
  </si>
  <si>
    <t>TOTAL STATE RELATED DEBT:</t>
  </si>
  <si>
    <t xml:space="preserve">State related debt obligations include all state funded debt from Schedule 21b,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</si>
  <si>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 xml:space="preserve">  School Tax Relief (STAR)…………………………………………</t>
  </si>
  <si>
    <r>
      <t>Smart Schools Bond Act</t>
    </r>
    <r>
      <rPr>
        <sz val="12"/>
        <rFont val="Arial"/>
        <family val="2"/>
      </rPr>
      <t>..................................................................................................................................</t>
    </r>
  </si>
  <si>
    <t>Lieutenant Governor ……………………………...…...…………………………..</t>
  </si>
  <si>
    <t xml:space="preserve">    Housing Finance Agency………………………………………………………………………………………………………………………………………………….</t>
  </si>
  <si>
    <t xml:space="preserve">    Dormitory Authority.………………………………………………………………………………………………………………………..</t>
  </si>
  <si>
    <t xml:space="preserve">    City University of New York.……………………………………………………………………………………</t>
  </si>
  <si>
    <t>All Other..................................................................................................</t>
  </si>
  <si>
    <t>Queens Facility Wide………………………………………….…………………………..</t>
  </si>
  <si>
    <t>Food and Nutrition Services</t>
  </si>
  <si>
    <t xml:space="preserve">COMBINING STATEMENT OF SELECTED DEPARTMENTAL DISBURSEMENTS        </t>
  </si>
  <si>
    <t xml:space="preserve">Regulate Business    </t>
  </si>
  <si>
    <r>
      <t xml:space="preserve">Park and Recreation Land Acquisition </t>
    </r>
    <r>
      <rPr>
        <sz val="12"/>
        <rFont val="Arial"/>
        <family val="2"/>
      </rPr>
      <t>....................................................................................................................................</t>
    </r>
  </si>
  <si>
    <r>
      <t xml:space="preserve">Outdoor Recreation Development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</si>
  <si>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</si>
  <si>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</si>
  <si>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FISCAL YEAR ENDED MARCH 31, 2016</t>
  </si>
  <si>
    <t xml:space="preserve"> 2015-16</t>
  </si>
  <si>
    <t xml:space="preserve"> MARCH 31, 2016</t>
  </si>
  <si>
    <t xml:space="preserve">FISCAL YEAR ENDED MARCH 31, 2016  </t>
  </si>
  <si>
    <t xml:space="preserve">FISCAL YEARS 2006-07 THRU 2015-16    </t>
  </si>
  <si>
    <t xml:space="preserve">FISCAL YEARS 2006-07 THRU 2015-16     </t>
  </si>
  <si>
    <t>FISCAL YEARS 2006-07 THRU 2015-16</t>
  </si>
  <si>
    <t>MARCH 31, 2016</t>
  </si>
  <si>
    <t>APRIL 1, 2015</t>
  </si>
  <si>
    <t xml:space="preserve">FISCAL YEARS 2006-07 THRU 2015-16  </t>
  </si>
  <si>
    <t xml:space="preserve">FISCAL YEARS 2006-07 THRU 2015-16 </t>
  </si>
  <si>
    <t>AS OF MARCH 31, 2016</t>
  </si>
  <si>
    <t>CHANGE FROM 2006-07 TO 2015-16</t>
  </si>
  <si>
    <t xml:space="preserve">FISCAL YEAR ENDED MARCH 31, 2016   </t>
  </si>
  <si>
    <t>Governmental Funds - Schedule of Tax Receipts: Fiscal Years 2006-07 thru 2015-16</t>
  </si>
  <si>
    <t>Governmental Funds - State Tax Receipts per Capita: Fiscal Years 2006-07 thru 2015-16</t>
  </si>
  <si>
    <t>Governmental Funds - Schedule of Receipts, Disbursements and Other Financing Sources (Uses):  Fiscal Years 2006-07 thru 2015-16</t>
  </si>
  <si>
    <t>Fiscal Years 2006-07 thru 2015-16</t>
  </si>
  <si>
    <t>General Obligation Debt - Principal and Interest Payments: Fiscal Years 2006-07 thru 2015-16</t>
  </si>
  <si>
    <t>State Debt Outstanding as of March 31: Fiscal Years 2006-07 thru 2015-16</t>
  </si>
  <si>
    <t>State Supported Debt Outstanding as of March 31 Per Capita: Fiscal Years 2006-07 thru 2015-16</t>
  </si>
  <si>
    <t>State Funded Debt Obligations Outstanding as of March 31 Per Capita: Fiscal Years 2006-07 thru 2015-16</t>
  </si>
  <si>
    <t>State Related Debt Obligations Outstanding as of March 31 Per Capita: Fiscal Years 2006-07 thru 2015-16</t>
  </si>
  <si>
    <t>Tax Stabilization Reserve Account - Statement of Net Cash Transactions: Fiscal Years 1945-46 thru 2015-16</t>
  </si>
  <si>
    <t>Short-Term Investment Pool: Fiscal Years 2006-07 thru 2015-16</t>
  </si>
  <si>
    <t>Temporary Loans Outstanding: Fiscal Years 2006-07 thru 2015-16</t>
  </si>
  <si>
    <t>Temporary Loans Outstanding as of March 31, 2016</t>
  </si>
  <si>
    <t>Environmental Quality (1972):</t>
  </si>
  <si>
    <t xml:space="preserve">          Land Acquisition/Development/Restoration/Forests....................................................................................................................................</t>
  </si>
  <si>
    <t xml:space="preserve">FISCAL YEAR ENDED MARCH 31, 2016                         </t>
  </si>
  <si>
    <t xml:space="preserve">FISCAL YEAR ENDED MARCH 31, 2016     </t>
  </si>
  <si>
    <t>FISCAL YEARS 1945-46 THRU 2015-16</t>
  </si>
  <si>
    <t>33050-33099</t>
  </si>
  <si>
    <t>Dedicated Infrastructure Investment Fund</t>
  </si>
  <si>
    <t>State Finance Law, §93-b</t>
  </si>
  <si>
    <t xml:space="preserve">FISCAL YEAR ENDED MARCH 31, 2016           </t>
  </si>
  <si>
    <t xml:space="preserve">FISCAL YEAR ENDED MARCH 31, 2016          </t>
  </si>
  <si>
    <t xml:space="preserve">FISCAL YEAR ENDED MARCH 31, 2016                  </t>
  </si>
  <si>
    <t xml:space="preserve">FISCAL YEAR ENDED MARCH 31, 2016                               </t>
  </si>
  <si>
    <t>NYS Gaming Commission ……………………………...…...…………………</t>
  </si>
  <si>
    <t xml:space="preserve">   New York State Thruway Authority..…………………………….</t>
  </si>
  <si>
    <t xml:space="preserve">      2016…………………………………………………………………….</t>
  </si>
  <si>
    <t xml:space="preserve">       1987…………………………………………………………………………………………………..</t>
  </si>
  <si>
    <t xml:space="preserve">       be repaid within six years in at least three equal annual installments.  As of March 31, 2016, there are no loans outstanding.   </t>
  </si>
  <si>
    <t xml:space="preserve">  Investment..............................................................................................</t>
  </si>
  <si>
    <t xml:space="preserve">        Audit.........................................................................................</t>
  </si>
  <si>
    <t xml:space="preserve">  Investments...................................................................................................</t>
  </si>
  <si>
    <t>2015-2016 MONTHLY RESULTS</t>
  </si>
  <si>
    <t xml:space="preserve">     change in market conditions over the past year, actual earnings are decreased by $790,822 due to the effect of the Linked Deposit and Banking Development District programs.</t>
  </si>
  <si>
    <t xml:space="preserve">      branches in areas where there is a demonstrated need for banking services.  Actual earnings are decreased by $790,822 to include earnings lost from the Linked Deposit </t>
  </si>
  <si>
    <t>MEDICAL</t>
  </si>
  <si>
    <t>TRUST</t>
  </si>
  <si>
    <t>(23750-23799)</t>
  </si>
  <si>
    <t>IT CAPITAL FINANCING ACCT …………………………………………….</t>
  </si>
  <si>
    <t>Temporary Loans are authorized pursuant to Subdivision 5 of Section 4 of the State Finance Law and Chapter 60, Part I, Section 1 and 1A, of the Laws of 2015-16.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</si>
  <si>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Temporary Loans are authorized pursuant to Subdivision 5 of Section 4 of the State Finance Law and Chapter 60, Part I, Section 1 and 1A, of the Laws of 2015-16.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In some cases, actual revenues are not sufficient to repay all loans made to the fund and a transfer from the General Fund "Repayment of Receivables" appropriation is approved by the Budget Director. </t>
  </si>
  <si>
    <t xml:space="preserve">FISCAL YEAR ENDED MARCH 31, 2016       </t>
  </si>
  <si>
    <t>Board of Elections………………………………….………………….……..………………..</t>
  </si>
  <si>
    <t>Eastern Correctional Facility…………………………………………………………..…………………………………………..…</t>
  </si>
  <si>
    <t xml:space="preserve">FISCAL YEAR ENDED MARCH 31, 2016      </t>
  </si>
  <si>
    <t xml:space="preserve">FISCAL YEAR ENDED MARCH 31, 2016    </t>
  </si>
  <si>
    <t>2nd Judicial District Kings County………………………………………………………..</t>
  </si>
  <si>
    <t>Note to users: This Excel file contains formulas.</t>
  </si>
  <si>
    <t>BUDGET PERIOD ENDED MARCH 31, 2016</t>
  </si>
  <si>
    <t>2015 LEGISLATIVE</t>
  </si>
  <si>
    <t>2015 LEGISLATURE</t>
  </si>
  <si>
    <t>TRANSFERS (*)</t>
  </si>
  <si>
    <t>ACTIONS (**)</t>
  </si>
  <si>
    <t xml:space="preserve">    Special Emergency......................................................................................</t>
  </si>
  <si>
    <t>FISCAL YEARS 2008-09 THRU 2015-16</t>
  </si>
  <si>
    <t xml:space="preserve">FISCAL YEARS 2008-09 THRU 2015-16      </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</si>
  <si>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</si>
  <si>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</si>
  <si>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</si>
  <si>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</si>
  <si>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</si>
  <si>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</si>
  <si>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</si>
  <si>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</si>
  <si>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Veterans' Affairs, Division of………………………………………………………………………………………………………………..</t>
  </si>
  <si>
    <t>Elections, Board of…………………………………………………………………………………………………………………………………………………………………………..</t>
  </si>
  <si>
    <t>Lake George Park Commission…………………………………………………………………………………………………………………………………………………………….</t>
  </si>
  <si>
    <t>Public Benefit Corporations…………………………………………………………………………………………………</t>
  </si>
  <si>
    <t>Unified Court System…………………………………………………………………………………………………………………………………………………………………………………………………………………………………..</t>
  </si>
  <si>
    <t>City University Construction Fund………………………………………………………………………………</t>
  </si>
  <si>
    <t>State University of New York…………………………………………………………………………………………</t>
  </si>
  <si>
    <t>Correctional Services, Department of (Corcraft)………………………………………………………..</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</si>
  <si>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</si>
  <si>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</si>
  <si>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</si>
  <si>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</si>
  <si>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Office for People with Developmental Disabilities……………………………………………</t>
  </si>
  <si>
    <t>National and Community Service ……………………………………</t>
  </si>
  <si>
    <t xml:space="preserve">Safety </t>
  </si>
  <si>
    <t xml:space="preserve">Government </t>
  </si>
  <si>
    <t xml:space="preserve">    Fish and Game</t>
  </si>
  <si>
    <t>Other Funds (*)</t>
  </si>
  <si>
    <t xml:space="preserve">   Fish and Game..........................................………….</t>
  </si>
  <si>
    <t>March 31, 2021</t>
  </si>
  <si>
    <t xml:space="preserve">Secured Hospital Debt - Contingent </t>
  </si>
  <si>
    <t xml:space="preserve">Secured Hospital Debt - Contingent…………………………………….. </t>
  </si>
  <si>
    <t xml:space="preserve">                   Total Transportation Purposes (excluding MTA)...............................................................................................................................</t>
  </si>
  <si>
    <t>American Recovery and Reinvestment Act of 2009: Fiscal Years 2008-09 thru 2015-16</t>
  </si>
  <si>
    <t>MARIHUANA</t>
  </si>
  <si>
    <t xml:space="preserve">AS OF MARCH 31, 2016    </t>
  </si>
  <si>
    <t>LOCAL ASSISTANCE DISBURSEMENTS BY PROGRAM</t>
  </si>
  <si>
    <t>Governmental Funds - Local Assistance Disbursements by Program</t>
  </si>
  <si>
    <t xml:space="preserve">        Medical Marihuana……...................................................</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</si>
  <si>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</si>
  <si>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</si>
  <si>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</si>
  <si>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</si>
  <si>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</si>
  <si>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</si>
  <si>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</si>
  <si>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</si>
  <si>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 Other Funds now includes the Fish and Game investment.</t>
  </si>
  <si>
    <t>Department of Agriculture and Markets..............................................................................</t>
  </si>
  <si>
    <t>Department of Agriculture and Markets ......................................................................................</t>
  </si>
  <si>
    <t>Department of Agriculture and Markets.........................................................................................................</t>
  </si>
  <si>
    <t>Department of Agriculture and Markets……………………………………………….</t>
  </si>
  <si>
    <t xml:space="preserve">TAX STABILIZATION RESERVE FUND </t>
  </si>
  <si>
    <t>CENTRALIZED SERVICES - INTERAGENCY MAIL &amp; MESSENGER COURIER SERVICE………………………………………………………………………………………….</t>
  </si>
  <si>
    <t xml:space="preserve">REPORT OF INVESTMENT YIELDS, PORTFOLIO BALANCES AND INTEREST EARNINGS     </t>
  </si>
  <si>
    <r>
      <t>Other Funds</t>
    </r>
    <r>
      <rPr>
        <vertAlign val="superscript"/>
        <sz val="12"/>
        <rFont val="Arial"/>
        <family val="2"/>
      </rPr>
      <t xml:space="preserve"> (**)</t>
    </r>
    <r>
      <rPr>
        <sz val="12"/>
        <rFont val="Arial"/>
        <family val="2"/>
      </rPr>
      <t>:</t>
    </r>
  </si>
  <si>
    <t>-</t>
  </si>
  <si>
    <t xml:space="preserve"> Medical Marihuana.........................................................</t>
  </si>
  <si>
    <t xml:space="preserve">        Medical Marihuana ...........................................................</t>
  </si>
  <si>
    <t xml:space="preserve">     Medical Marihuana ....................................................…</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</si>
  <si>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</si>
  <si>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</si>
  <si>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</si>
  <si>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</si>
  <si>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</si>
  <si>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Beginning Fund Balances............................................................................</t>
  </si>
  <si>
    <t xml:space="preserve">       Total Local Assistance Grants…………..………………………………</t>
  </si>
  <si>
    <r>
      <t xml:space="preserve">Agreements </t>
    </r>
    <r>
      <rPr>
        <b/>
        <vertAlign val="superscript"/>
        <sz val="12"/>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</si>
</sst>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0"/>
    <numFmt numFmtId="173" formatCode="[$-409]mmmm\ d\,\ yyyy;@"/>
    <numFmt numFmtId="174" formatCode="[$$-409]#,##0"/>
    <numFmt numFmtId="175" formatCode="0.000%"/>
    <numFmt numFmtId="176" formatCode="&quot;$&quot;#,##0"/>
    <numFmt numFmtId="177" formatCode="#,##0.0_);\(#,##0.0\)"/>
    <numFmt numFmtId="178" formatCode="0_);\(0\)"/>
    <numFmt numFmtId="179" formatCode="_(&quot;$&quot;* #,##0_);_(&quot;$&quot;* \(#,##0\);_(&quot;$&quot;* &quot;-&quot;??_);_(@_)"/>
    <numFmt numFmtId="180" formatCode="_(&quot;$&quot;* #,##0.00_);_(&quot;$&quot;* \(#,##0.00\);_(&quot;$&quot;* &quot;-&quot;_);_(@_)"/>
    <numFmt numFmtId="181" formatCode="_(* #,##0_);_(* \(#,##0\);_(* &quot;-&quot;??_);_(@_)"/>
    <numFmt numFmtId="182" formatCode="0.000"/>
    <numFmt numFmtId="183" formatCode="&quot;$&quot;#,##0.00"/>
    <numFmt numFmtId="184" formatCode="#,##0.000"/>
    <numFmt numFmtId="185" formatCode="&quot;$&quot;#,##0.0"/>
    <numFmt numFmtId="186" formatCode="_(&quot;$&quot;* #,##0.000_);_(&quot;$&quot;* \(#,##0.000\);_(&quot;$&quot;* &quot;-&quot;???_);_(@_)"/>
    <numFmt numFmtId="187" formatCode="#,##0.000_);\(#,##0.000\)"/>
    <numFmt numFmtId="188" formatCode="&quot;$&quot;#,##0.000_);\(&quot;$&quot;#,##0.000\)"/>
    <numFmt numFmtId="189" formatCode="_(* #,##0.000_);_(* \(#,##0.000\);_(* &quot;-&quot;???_);_(@_)"/>
    <numFmt numFmtId="190" formatCode="&quot;$&quot;#,##0.000"/>
    <numFmt numFmtId="191" formatCode="_(&quot;$&quot;* #,##0.0_);_(&quot;$&quot;* \(#,##0.0\);_(&quot;$&quot;* &quot;-&quot;?_);_(@_)"/>
    <numFmt numFmtId="192" formatCode="&quot;$&quot;#,##0.0;[Red]&quot;$&quot;#,##0.0"/>
    <numFmt numFmtId="193" formatCode="[$$-409]#,##0.00"/>
    <numFmt numFmtId="194" formatCode="_([$$-409]* #,##0.00_);_([$$-409]* \(#,##0.00\);_([$$-409]* &quot;-&quot;??_);_(@_)"/>
    <numFmt numFmtId="195" formatCode="mm/dd/yy;@"/>
    <numFmt numFmtId="196" formatCode="0.0%"/>
    <numFmt numFmtId="197" formatCode="_(* #,##0.00_);_(* \(#,##0.00\);_(* &quot;-&quot;_);_(@_)"/>
  </numFmts>
  <fonts count="149" x14ac:knownFonts="1">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b/>
      <u/>
      <sz val="12"/>
      <color indexed="8"/>
      <name val="Arial"/>
      <family val="2"/>
    </font>
    <font>
      <sz val="12"/>
      <color indexed="9"/>
      <name val="Arial"/>
      <family val="2"/>
    </font>
    <font>
      <b/>
      <sz val="12"/>
      <color indexed="9"/>
      <name val="Arial"/>
      <family val="2"/>
    </font>
    <font>
      <u/>
      <sz val="12"/>
      <color indexed="8"/>
      <name val="Arial"/>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sz val="16"/>
      <name val="SWISS"/>
    </font>
    <font>
      <b/>
      <sz val="16"/>
      <color indexed="8"/>
      <name val="Arial"/>
      <family val="2"/>
    </font>
    <font>
      <b/>
      <sz val="18"/>
      <color indexed="8"/>
      <name val="Arial"/>
      <family val="2"/>
    </font>
    <font>
      <sz val="18"/>
      <name val="SWISS"/>
    </font>
    <font>
      <sz val="18"/>
      <color indexed="8"/>
      <name val="Arial"/>
      <family val="2"/>
    </font>
    <font>
      <sz val="16"/>
      <color indexed="8"/>
      <name val="Arial"/>
      <family val="2"/>
    </font>
    <font>
      <b/>
      <sz val="15"/>
      <color indexed="8"/>
      <name val="Arial"/>
      <family val="2"/>
    </font>
    <font>
      <sz val="15"/>
      <name val="SWISS"/>
    </font>
    <font>
      <b/>
      <sz val="11"/>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sz val="14.5"/>
      <name val="Arial"/>
      <family val="2"/>
    </font>
    <font>
      <vertAlign val="superscript"/>
      <sz val="12"/>
      <name val="Arial"/>
      <family val="2"/>
    </font>
    <font>
      <b/>
      <vertAlign val="superscript"/>
      <sz val="12"/>
      <name val="Arial"/>
      <family val="2"/>
    </font>
  </fonts>
  <fills count="3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rgb="FFFFFF0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auto="1"/>
      </bottom>
      <diagonal/>
    </border>
    <border>
      <left/>
      <right/>
      <top/>
      <bottom style="double">
        <color auto="1"/>
      </bottom>
      <diagonal/>
    </border>
    <border>
      <left/>
      <right/>
      <top style="thin">
        <color auto="1"/>
      </top>
      <bottom style="double">
        <color auto="1"/>
      </bottom>
      <diagonal/>
    </border>
    <border>
      <left/>
      <right style="thin">
        <color auto="1"/>
      </right>
      <top/>
      <bottom/>
      <diagonal/>
    </border>
    <border>
      <left style="thin">
        <color auto="1"/>
      </left>
      <right/>
      <top/>
      <bottom/>
      <diagonal/>
    </border>
    <border>
      <left/>
      <right/>
      <top style="thin">
        <color auto="1"/>
      </top>
      <bottom/>
      <diagonal/>
    </border>
    <border>
      <left/>
      <right/>
      <top style="thin">
        <color indexed="8"/>
      </top>
      <bottom style="double">
        <color auto="1"/>
      </bottom>
      <diagonal/>
    </border>
    <border>
      <left/>
      <right/>
      <top/>
      <bottom style="medium">
        <color auto="1"/>
      </bottom>
      <diagonal/>
    </border>
    <border>
      <left style="thin">
        <color auto="1"/>
      </left>
      <right style="thin">
        <color auto="1"/>
      </right>
      <top/>
      <bottom/>
      <diagonal/>
    </border>
    <border>
      <left/>
      <right/>
      <top style="thin">
        <color auto="1"/>
      </top>
      <bottom/>
      <diagonal/>
    </border>
    <border>
      <left/>
      <right/>
      <top style="double">
        <color auto="1"/>
      </top>
      <bottom/>
      <diagonal/>
    </border>
    <border>
      <left style="thin">
        <color auto="1"/>
      </left>
      <right style="thin">
        <color auto="1"/>
      </right>
      <top style="thin">
        <color auto="1"/>
      </top>
      <bottom style="thin">
        <color auto="1"/>
      </bottom>
      <diagonal/>
    </border>
    <border>
      <left/>
      <right/>
      <top style="thin">
        <color indexed="8"/>
      </top>
      <bottom style="double">
        <color indexed="8"/>
      </bottom>
      <diagonal/>
    </border>
    <border>
      <left/>
      <right/>
      <top style="thin">
        <color auto="1"/>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s>
  <cellStyleXfs count="60913">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170" fontId="44" fillId="0" borderId="0" applyFont="0" applyFill="0" applyBorder="0" applyAlignment="0" applyProtection="0"/>
    <xf numFmtId="0" fontId="5" fillId="0" borderId="0"/>
    <xf numFmtId="170" fontId="35" fillId="0" borderId="0" applyFont="0" applyFill="0" applyBorder="0" applyAlignment="0" applyProtection="0"/>
    <xf numFmtId="170"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4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44"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44"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170" fontId="36" fillId="0" borderId="0" applyFont="0" applyFill="0" applyBorder="0" applyAlignment="0" applyProtection="0"/>
    <xf numFmtId="0" fontId="45" fillId="0" borderId="0"/>
    <xf numFmtId="170"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47"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171" fontId="51" fillId="0" borderId="0" applyFont="0" applyFill="0" applyBorder="0" applyAlignment="0" applyProtection="0"/>
    <xf numFmtId="170"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171" fontId="35" fillId="0" borderId="0" applyFont="0" applyFill="0" applyBorder="0" applyAlignment="0" applyProtection="0"/>
    <xf numFmtId="0" fontId="65" fillId="0" borderId="0" applyNumberFormat="0" applyFill="0" applyBorder="0" applyAlignment="0" applyProtection="0">
      <alignment vertical="top"/>
      <protection locked="0"/>
    </xf>
    <xf numFmtId="9" fontId="35" fillId="0" borderId="0" applyFont="0" applyFill="0" applyBorder="0" applyAlignment="0" applyProtection="0"/>
    <xf numFmtId="3" fontId="66" fillId="0" borderId="0">
      <alignment horizontal="right"/>
      <protection locked="0"/>
    </xf>
    <xf numFmtId="0" fontId="67" fillId="0" borderId="0">
      <alignment horizontal="left"/>
      <protection locked="0"/>
    </xf>
    <xf numFmtId="3" fontId="66" fillId="0" borderId="5">
      <alignment horizontal="right"/>
      <protection locked="0"/>
    </xf>
    <xf numFmtId="0" fontId="66" fillId="0" borderId="0">
      <alignment horizontal="left"/>
    </xf>
    <xf numFmtId="0" fontId="68" fillId="17" borderId="0"/>
    <xf numFmtId="0" fontId="68" fillId="17" borderId="0"/>
    <xf numFmtId="0" fontId="68" fillId="17" borderId="0"/>
    <xf numFmtId="0" fontId="68" fillId="17" borderId="0"/>
    <xf numFmtId="0" fontId="68" fillId="17" borderId="0"/>
    <xf numFmtId="0" fontId="68" fillId="17" borderId="0"/>
    <xf numFmtId="0" fontId="68" fillId="17" borderId="0"/>
    <xf numFmtId="0" fontId="68" fillId="17" borderId="0"/>
    <xf numFmtId="183" fontId="26" fillId="0" borderId="0" applyFill="0"/>
    <xf numFmtId="183" fontId="26" fillId="0" borderId="0">
      <alignment horizontal="center"/>
    </xf>
    <xf numFmtId="0" fontId="26" fillId="0" borderId="0" applyFill="0">
      <alignment horizontal="center"/>
    </xf>
    <xf numFmtId="183" fontId="10" fillId="0" borderId="18" applyFill="0"/>
    <xf numFmtId="0" fontId="8" fillId="0" borderId="0" applyFont="0" applyAlignment="0"/>
    <xf numFmtId="0" fontId="71" fillId="0" borderId="0" applyFill="0">
      <alignment vertical="top"/>
    </xf>
    <xf numFmtId="0" fontId="10" fillId="0" borderId="0" applyFill="0">
      <alignment horizontal="left" vertical="top"/>
    </xf>
    <xf numFmtId="183" fontId="19" fillId="0" borderId="17" applyFill="0"/>
    <xf numFmtId="0" fontId="8" fillId="0" borderId="0" applyNumberFormat="0" applyFont="0" applyAlignment="0"/>
    <xf numFmtId="0" fontId="71" fillId="0" borderId="0" applyFill="0">
      <alignment wrapText="1"/>
    </xf>
    <xf numFmtId="0" fontId="10" fillId="0" borderId="0" applyFill="0">
      <alignment horizontal="left" vertical="top" wrapText="1"/>
    </xf>
    <xf numFmtId="183" fontId="72" fillId="0" borderId="0" applyFill="0"/>
    <xf numFmtId="0" fontId="73" fillId="0" borderId="0" applyNumberFormat="0" applyFont="0" applyAlignment="0">
      <alignment horizontal="center"/>
    </xf>
    <xf numFmtId="0" fontId="74" fillId="0" borderId="0" applyFill="0">
      <alignment vertical="top" wrapText="1"/>
    </xf>
    <xf numFmtId="0" fontId="19" fillId="0" borderId="0" applyFill="0">
      <alignment horizontal="left" vertical="top" wrapText="1"/>
    </xf>
    <xf numFmtId="183" fontId="8" fillId="0" borderId="0" applyFill="0"/>
    <xf numFmtId="0" fontId="73" fillId="0" borderId="0" applyNumberFormat="0" applyFont="0" applyAlignment="0">
      <alignment horizontal="center"/>
    </xf>
    <xf numFmtId="0" fontId="75" fillId="0" borderId="0" applyFill="0">
      <alignment vertical="center" wrapText="1"/>
    </xf>
    <xf numFmtId="0" fontId="5" fillId="0" borderId="0">
      <alignment horizontal="left" vertical="center" wrapText="1"/>
    </xf>
    <xf numFmtId="183" fontId="76" fillId="0" borderId="0" applyFill="0"/>
    <xf numFmtId="0" fontId="73" fillId="0" borderId="0" applyNumberFormat="0" applyFont="0" applyAlignment="0">
      <alignment horizontal="center"/>
    </xf>
    <xf numFmtId="0" fontId="77" fillId="0" borderId="0" applyFill="0">
      <alignment horizontal="center" vertical="center" wrapText="1"/>
    </xf>
    <xf numFmtId="0" fontId="8" fillId="0" borderId="0" applyFill="0">
      <alignment horizontal="center" vertical="center" wrapText="1"/>
    </xf>
    <xf numFmtId="183" fontId="78" fillId="0" borderId="0" applyFill="0"/>
    <xf numFmtId="0" fontId="73" fillId="0" borderId="0" applyNumberFormat="0" applyFont="0" applyAlignment="0">
      <alignment horizontal="center"/>
    </xf>
    <xf numFmtId="0" fontId="79" fillId="0" borderId="0" applyFill="0">
      <alignment horizontal="center" vertical="center" wrapText="1"/>
    </xf>
    <xf numFmtId="0" fontId="80" fillId="0" borderId="0" applyFill="0">
      <alignment horizontal="center" vertical="center" wrapText="1"/>
    </xf>
    <xf numFmtId="183" fontId="81" fillId="0" borderId="0" applyFill="0"/>
    <xf numFmtId="0" fontId="73" fillId="0" borderId="0" applyNumberFormat="0" applyFont="0" applyAlignment="0">
      <alignment horizontal="center"/>
    </xf>
    <xf numFmtId="0" fontId="82" fillId="0" borderId="0">
      <alignment horizontal="center" wrapText="1"/>
    </xf>
    <xf numFmtId="0" fontId="78" fillId="0" borderId="0" applyFill="0">
      <alignment horizontal="center" wrapText="1"/>
    </xf>
    <xf numFmtId="4" fontId="26" fillId="19" borderId="0" applyFill="0"/>
    <xf numFmtId="0" fontId="83" fillId="0" borderId="0">
      <alignment horizontal="left" indent="7"/>
    </xf>
    <xf numFmtId="0" fontId="26" fillId="0" borderId="0" applyFill="0">
      <alignment horizontal="left" indent="7"/>
    </xf>
    <xf numFmtId="183" fontId="84" fillId="0" borderId="2" applyFill="0">
      <alignment horizontal="right"/>
    </xf>
    <xf numFmtId="0" fontId="7" fillId="0" borderId="19" applyNumberFormat="0" applyFont="0" applyBorder="0">
      <alignment horizontal="right"/>
    </xf>
    <xf numFmtId="0" fontId="85" fillId="0" borderId="0" applyFill="0"/>
    <xf numFmtId="0" fontId="19" fillId="0" borderId="0" applyFill="0"/>
    <xf numFmtId="4" fontId="84"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4" fillId="0" borderId="0" applyFill="0">
      <alignment horizontal="left" indent="1"/>
    </xf>
    <xf numFmtId="0" fontId="86" fillId="0" borderId="0" applyFill="0">
      <alignment horizontal="left" indent="1"/>
    </xf>
    <xf numFmtId="4" fontId="76" fillId="0" borderId="0" applyFill="0"/>
    <xf numFmtId="0" fontId="8" fillId="0" borderId="0" applyNumberFormat="0" applyFont="0" applyFill="0" applyBorder="0" applyAlignment="0"/>
    <xf numFmtId="0" fontId="74" fillId="0" borderId="0" applyFill="0">
      <alignment horizontal="left" indent="2"/>
    </xf>
    <xf numFmtId="0" fontId="19" fillId="0" borderId="0" applyFill="0">
      <alignment horizontal="left" indent="2"/>
    </xf>
    <xf numFmtId="4" fontId="76" fillId="0" borderId="0" applyFill="0"/>
    <xf numFmtId="0" fontId="8" fillId="0" borderId="0" applyNumberFormat="0" applyFont="0" applyBorder="0" applyAlignment="0"/>
    <xf numFmtId="0" fontId="87" fillId="0" borderId="0">
      <alignment horizontal="left" indent="3"/>
    </xf>
    <xf numFmtId="0" fontId="34" fillId="0" borderId="0" applyFill="0">
      <alignment horizontal="left" indent="3"/>
    </xf>
    <xf numFmtId="4" fontId="76" fillId="0" borderId="0" applyFill="0"/>
    <xf numFmtId="0" fontId="8" fillId="0" borderId="0" applyNumberFormat="0" applyFont="0" applyBorder="0" applyAlignment="0"/>
    <xf numFmtId="0" fontId="77" fillId="0" borderId="0">
      <alignment horizontal="left" indent="4"/>
    </xf>
    <xf numFmtId="0" fontId="8" fillId="0" borderId="0" applyFill="0">
      <alignment horizontal="left" indent="4"/>
    </xf>
    <xf numFmtId="4" fontId="78" fillId="0" borderId="0" applyFill="0"/>
    <xf numFmtId="0" fontId="8" fillId="0" borderId="0" applyNumberFormat="0" applyFont="0" applyBorder="0" applyAlignment="0"/>
    <xf numFmtId="0" fontId="79" fillId="0" borderId="0">
      <alignment horizontal="left" indent="5"/>
    </xf>
    <xf numFmtId="0" fontId="80" fillId="0" borderId="0" applyFill="0">
      <alignment horizontal="left" indent="5"/>
    </xf>
    <xf numFmtId="4" fontId="81" fillId="0" borderId="0" applyFill="0"/>
    <xf numFmtId="0" fontId="8" fillId="0" borderId="0" applyNumberFormat="0" applyFont="0" applyFill="0" applyBorder="0" applyAlignment="0"/>
    <xf numFmtId="0" fontId="82" fillId="0" borderId="0" applyFill="0">
      <alignment horizontal="left" indent="6"/>
    </xf>
    <xf numFmtId="0" fontId="78" fillId="0" borderId="0" applyFill="0">
      <alignment horizontal="left" indent="6"/>
    </xf>
    <xf numFmtId="0" fontId="5" fillId="0" borderId="0"/>
    <xf numFmtId="171" fontId="8" fillId="0" borderId="0" applyFont="0" applyFill="0" applyBorder="0" applyAlignment="0" applyProtection="0"/>
    <xf numFmtId="0" fontId="5" fillId="0" borderId="0"/>
    <xf numFmtId="185" fontId="5" fillId="0" borderId="0"/>
    <xf numFmtId="3" fontId="9" fillId="0" borderId="0"/>
    <xf numFmtId="0" fontId="97" fillId="0" borderId="0"/>
    <xf numFmtId="171" fontId="5" fillId="0" borderId="0" applyFont="0" applyFill="0" applyBorder="0" applyAlignment="0" applyProtection="0"/>
    <xf numFmtId="171" fontId="3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xf numFmtId="0" fontId="5" fillId="0" borderId="0"/>
    <xf numFmtId="0" fontId="112" fillId="0" borderId="0"/>
    <xf numFmtId="196" fontId="5" fillId="0" borderId="0"/>
    <xf numFmtId="0" fontId="115" fillId="0" borderId="0"/>
    <xf numFmtId="0" fontId="116" fillId="0" borderId="0"/>
    <xf numFmtId="0" fontId="118" fillId="0" borderId="0"/>
    <xf numFmtId="0" fontId="120" fillId="0" borderId="0"/>
    <xf numFmtId="0" fontId="121" fillId="0" borderId="0"/>
    <xf numFmtId="0" fontId="4" fillId="0" borderId="0"/>
    <xf numFmtId="0" fontId="4" fillId="0" borderId="0"/>
    <xf numFmtId="171" fontId="8" fillId="0" borderId="0" applyFont="0" applyFill="0" applyBorder="0" applyAlignment="0" applyProtection="0"/>
    <xf numFmtId="0" fontId="4" fillId="0" borderId="0"/>
    <xf numFmtId="0" fontId="4" fillId="0" borderId="0"/>
    <xf numFmtId="0" fontId="3" fillId="0" borderId="0"/>
    <xf numFmtId="0" fontId="120" fillId="0" borderId="0"/>
    <xf numFmtId="0" fontId="122" fillId="0" borderId="0"/>
    <xf numFmtId="0" fontId="2" fillId="0" borderId="0"/>
    <xf numFmtId="0" fontId="122" fillId="0" borderId="0"/>
    <xf numFmtId="185" fontId="123" fillId="0" borderId="0"/>
    <xf numFmtId="0" fontId="124" fillId="0" borderId="0"/>
    <xf numFmtId="0" fontId="1" fillId="0" borderId="0"/>
    <xf numFmtId="0" fontId="124" fillId="0" borderId="0"/>
    <xf numFmtId="0" fontId="125" fillId="0" borderId="0"/>
    <xf numFmtId="0" fontId="126" fillId="0" borderId="0" applyNumberFormat="0" applyFill="0" applyBorder="0" applyAlignment="0" applyProtection="0"/>
    <xf numFmtId="0" fontId="127" fillId="0" borderId="26" applyNumberFormat="0" applyFill="0" applyAlignment="0" applyProtection="0"/>
    <xf numFmtId="0" fontId="128" fillId="0" borderId="27" applyNumberFormat="0" applyFill="0" applyAlignment="0" applyProtection="0"/>
    <xf numFmtId="0" fontId="129" fillId="0" borderId="28" applyNumberFormat="0" applyFill="0" applyAlignment="0" applyProtection="0"/>
    <xf numFmtId="0" fontId="129" fillId="0" borderId="0" applyNumberFormat="0" applyFill="0" applyBorder="0" applyAlignment="0" applyProtection="0"/>
    <xf numFmtId="0" fontId="130" fillId="20" borderId="0" applyNumberFormat="0" applyBorder="0" applyAlignment="0" applyProtection="0"/>
    <xf numFmtId="0" fontId="131" fillId="21" borderId="0" applyNumberFormat="0" applyBorder="0" applyAlignment="0" applyProtection="0"/>
    <xf numFmtId="0" fontId="132" fillId="22" borderId="0" applyNumberFormat="0" applyBorder="0" applyAlignment="0" applyProtection="0"/>
    <xf numFmtId="0" fontId="133" fillId="23" borderId="29" applyNumberFormat="0" applyAlignment="0" applyProtection="0"/>
    <xf numFmtId="0" fontId="134" fillId="24" borderId="30" applyNumberFormat="0" applyAlignment="0" applyProtection="0"/>
    <xf numFmtId="0" fontId="135" fillId="24" borderId="29" applyNumberFormat="0" applyAlignment="0" applyProtection="0"/>
    <xf numFmtId="0" fontId="136" fillId="0" borderId="31" applyNumberFormat="0" applyFill="0" applyAlignment="0" applyProtection="0"/>
    <xf numFmtId="0" fontId="137" fillId="25" borderId="32" applyNumberFormat="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33" applyNumberFormat="0" applyFill="0" applyAlignment="0" applyProtection="0"/>
    <xf numFmtId="0" fontId="141" fillId="2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41" fillId="27" borderId="0" applyNumberFormat="0" applyBorder="0" applyAlignment="0" applyProtection="0"/>
    <xf numFmtId="0" fontId="141" fillId="28"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41" fillId="29" borderId="0" applyNumberFormat="0" applyBorder="0" applyAlignment="0" applyProtection="0"/>
    <xf numFmtId="0" fontId="141" fillId="3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41" fillId="33" borderId="0" applyNumberFormat="0" applyBorder="0" applyAlignment="0" applyProtection="0"/>
    <xf numFmtId="0" fontId="141" fillId="3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41" fillId="37"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cellStyleXfs>
  <cellXfs count="2493">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72"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168" fontId="11" fillId="0" borderId="0" xfId="0" applyNumberFormat="1" applyFont="1" applyAlignment="1"/>
    <xf numFmtId="168" fontId="10" fillId="0" borderId="0" xfId="0" applyNumberFormat="1" applyFont="1" applyAlignment="1">
      <alignment horizontal="fill"/>
    </xf>
    <xf numFmtId="168" fontId="10" fillId="0" borderId="0" xfId="0" applyNumberFormat="1" applyFont="1" applyAlignment="1">
      <alignment horizontal="right"/>
    </xf>
    <xf numFmtId="168" fontId="10" fillId="0" borderId="0" xfId="0" applyNumberFormat="1" applyFont="1" applyAlignment="1"/>
    <xf numFmtId="168" fontId="10" fillId="0" borderId="0" xfId="0" applyNumberFormat="1" applyFont="1" applyAlignment="1" applyProtection="1">
      <protection locked="0"/>
    </xf>
    <xf numFmtId="168" fontId="10" fillId="0" borderId="5" xfId="0" applyNumberFormat="1" applyFont="1" applyBorder="1" applyAlignment="1"/>
    <xf numFmtId="168" fontId="10" fillId="0" borderId="0" xfId="0" applyNumberFormat="1" applyFont="1" applyBorder="1" applyAlignment="1">
      <alignment horizontal="right"/>
    </xf>
    <xf numFmtId="168"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7" fontId="11" fillId="0" borderId="0" xfId="0" applyNumberFormat="1" applyFont="1" applyBorder="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169" fontId="11" fillId="0" borderId="0" xfId="0" applyNumberFormat="1" applyFont="1" applyAlignment="1" applyProtection="1">
      <protection locked="0"/>
    </xf>
    <xf numFmtId="37" fontId="11" fillId="0" borderId="0" xfId="0" applyNumberFormat="1" applyFont="1" applyAlignment="1" applyProtection="1">
      <protection locked="0"/>
    </xf>
    <xf numFmtId="37" fontId="9" fillId="0" borderId="0" xfId="0" applyNumberFormat="1" applyFont="1" applyAlignment="1"/>
    <xf numFmtId="169" fontId="11" fillId="0" borderId="0" xfId="0" quotePrefix="1" applyNumberFormat="1" applyFont="1" applyAlignment="1">
      <alignment horizontal="center"/>
    </xf>
    <xf numFmtId="169" fontId="11" fillId="0" borderId="0" xfId="0" applyNumberFormat="1" applyFont="1" applyAlignment="1" applyProtection="1">
      <alignment horizontal="right"/>
      <protection locked="0"/>
    </xf>
    <xf numFmtId="3" fontId="11" fillId="0" borderId="0" xfId="0" quotePrefix="1" applyNumberFormat="1" applyFont="1" applyAlignment="1">
      <alignment horizontal="left"/>
    </xf>
    <xf numFmtId="172" fontId="11" fillId="0" borderId="0" xfId="0" applyNumberFormat="1" applyFont="1" applyAlignment="1"/>
    <xf numFmtId="169" fontId="11" fillId="0" borderId="0" xfId="0" applyNumberFormat="1" applyFont="1" applyFill="1" applyAlignment="1" applyProtection="1">
      <alignment horizontal="right"/>
      <protection locked="0"/>
    </xf>
    <xf numFmtId="37" fontId="11" fillId="0" borderId="0" xfId="0" applyNumberFormat="1" applyFont="1" applyBorder="1" applyAlignment="1" applyProtection="1">
      <protection locked="0"/>
    </xf>
    <xf numFmtId="3" fontId="10" fillId="0" borderId="0" xfId="0" applyNumberFormat="1" applyFont="1" applyAlignment="1">
      <alignment horizontal="fill"/>
    </xf>
    <xf numFmtId="37" fontId="10" fillId="0" borderId="4" xfId="0" applyNumberFormat="1" applyFont="1" applyBorder="1" applyAlignment="1"/>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170" fontId="9" fillId="0" borderId="0" xfId="0" applyNumberFormat="1" applyFont="1" applyAlignment="1"/>
    <xf numFmtId="170" fontId="10" fillId="0" borderId="0" xfId="0" applyNumberFormat="1" applyFont="1" applyAlignment="1">
      <alignment horizontal="fill"/>
    </xf>
    <xf numFmtId="170" fontId="10" fillId="0" borderId="0" xfId="0" applyNumberFormat="1" applyFont="1" applyAlignment="1">
      <alignment horizontal="right"/>
    </xf>
    <xf numFmtId="168"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72"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72" fontId="16" fillId="0" borderId="0" xfId="0" applyNumberFormat="1" applyFont="1" applyAlignment="1"/>
    <xf numFmtId="172" fontId="7" fillId="0" borderId="0" xfId="0" applyNumberFormat="1" applyFont="1" applyAlignment="1"/>
    <xf numFmtId="172" fontId="17" fillId="0" borderId="0" xfId="0" applyNumberFormat="1" applyFont="1" applyAlignment="1"/>
    <xf numFmtId="172" fontId="9" fillId="0" borderId="0" xfId="0" applyNumberFormat="1" applyFont="1" applyAlignment="1"/>
    <xf numFmtId="172" fontId="18" fillId="0" borderId="0" xfId="0" applyNumberFormat="1" applyFont="1" applyAlignment="1">
      <alignment horizontal="right"/>
    </xf>
    <xf numFmtId="172" fontId="16" fillId="0" borderId="0" xfId="0" quotePrefix="1" applyNumberFormat="1" applyFont="1" applyAlignment="1">
      <alignment horizontal="left"/>
    </xf>
    <xf numFmtId="172" fontId="6" fillId="0" borderId="0" xfId="0" applyNumberFormat="1" applyFont="1" applyAlignment="1"/>
    <xf numFmtId="172" fontId="8" fillId="0" borderId="0" xfId="0" applyNumberFormat="1" applyFont="1" applyAlignment="1"/>
    <xf numFmtId="172" fontId="5" fillId="0" borderId="0" xfId="0" applyNumberFormat="1" applyFont="1" applyAlignment="1"/>
    <xf numFmtId="172" fontId="19" fillId="0" borderId="0" xfId="0" applyNumberFormat="1" applyFont="1" applyAlignment="1"/>
    <xf numFmtId="172" fontId="19" fillId="0" borderId="0" xfId="0" applyNumberFormat="1" applyFont="1" applyAlignment="1">
      <alignment horizontal="centerContinuous"/>
    </xf>
    <xf numFmtId="172" fontId="19" fillId="0" borderId="0" xfId="0" quotePrefix="1" applyNumberFormat="1" applyFont="1" applyAlignment="1">
      <alignment horizontal="center"/>
    </xf>
    <xf numFmtId="172" fontId="19" fillId="0" borderId="4" xfId="0" applyNumberFormat="1" applyFont="1" applyBorder="1" applyAlignment="1"/>
    <xf numFmtId="172" fontId="5" fillId="0" borderId="0" xfId="0" applyNumberFormat="1" applyFont="1" applyAlignment="1" applyProtection="1">
      <protection locked="0"/>
    </xf>
    <xf numFmtId="172" fontId="20" fillId="0" borderId="0" xfId="0" quotePrefix="1" applyNumberFormat="1" applyFont="1" applyAlignment="1" applyProtection="1">
      <alignment horizontal="center"/>
      <protection locked="0"/>
    </xf>
    <xf numFmtId="172" fontId="20" fillId="0" borderId="0" xfId="0" applyNumberFormat="1" applyFont="1" applyAlignment="1" applyProtection="1">
      <protection locked="0"/>
    </xf>
    <xf numFmtId="172" fontId="19" fillId="0" borderId="0" xfId="0" applyNumberFormat="1" applyFont="1" applyAlignment="1" applyProtection="1">
      <protection locked="0"/>
    </xf>
    <xf numFmtId="172" fontId="5" fillId="0" borderId="4" xfId="0" applyNumberFormat="1" applyFont="1" applyBorder="1" applyAlignment="1" applyProtection="1">
      <protection locked="0"/>
    </xf>
    <xf numFmtId="172" fontId="5" fillId="0" borderId="4" xfId="0" applyNumberFormat="1" applyFont="1" applyBorder="1" applyAlignment="1"/>
    <xf numFmtId="172" fontId="5" fillId="0" borderId="0" xfId="0" applyNumberFormat="1" applyFont="1" applyBorder="1" applyAlignment="1"/>
    <xf numFmtId="172" fontId="5" fillId="0" borderId="0" xfId="0" applyNumberFormat="1" applyFont="1" applyBorder="1" applyAlignment="1" applyProtection="1">
      <protection locked="0"/>
    </xf>
    <xf numFmtId="172" fontId="8" fillId="0" borderId="0" xfId="0" applyNumberFormat="1" applyFont="1" applyBorder="1" applyAlignment="1"/>
    <xf numFmtId="172" fontId="9" fillId="0" borderId="0" xfId="0" applyNumberFormat="1" applyFont="1" applyBorder="1" applyAlignment="1"/>
    <xf numFmtId="170" fontId="0" fillId="0" borderId="0" xfId="0" applyNumberFormat="1" applyAlignment="1"/>
    <xf numFmtId="170" fontId="5" fillId="0" borderId="0" xfId="0" applyNumberFormat="1" applyFont="1" applyBorder="1" applyAlignment="1"/>
    <xf numFmtId="168" fontId="5" fillId="0" borderId="0" xfId="0" applyNumberFormat="1" applyFont="1" applyAlignment="1"/>
    <xf numFmtId="170" fontId="8" fillId="0" borderId="0" xfId="0" applyNumberFormat="1" applyFont="1" applyBorder="1" applyAlignment="1"/>
    <xf numFmtId="170"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72" fontId="5" fillId="0" borderId="0" xfId="0" applyNumberFormat="1" applyFont="1" applyAlignment="1" applyProtection="1">
      <alignment horizontal="right"/>
      <protection locked="0"/>
    </xf>
    <xf numFmtId="172"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72"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72" fontId="0" fillId="0" borderId="0" xfId="0" applyNumberFormat="1" applyAlignment="1"/>
    <xf numFmtId="172" fontId="5" fillId="0" borderId="0" xfId="0" applyNumberFormat="1" applyFont="1" applyAlignment="1">
      <alignment horizontal="left"/>
    </xf>
    <xf numFmtId="172" fontId="5" fillId="0" borderId="0" xfId="0" applyNumberFormat="1" applyFont="1" applyAlignment="1" applyProtection="1">
      <alignment horizontal="left"/>
      <protection locked="0"/>
    </xf>
    <xf numFmtId="172" fontId="10" fillId="0" borderId="0" xfId="0" applyNumberFormat="1" applyFont="1" applyFill="1" applyAlignment="1"/>
    <xf numFmtId="172" fontId="5" fillId="0" borderId="0" xfId="0" applyNumberFormat="1" applyFont="1" applyFill="1" applyAlignment="1"/>
    <xf numFmtId="172" fontId="5" fillId="0" borderId="0" xfId="0" applyNumberFormat="1" applyFont="1" applyFill="1" applyAlignment="1" applyProtection="1">
      <protection locked="0"/>
    </xf>
    <xf numFmtId="172" fontId="8" fillId="0" borderId="0" xfId="0" applyNumberFormat="1" applyFont="1" applyFill="1" applyAlignment="1"/>
    <xf numFmtId="172" fontId="9" fillId="0" borderId="0" xfId="0" applyNumberFormat="1" applyFont="1" applyFill="1" applyAlignment="1"/>
    <xf numFmtId="169" fontId="5" fillId="0" borderId="0" xfId="0" applyNumberFormat="1" applyFont="1" applyAlignment="1"/>
    <xf numFmtId="172" fontId="10" fillId="0" borderId="0" xfId="0" quotePrefix="1" applyNumberFormat="1" applyFont="1" applyAlignment="1">
      <alignment horizontal="left"/>
    </xf>
    <xf numFmtId="170" fontId="10" fillId="0" borderId="0" xfId="0" applyNumberFormat="1" applyFont="1" applyAlignment="1">
      <alignment horizontal="left"/>
    </xf>
    <xf numFmtId="170" fontId="10" fillId="0" borderId="0" xfId="0" applyNumberFormat="1" applyFont="1" applyAlignment="1"/>
    <xf numFmtId="168" fontId="19" fillId="0" borderId="0" xfId="0" applyNumberFormat="1" applyFont="1" applyAlignment="1">
      <alignment horizontal="right"/>
    </xf>
    <xf numFmtId="170" fontId="5" fillId="0" borderId="0" xfId="0" applyNumberFormat="1" applyFont="1" applyAlignment="1"/>
    <xf numFmtId="170" fontId="8" fillId="0" borderId="0" xfId="0" applyNumberFormat="1" applyFont="1" applyAlignment="1"/>
    <xf numFmtId="172" fontId="5" fillId="0" borderId="6" xfId="0" applyNumberFormat="1" applyFont="1" applyBorder="1" applyAlignment="1" applyProtection="1">
      <protection locked="0"/>
    </xf>
    <xf numFmtId="172" fontId="5" fillId="0" borderId="6" xfId="0" applyNumberFormat="1" applyFont="1" applyBorder="1" applyAlignment="1"/>
    <xf numFmtId="0" fontId="22" fillId="0" borderId="0" xfId="0" applyNumberFormat="1" applyFont="1" applyAlignment="1"/>
    <xf numFmtId="172" fontId="22" fillId="0" borderId="0" xfId="0" applyNumberFormat="1" applyFont="1" applyAlignment="1"/>
    <xf numFmtId="172" fontId="23" fillId="0" borderId="0" xfId="0" applyNumberFormat="1" applyFont="1" applyAlignment="1"/>
    <xf numFmtId="3" fontId="23" fillId="0" borderId="0" xfId="0" applyNumberFormat="1" applyFont="1" applyAlignment="1"/>
    <xf numFmtId="172" fontId="24" fillId="0" borderId="0" xfId="0" applyNumberFormat="1" applyFont="1" applyAlignment="1"/>
    <xf numFmtId="172" fontId="25" fillId="0" borderId="0" xfId="0" applyNumberFormat="1" applyFont="1" applyAlignment="1"/>
    <xf numFmtId="3" fontId="25" fillId="0" borderId="0" xfId="0" applyNumberFormat="1" applyFont="1" applyAlignment="1"/>
    <xf numFmtId="172" fontId="26" fillId="0" borderId="0" xfId="0" applyNumberFormat="1" applyFont="1" applyAlignment="1"/>
    <xf numFmtId="172" fontId="9" fillId="0" borderId="0" xfId="0" applyNumberFormat="1" applyFont="1"/>
    <xf numFmtId="172" fontId="6" fillId="0" borderId="0" xfId="0" quotePrefix="1" applyNumberFormat="1" applyFont="1" applyAlignment="1">
      <alignment horizontal="left"/>
    </xf>
    <xf numFmtId="172" fontId="11" fillId="0" borderId="0" xfId="0" applyNumberFormat="1" applyFont="1" applyAlignment="1">
      <alignment horizontal="centerContinuous"/>
    </xf>
    <xf numFmtId="172" fontId="10" fillId="0" borderId="0" xfId="0" applyNumberFormat="1" applyFont="1" applyAlignment="1">
      <alignment horizontal="right"/>
    </xf>
    <xf numFmtId="172" fontId="8" fillId="0" borderId="0" xfId="0" applyNumberFormat="1" applyFont="1" applyAlignment="1" applyProtection="1">
      <protection locked="0"/>
    </xf>
    <xf numFmtId="172" fontId="8" fillId="0" borderId="2" xfId="0" quotePrefix="1" applyNumberFormat="1" applyFont="1" applyBorder="1" applyAlignment="1" applyProtection="1">
      <alignment horizontal="center"/>
      <protection locked="0"/>
    </xf>
    <xf numFmtId="172" fontId="8" fillId="0" borderId="4" xfId="0" applyNumberFormat="1" applyFont="1" applyBorder="1" applyAlignment="1"/>
    <xf numFmtId="168" fontId="8" fillId="0" borderId="0" xfId="0" quotePrefix="1" applyNumberFormat="1" applyFont="1" applyAlignment="1">
      <alignment horizontal="left"/>
    </xf>
    <xf numFmtId="168" fontId="8" fillId="0" borderId="0" xfId="0" applyNumberFormat="1" applyFont="1" applyAlignment="1">
      <alignment horizontal="right"/>
    </xf>
    <xf numFmtId="168" fontId="8" fillId="0" borderId="0" xfId="0" applyNumberFormat="1" applyFont="1" applyAlignment="1" applyProtection="1">
      <protection locked="0"/>
    </xf>
    <xf numFmtId="168" fontId="9" fillId="0" borderId="0" xfId="0" applyNumberFormat="1" applyFont="1" applyAlignment="1">
      <alignment horizontal="center"/>
    </xf>
    <xf numFmtId="172"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169" fontId="8" fillId="0" borderId="0" xfId="0" applyNumberFormat="1" applyFont="1" applyAlignment="1" applyProtection="1">
      <alignment horizontal="center"/>
      <protection locked="0"/>
    </xf>
    <xf numFmtId="169" fontId="8" fillId="0" borderId="0" xfId="0" quotePrefix="1" applyNumberFormat="1" applyFont="1" applyFill="1" applyAlignment="1" applyProtection="1">
      <alignment horizontal="center"/>
      <protection locked="0"/>
    </xf>
    <xf numFmtId="169" fontId="8" fillId="0" borderId="0" xfId="0" quotePrefix="1" applyNumberFormat="1" applyFont="1" applyAlignment="1" applyProtection="1">
      <alignment horizontal="center"/>
      <protection locked="0"/>
    </xf>
    <xf numFmtId="168" fontId="19" fillId="0" borderId="0" xfId="0" applyNumberFormat="1" applyFont="1" applyAlignment="1"/>
    <xf numFmtId="168" fontId="7" fillId="0" borderId="0" xfId="0" applyNumberFormat="1" applyFont="1" applyAlignment="1">
      <alignment horizontal="right"/>
    </xf>
    <xf numFmtId="168" fontId="7" fillId="0" borderId="0" xfId="0" applyNumberFormat="1" applyFont="1" applyAlignment="1"/>
    <xf numFmtId="168"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72"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72" fontId="8" fillId="0" borderId="0" xfId="0" applyNumberFormat="1" applyFont="1" applyAlignment="1">
      <alignment horizontal="left"/>
    </xf>
    <xf numFmtId="0" fontId="17" fillId="0" borderId="0" xfId="0" applyNumberFormat="1" applyFont="1" applyAlignment="1"/>
    <xf numFmtId="172" fontId="18" fillId="0" borderId="0" xfId="0" quotePrefix="1" applyNumberFormat="1" applyFont="1" applyAlignment="1">
      <alignment horizontal="right"/>
    </xf>
    <xf numFmtId="0" fontId="0" fillId="0" borderId="0" xfId="0" applyAlignment="1"/>
    <xf numFmtId="172" fontId="19" fillId="0" borderId="0" xfId="0" applyNumberFormat="1" applyFont="1" applyBorder="1" applyAlignment="1">
      <alignment horizontal="center"/>
    </xf>
    <xf numFmtId="172" fontId="19" fillId="0" borderId="0" xfId="0" applyNumberFormat="1" applyFont="1" applyBorder="1" applyAlignment="1"/>
    <xf numFmtId="172"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72" fontId="19" fillId="0" borderId="12" xfId="0" applyNumberFormat="1" applyFont="1" applyBorder="1" applyAlignment="1"/>
    <xf numFmtId="172" fontId="25" fillId="0" borderId="12" xfId="0" applyNumberFormat="1" applyFont="1" applyBorder="1" applyAlignment="1"/>
    <xf numFmtId="172"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72" fontId="19" fillId="0" borderId="0" xfId="0" quotePrefix="1" applyNumberFormat="1" applyFont="1" applyBorder="1" applyAlignment="1">
      <alignment horizontal="center" wrapText="1"/>
    </xf>
    <xf numFmtId="172" fontId="5" fillId="0" borderId="11" xfId="0" applyNumberFormat="1" applyFont="1" applyBorder="1" applyAlignment="1">
      <alignment horizontal="center" wrapText="1"/>
    </xf>
    <xf numFmtId="172" fontId="5" fillId="0" borderId="0" xfId="0" applyNumberFormat="1" applyFont="1" applyBorder="1" applyAlignment="1">
      <alignment horizontal="center"/>
    </xf>
    <xf numFmtId="172" fontId="5" fillId="0" borderId="0" xfId="0" applyNumberFormat="1" applyFont="1" applyAlignment="1">
      <alignment horizontal="center"/>
    </xf>
    <xf numFmtId="37" fontId="28" fillId="0" borderId="11" xfId="0" applyNumberFormat="1" applyFont="1" applyBorder="1" applyAlignment="1" applyProtection="1">
      <protection locked="0"/>
    </xf>
    <xf numFmtId="172" fontId="5" fillId="0" borderId="12" xfId="0" applyNumberFormat="1" applyFont="1" applyBorder="1" applyAlignment="1">
      <alignment horizontal="center"/>
    </xf>
    <xf numFmtId="172"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72" fontId="5" fillId="0" borderId="0" xfId="0" applyNumberFormat="1" applyFont="1" applyBorder="1" applyAlignment="1">
      <alignment horizontal="center" wrapText="1"/>
    </xf>
    <xf numFmtId="168" fontId="29" fillId="0" borderId="0" xfId="0" applyNumberFormat="1" applyFont="1" applyAlignment="1" applyProtection="1">
      <protection locked="0"/>
    </xf>
    <xf numFmtId="168" fontId="28" fillId="0" borderId="11" xfId="0" applyNumberFormat="1" applyFont="1" applyBorder="1" applyAlignment="1" applyProtection="1">
      <protection locked="0"/>
    </xf>
    <xf numFmtId="168" fontId="29" fillId="0" borderId="0" xfId="0" applyNumberFormat="1" applyFont="1" applyBorder="1" applyAlignment="1" applyProtection="1">
      <protection locked="0"/>
    </xf>
    <xf numFmtId="172"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169"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72" fontId="11" fillId="0" borderId="0" xfId="0" quotePrefix="1" applyNumberFormat="1" applyFont="1" applyAlignment="1">
      <alignment horizontal="left"/>
    </xf>
    <xf numFmtId="37" fontId="29" fillId="0" borderId="0" xfId="0" applyNumberFormat="1" applyFont="1" applyBorder="1" applyAlignment="1" applyProtection="1">
      <protection locked="0"/>
    </xf>
    <xf numFmtId="172" fontId="11" fillId="0" borderId="0" xfId="0" applyNumberFormat="1" applyFont="1" applyAlignment="1">
      <alignment horizontal="left"/>
    </xf>
    <xf numFmtId="172"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72" fontId="11" fillId="0" borderId="0" xfId="0" applyNumberFormat="1" applyFont="1" applyBorder="1" applyAlignment="1" applyProtection="1">
      <protection locked="0"/>
    </xf>
    <xf numFmtId="168" fontId="10" fillId="0" borderId="0" xfId="0" applyNumberFormat="1" applyFont="1" applyAlignment="1">
      <alignment horizontal="left"/>
    </xf>
    <xf numFmtId="168" fontId="10" fillId="0" borderId="0" xfId="0" applyNumberFormat="1" applyFont="1" applyAlignment="1" applyProtection="1">
      <alignment horizontal="right"/>
      <protection locked="0"/>
    </xf>
    <xf numFmtId="168"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2" xfId="0" applyNumberFormat="1" applyFont="1" applyBorder="1" applyAlignment="1">
      <alignment horizontal="center"/>
    </xf>
    <xf numFmtId="0" fontId="21" fillId="0" borderId="2" xfId="0" quotePrefix="1" applyNumberFormat="1"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168" fontId="21" fillId="0" borderId="0" xfId="0" applyNumberFormat="1" applyFont="1" applyAlignment="1"/>
    <xf numFmtId="168" fontId="21" fillId="0" borderId="0" xfId="0" applyNumberFormat="1" applyFont="1" applyBorder="1" applyAlignment="1"/>
    <xf numFmtId="168" fontId="8" fillId="0" borderId="0" xfId="0" applyNumberFormat="1" applyFont="1" applyAlignment="1"/>
    <xf numFmtId="168" fontId="21" fillId="0" borderId="0" xfId="0" applyNumberFormat="1" applyFont="1" applyAlignment="1">
      <alignment readingOrder="1"/>
    </xf>
    <xf numFmtId="168" fontId="21" fillId="0" borderId="0" xfId="0" applyNumberFormat="1" applyFont="1" applyFill="1" applyAlignment="1"/>
    <xf numFmtId="174" fontId="21" fillId="0" borderId="0" xfId="0" applyNumberFormat="1" applyFont="1" applyFill="1" applyAlignment="1"/>
    <xf numFmtId="175" fontId="8" fillId="0" borderId="0" xfId="0" applyNumberFormat="1" applyFont="1" applyAlignment="1"/>
    <xf numFmtId="10" fontId="21" fillId="0" borderId="0" xfId="0" applyNumberFormat="1" applyFont="1" applyAlignment="1"/>
    <xf numFmtId="10" fontId="21" fillId="0" borderId="0" xfId="1" applyNumberFormat="1" applyFont="1" applyAlignment="1"/>
    <xf numFmtId="10" fontId="21" fillId="0" borderId="0" xfId="1" applyNumberFormat="1" applyFont="1" applyBorder="1" applyAlignment="1"/>
    <xf numFmtId="10" fontId="5" fillId="0" borderId="0" xfId="1" applyNumberFormat="1" applyFont="1" applyAlignment="1"/>
    <xf numFmtId="10" fontId="21" fillId="0" borderId="0" xfId="0" applyNumberFormat="1" applyFont="1" applyFill="1" applyAlignment="1"/>
    <xf numFmtId="10" fontId="21" fillId="0" borderId="0" xfId="1" applyNumberFormat="1" applyFont="1" applyFill="1" applyAlignment="1"/>
    <xf numFmtId="169" fontId="21" fillId="0" borderId="0" xfId="0" applyNumberFormat="1" applyFont="1" applyAlignment="1"/>
    <xf numFmtId="169" fontId="21" fillId="0" borderId="0" xfId="0" applyNumberFormat="1" applyFont="1" applyBorder="1" applyAlignment="1"/>
    <xf numFmtId="169" fontId="8" fillId="0" borderId="0" xfId="0" applyNumberFormat="1" applyFont="1" applyAlignment="1"/>
    <xf numFmtId="169" fontId="21" fillId="0" borderId="0" xfId="0" applyNumberFormat="1" applyFont="1" applyAlignment="1">
      <alignment readingOrder="1"/>
    </xf>
    <xf numFmtId="169" fontId="21" fillId="0" borderId="0" xfId="0" applyNumberFormat="1" applyFont="1" applyFill="1" applyAlignment="1"/>
    <xf numFmtId="0" fontId="8" fillId="0" borderId="0" xfId="0" applyNumberFormat="1" applyFont="1" applyFill="1" applyAlignment="1"/>
    <xf numFmtId="169" fontId="5" fillId="0" borderId="0" xfId="0" applyNumberFormat="1" applyFont="1" applyFill="1" applyAlignment="1"/>
    <xf numFmtId="174" fontId="5" fillId="0" borderId="0" xfId="0" applyNumberFormat="1" applyFont="1" applyFill="1" applyAlignment="1"/>
    <xf numFmtId="10" fontId="5" fillId="0" borderId="0" xfId="1" applyNumberFormat="1" applyFont="1" applyBorder="1" applyAlignment="1"/>
    <xf numFmtId="0" fontId="21" fillId="0" borderId="0" xfId="0" applyNumberFormat="1" applyFont="1" applyBorder="1" applyAlignment="1"/>
    <xf numFmtId="0" fontId="8" fillId="0" borderId="2"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4" xfId="0" applyNumberFormat="1" applyFont="1" applyBorder="1"/>
    <xf numFmtId="0" fontId="8" fillId="0" borderId="13" xfId="0" applyNumberFormat="1" applyFont="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168" fontId="20" fillId="0" borderId="0" xfId="0" applyNumberFormat="1" applyFont="1" applyAlignment="1"/>
    <xf numFmtId="168" fontId="20" fillId="0" borderId="0" xfId="0" applyNumberFormat="1" applyFont="1" applyFill="1" applyAlignment="1"/>
    <xf numFmtId="10" fontId="20" fillId="0" borderId="0" xfId="0" applyNumberFormat="1" applyFont="1" applyAlignment="1"/>
    <xf numFmtId="10" fontId="20" fillId="0" borderId="0" xfId="0" applyNumberFormat="1" applyFont="1" applyFill="1" applyAlignment="1"/>
    <xf numFmtId="0" fontId="5" fillId="0" borderId="0" xfId="0" applyNumberFormat="1" applyFont="1" applyAlignment="1"/>
    <xf numFmtId="174"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165" fontId="8" fillId="0" borderId="0" xfId="0" applyNumberFormat="1" applyFont="1" applyAlignment="1"/>
    <xf numFmtId="10" fontId="8" fillId="0" borderId="0" xfId="0" applyNumberFormat="1" applyFont="1" applyAlignment="1"/>
    <xf numFmtId="172" fontId="10" fillId="0" borderId="0" xfId="7" applyNumberFormat="1" applyFont="1" applyAlignment="1"/>
    <xf numFmtId="172" fontId="6" fillId="0" borderId="0" xfId="7" applyNumberFormat="1" applyFont="1" applyAlignment="1"/>
    <xf numFmtId="172" fontId="8" fillId="0" borderId="0" xfId="7" applyNumberFormat="1" applyFont="1" applyAlignment="1"/>
    <xf numFmtId="172" fontId="10" fillId="0" borderId="0" xfId="7" applyNumberFormat="1" applyFont="1" applyAlignment="1">
      <alignment horizontal="right"/>
    </xf>
    <xf numFmtId="172" fontId="6" fillId="0" borderId="0" xfId="7" applyNumberFormat="1" applyFont="1" applyAlignment="1">
      <alignment horizontal="right"/>
    </xf>
    <xf numFmtId="172" fontId="10" fillId="0" borderId="0" xfId="7" quotePrefix="1" applyNumberFormat="1" applyFont="1" applyAlignment="1">
      <alignment horizontal="left"/>
    </xf>
    <xf numFmtId="172" fontId="6" fillId="0" borderId="0" xfId="7" quotePrefix="1" applyNumberFormat="1" applyFont="1" applyAlignment="1">
      <alignment horizontal="left"/>
    </xf>
    <xf numFmtId="172" fontId="8" fillId="0" borderId="0" xfId="7" quotePrefix="1" applyNumberFormat="1" applyFont="1" applyAlignment="1"/>
    <xf numFmtId="172" fontId="19" fillId="0" borderId="0" xfId="7" applyNumberFormat="1" applyFont="1" applyAlignment="1"/>
    <xf numFmtId="172" fontId="5" fillId="0" borderId="0" xfId="7" applyNumberFormat="1" applyFont="1" applyAlignment="1"/>
    <xf numFmtId="172" fontId="7" fillId="0" borderId="0" xfId="7" applyNumberFormat="1" applyFont="1" applyAlignment="1">
      <alignment horizontal="center"/>
    </xf>
    <xf numFmtId="172" fontId="5" fillId="0" borderId="0" xfId="7" quotePrefix="1" applyNumberFormat="1" applyFont="1" applyAlignment="1">
      <alignment horizontal="center"/>
    </xf>
    <xf numFmtId="172" fontId="5" fillId="0" borderId="0" xfId="7" quotePrefix="1" applyNumberFormat="1" applyFont="1" applyBorder="1" applyAlignment="1">
      <alignment horizontal="center"/>
    </xf>
    <xf numFmtId="172" fontId="5" fillId="0" borderId="2" xfId="7" quotePrefix="1" applyNumberFormat="1" applyBorder="1" applyAlignment="1">
      <alignment horizontal="center"/>
    </xf>
    <xf numFmtId="172" fontId="5" fillId="0" borderId="2" xfId="7" quotePrefix="1" applyNumberFormat="1" applyFont="1" applyBorder="1" applyAlignment="1">
      <alignment horizontal="center"/>
    </xf>
    <xf numFmtId="172" fontId="8" fillId="0" borderId="4" xfId="7" applyNumberFormat="1" applyFont="1" applyBorder="1"/>
    <xf numFmtId="172" fontId="8" fillId="0" borderId="0" xfId="7" applyNumberFormat="1" applyFont="1" applyBorder="1"/>
    <xf numFmtId="49" fontId="5" fillId="0" borderId="0" xfId="7" quotePrefix="1" applyNumberFormat="1" applyFont="1" applyAlignment="1">
      <alignment horizontal="left"/>
    </xf>
    <xf numFmtId="172" fontId="5" fillId="0" borderId="0" xfId="0" applyNumberFormat="1" applyFont="1" applyAlignment="1">
      <alignment horizontal="fill"/>
    </xf>
    <xf numFmtId="168" fontId="5" fillId="0" borderId="0" xfId="7" applyNumberFormat="1" applyFont="1" applyAlignment="1"/>
    <xf numFmtId="37" fontId="5" fillId="0" borderId="0" xfId="7" applyNumberFormat="1" applyFont="1" applyAlignment="1">
      <alignment horizontal="right"/>
    </xf>
    <xf numFmtId="168" fontId="5" fillId="0" borderId="0" xfId="7" applyNumberFormat="1" applyFont="1" applyAlignment="1">
      <alignment horizontal="right"/>
    </xf>
    <xf numFmtId="49" fontId="5" fillId="0" borderId="0" xfId="7" applyNumberFormat="1" applyAlignment="1"/>
    <xf numFmtId="172" fontId="0" fillId="0" borderId="0" xfId="0" applyNumberFormat="1" applyAlignment="1">
      <alignment horizontal="fill"/>
    </xf>
    <xf numFmtId="169"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72" fontId="19" fillId="0" borderId="0" xfId="0" applyNumberFormat="1" applyFont="1" applyAlignment="1">
      <alignment horizontal="fill"/>
    </xf>
    <xf numFmtId="169" fontId="19" fillId="0" borderId="4" xfId="7" applyNumberFormat="1" applyFont="1" applyBorder="1" applyAlignment="1"/>
    <xf numFmtId="37" fontId="19" fillId="0" borderId="0" xfId="7" applyNumberFormat="1" applyFont="1" applyBorder="1" applyAlignment="1"/>
    <xf numFmtId="169" fontId="8" fillId="0" borderId="4" xfId="7" applyNumberFormat="1" applyFont="1" applyBorder="1"/>
    <xf numFmtId="37" fontId="8" fillId="0" borderId="0" xfId="7" applyNumberFormat="1" applyFont="1" applyBorder="1"/>
    <xf numFmtId="169"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169" fontId="5" fillId="0" borderId="0" xfId="7" quotePrefix="1" applyNumberFormat="1" applyFont="1" applyBorder="1" applyAlignment="1">
      <alignment horizontal="center"/>
    </xf>
    <xf numFmtId="169" fontId="5" fillId="0" borderId="0" xfId="7" applyNumberFormat="1" applyFont="1" applyBorder="1" applyAlignment="1"/>
    <xf numFmtId="169" fontId="5" fillId="0" borderId="0" xfId="7" applyNumberFormat="1" applyFont="1" applyBorder="1" applyAlignment="1">
      <alignment horizontal="center"/>
    </xf>
    <xf numFmtId="3" fontId="5" fillId="0" borderId="0" xfId="7" applyNumberFormat="1" applyFont="1" applyAlignment="1">
      <alignment horizontal="left" vertical="center"/>
    </xf>
    <xf numFmtId="169" fontId="5" fillId="0" borderId="0" xfId="7" quotePrefix="1" applyNumberFormat="1" applyFont="1" applyAlignment="1">
      <alignment horizontal="center" vertical="center"/>
    </xf>
    <xf numFmtId="172" fontId="7" fillId="0" borderId="0" xfId="7" applyNumberFormat="1" applyFont="1" applyAlignment="1"/>
    <xf numFmtId="169" fontId="8" fillId="0" borderId="0" xfId="7" applyNumberFormat="1" applyFont="1"/>
    <xf numFmtId="37" fontId="8" fillId="0" borderId="0" xfId="7" applyNumberFormat="1" applyFont="1"/>
    <xf numFmtId="169"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168" fontId="19" fillId="0" borderId="14" xfId="7" applyNumberFormat="1" applyFont="1" applyBorder="1" applyAlignment="1"/>
    <xf numFmtId="37" fontId="19" fillId="0" borderId="0" xfId="7" applyNumberFormat="1" applyFont="1" applyAlignment="1">
      <alignment horizontal="right"/>
    </xf>
    <xf numFmtId="176" fontId="19" fillId="0" borderId="0" xfId="7" applyNumberFormat="1" applyFont="1" applyAlignment="1">
      <alignment horizontal="right"/>
    </xf>
    <xf numFmtId="168" fontId="19" fillId="0" borderId="0" xfId="7" applyNumberFormat="1" applyFont="1" applyAlignment="1">
      <alignment horizontal="right"/>
    </xf>
    <xf numFmtId="176" fontId="8" fillId="0" borderId="0" xfId="7" applyNumberFormat="1" applyFont="1" applyAlignment="1"/>
    <xf numFmtId="172" fontId="34" fillId="0" borderId="0" xfId="8" applyNumberFormat="1" applyFont="1" applyAlignment="1"/>
    <xf numFmtId="0" fontId="34" fillId="0" borderId="0" xfId="7" applyFont="1"/>
    <xf numFmtId="172" fontId="10" fillId="0" borderId="0" xfId="11" applyNumberFormat="1" applyFont="1" applyAlignment="1"/>
    <xf numFmtId="172" fontId="5" fillId="0" borderId="0" xfId="11" applyNumberFormat="1" applyFont="1" applyAlignment="1"/>
    <xf numFmtId="172" fontId="8" fillId="0" borderId="0" xfId="11" applyNumberFormat="1" applyFont="1" applyAlignment="1"/>
    <xf numFmtId="172" fontId="10" fillId="0" borderId="0" xfId="11" applyNumberFormat="1" applyFont="1" applyAlignment="1">
      <alignment horizontal="right"/>
    </xf>
    <xf numFmtId="172" fontId="6" fillId="0" borderId="0" xfId="11" applyNumberFormat="1" applyFont="1" applyAlignment="1">
      <alignment horizontal="right"/>
    </xf>
    <xf numFmtId="177" fontId="6" fillId="0" borderId="0" xfId="11" applyNumberFormat="1" applyFont="1" applyFill="1" applyAlignment="1">
      <alignment horizontal="right"/>
    </xf>
    <xf numFmtId="177" fontId="10" fillId="0" borderId="0" xfId="11" applyNumberFormat="1" applyFont="1" applyFill="1" applyAlignment="1">
      <alignment horizontal="right"/>
    </xf>
    <xf numFmtId="172" fontId="10" fillId="0" borderId="0" xfId="11" quotePrefix="1" applyNumberFormat="1" applyFont="1" applyAlignment="1">
      <alignment horizontal="left"/>
    </xf>
    <xf numFmtId="172" fontId="8" fillId="0" borderId="0" xfId="11" quotePrefix="1" applyNumberFormat="1" applyFont="1" applyAlignment="1"/>
    <xf numFmtId="172" fontId="19" fillId="0" borderId="0" xfId="11" applyNumberFormat="1" applyFont="1" applyAlignment="1"/>
    <xf numFmtId="172" fontId="7" fillId="0" borderId="0" xfId="11" applyNumberFormat="1" applyFont="1" applyAlignment="1">
      <alignment horizontal="center"/>
    </xf>
    <xf numFmtId="172" fontId="5" fillId="0" borderId="0" xfId="11" quotePrefix="1" applyNumberFormat="1" applyFont="1" applyAlignment="1">
      <alignment horizontal="center"/>
    </xf>
    <xf numFmtId="172" fontId="5" fillId="0" borderId="0" xfId="11" quotePrefix="1" applyNumberFormat="1" applyFont="1" applyBorder="1" applyAlignment="1">
      <alignment horizontal="center"/>
    </xf>
    <xf numFmtId="172" fontId="5" fillId="0" borderId="2" xfId="11" quotePrefix="1" applyNumberFormat="1" applyBorder="1" applyAlignment="1">
      <alignment horizontal="center"/>
    </xf>
    <xf numFmtId="172" fontId="5" fillId="0" borderId="2" xfId="11" quotePrefix="1" applyNumberFormat="1" applyFont="1" applyBorder="1" applyAlignment="1">
      <alignment horizontal="center"/>
    </xf>
    <xf numFmtId="172" fontId="5" fillId="16" borderId="2" xfId="11" quotePrefix="1" applyNumberFormat="1" applyFont="1" applyFill="1" applyBorder="1" applyAlignment="1">
      <alignment horizontal="center"/>
    </xf>
    <xf numFmtId="172" fontId="8" fillId="0" borderId="4" xfId="11" applyNumberFormat="1" applyFont="1" applyBorder="1"/>
    <xf numFmtId="172" fontId="8" fillId="0" borderId="0" xfId="11" applyNumberFormat="1" applyFont="1" applyBorder="1"/>
    <xf numFmtId="172" fontId="8" fillId="16" borderId="0" xfId="11" applyNumberFormat="1" applyFont="1" applyFill="1" applyAlignment="1"/>
    <xf numFmtId="49" fontId="5" fillId="0" borderId="0" xfId="11" quotePrefix="1" applyNumberFormat="1" applyFont="1" applyAlignment="1">
      <alignment horizontal="left"/>
    </xf>
    <xf numFmtId="172" fontId="5" fillId="0" borderId="0" xfId="11" applyNumberFormat="1" applyFont="1" applyAlignment="1">
      <alignment horizontal="fill"/>
    </xf>
    <xf numFmtId="168"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169"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72" fontId="19" fillId="0" borderId="0" xfId="11" applyNumberFormat="1" applyFont="1" applyAlignment="1">
      <alignment horizontal="fill"/>
    </xf>
    <xf numFmtId="169" fontId="19" fillId="0" borderId="4" xfId="11" applyNumberFormat="1" applyFont="1" applyBorder="1" applyAlignment="1"/>
    <xf numFmtId="37" fontId="19" fillId="0" borderId="0" xfId="11" applyNumberFormat="1" applyFont="1" applyBorder="1" applyAlignment="1"/>
    <xf numFmtId="169" fontId="8" fillId="0" borderId="4" xfId="11" applyNumberFormat="1" applyFont="1" applyBorder="1"/>
    <xf numFmtId="37" fontId="8" fillId="0" borderId="0" xfId="11" applyNumberFormat="1" applyFont="1" applyBorder="1"/>
    <xf numFmtId="169"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169" fontId="5" fillId="0" borderId="0" xfId="11" quotePrefix="1" applyNumberFormat="1" applyFont="1" applyAlignment="1">
      <alignment horizontal="center"/>
    </xf>
    <xf numFmtId="169" fontId="5" fillId="0" borderId="0" xfId="11" quotePrefix="1" applyNumberFormat="1" applyFont="1" applyAlignment="1">
      <alignment horizontal="right"/>
    </xf>
    <xf numFmtId="169" fontId="5" fillId="0" borderId="0" xfId="11" applyNumberFormat="1" applyFont="1" applyAlignment="1">
      <alignment horizontal="center"/>
    </xf>
    <xf numFmtId="169" fontId="19" fillId="0" borderId="8" xfId="11" applyNumberFormat="1" applyFont="1" applyBorder="1" applyAlignment="1"/>
    <xf numFmtId="49" fontId="5" fillId="0" borderId="0" xfId="11" quotePrefix="1" applyNumberFormat="1" applyAlignment="1">
      <alignment horizontal="left"/>
    </xf>
    <xf numFmtId="37" fontId="8" fillId="0" borderId="0" xfId="11" applyNumberFormat="1" applyFont="1"/>
    <xf numFmtId="169"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168" fontId="19" fillId="0" borderId="14" xfId="11" applyNumberFormat="1" applyFont="1" applyBorder="1" applyAlignment="1"/>
    <xf numFmtId="37" fontId="19" fillId="0" borderId="0" xfId="11" applyNumberFormat="1" applyFont="1" applyAlignment="1">
      <alignment horizontal="right"/>
    </xf>
    <xf numFmtId="172"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72" fontId="34" fillId="0" borderId="0" xfId="11" applyNumberFormat="1" applyFont="1" applyAlignment="1"/>
    <xf numFmtId="178" fontId="10" fillId="0" borderId="0" xfId="13" quotePrefix="1" applyNumberFormat="1" applyFont="1" applyFill="1" applyAlignment="1">
      <alignment horizontal="left" vertical="justify"/>
    </xf>
    <xf numFmtId="178" fontId="37" fillId="0" borderId="0" xfId="13" applyNumberFormat="1" applyFont="1" applyFill="1" applyAlignment="1">
      <alignment horizontal="center" vertical="justify"/>
    </xf>
    <xf numFmtId="178" fontId="38" fillId="0" borderId="0" xfId="13" applyNumberFormat="1" applyFont="1" applyFill="1" applyAlignment="1">
      <alignment horizontal="center" vertical="justify"/>
    </xf>
    <xf numFmtId="178" fontId="10" fillId="0" borderId="0" xfId="13" applyNumberFormat="1" applyFont="1" applyFill="1" applyAlignment="1">
      <alignment horizontal="center" vertical="top"/>
    </xf>
    <xf numFmtId="178" fontId="26" fillId="0" borderId="0" xfId="13" applyNumberFormat="1" applyFont="1" applyFill="1" applyAlignment="1">
      <alignment horizontal="center" vertical="justify"/>
    </xf>
    <xf numFmtId="0" fontId="5" fillId="0" borderId="0" xfId="13" applyFont="1" applyBorder="1"/>
    <xf numFmtId="0" fontId="5" fillId="0" borderId="0" xfId="13" applyFont="1"/>
    <xf numFmtId="178" fontId="37" fillId="0" borderId="0" xfId="13" applyNumberFormat="1" applyFont="1" applyFill="1" applyBorder="1" applyAlignment="1">
      <alignment horizontal="center" vertical="justify"/>
    </xf>
    <xf numFmtId="178" fontId="38" fillId="0" borderId="0" xfId="13" applyNumberFormat="1" applyFont="1" applyFill="1" applyBorder="1" applyAlignment="1">
      <alignment horizontal="center" vertical="justify"/>
    </xf>
    <xf numFmtId="178" fontId="26" fillId="0" borderId="0" xfId="13" applyNumberFormat="1" applyFont="1" applyFill="1" applyBorder="1" applyAlignment="1">
      <alignment horizontal="center" vertical="justify"/>
    </xf>
    <xf numFmtId="178" fontId="5" fillId="0" borderId="0" xfId="13" applyNumberFormat="1" applyFont="1"/>
    <xf numFmtId="4" fontId="10" fillId="0" borderId="0" xfId="13" quotePrefix="1" applyNumberFormat="1" applyFont="1" applyFill="1" applyAlignment="1">
      <alignment horizontal="left" vertical="center" readingOrder="1"/>
    </xf>
    <xf numFmtId="0" fontId="37" fillId="0" borderId="0" xfId="13" applyFont="1" applyBorder="1" applyAlignment="1">
      <alignment vertical="justify" wrapText="1"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5" fillId="0" borderId="0" xfId="13" applyNumberFormat="1" applyFont="1"/>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0" fontId="5" fillId="0" borderId="0" xfId="13" quotePrefix="1" applyFont="1" applyBorder="1" applyAlignment="1">
      <alignment horizontal="center"/>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1" fillId="0" borderId="2" xfId="13" applyNumberFormat="1" applyFont="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168" fontId="43" fillId="0" borderId="0" xfId="13" applyNumberFormat="1" applyFont="1" applyFill="1" applyAlignment="1">
      <alignment horizontal="right"/>
    </xf>
    <xf numFmtId="168" fontId="43" fillId="0" borderId="0" xfId="13" quotePrefix="1" applyNumberFormat="1" applyFont="1" applyFill="1" applyAlignment="1"/>
    <xf numFmtId="168" fontId="43" fillId="0" borderId="0" xfId="13" quotePrefix="1" applyNumberFormat="1" applyFont="1" applyFill="1" applyAlignment="1">
      <alignment horizontal="center"/>
    </xf>
    <xf numFmtId="168" fontId="43" fillId="0" borderId="0" xfId="13" applyNumberFormat="1" applyFont="1" applyFill="1" applyBorder="1" applyAlignment="1"/>
    <xf numFmtId="168" fontId="43" fillId="0" borderId="0" xfId="13" applyNumberFormat="1" applyFont="1"/>
    <xf numFmtId="37" fontId="5" fillId="0" borderId="0" xfId="13" applyNumberFormat="1" applyFont="1" applyBorder="1"/>
    <xf numFmtId="169" fontId="43" fillId="0" borderId="0" xfId="13" applyNumberFormat="1" applyFont="1" applyFill="1" applyAlignment="1">
      <alignment horizontal="right"/>
    </xf>
    <xf numFmtId="169" fontId="43" fillId="0" borderId="0" xfId="13" quotePrefix="1" applyNumberFormat="1" applyFont="1" applyFill="1" applyAlignment="1"/>
    <xf numFmtId="37" fontId="43" fillId="0" borderId="0" xfId="13" quotePrefix="1" applyNumberFormat="1" applyFont="1" applyFill="1" applyAlignment="1">
      <alignment horizontal="center"/>
    </xf>
    <xf numFmtId="169" fontId="43" fillId="0" borderId="0" xfId="13" quotePrefix="1" applyNumberFormat="1" applyFont="1" applyFill="1" applyAlignment="1">
      <alignment horizontal="center"/>
    </xf>
    <xf numFmtId="169" fontId="43" fillId="0" borderId="0" xfId="13" applyNumberFormat="1" applyFont="1" applyFill="1" applyBorder="1" applyAlignment="1"/>
    <xf numFmtId="37" fontId="43" fillId="0" borderId="0" xfId="13" applyNumberFormat="1" applyFont="1" applyFill="1" applyBorder="1" applyAlignment="1"/>
    <xf numFmtId="37" fontId="43" fillId="0" borderId="0" xfId="13" applyNumberFormat="1" applyFont="1"/>
    <xf numFmtId="169"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169"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0" fontId="43" fillId="0" borderId="0" xfId="13" applyFont="1"/>
    <xf numFmtId="4" fontId="41" fillId="0" borderId="0" xfId="13" applyNumberFormat="1" applyFont="1" applyFill="1" applyAlignment="1">
      <alignment horizontal="left"/>
    </xf>
    <xf numFmtId="169" fontId="41" fillId="0" borderId="7" xfId="13" applyNumberFormat="1" applyFont="1" applyFill="1" applyBorder="1" applyAlignment="1">
      <alignment horizontal="right"/>
    </xf>
    <xf numFmtId="169" fontId="43" fillId="0" borderId="0" xfId="13" applyNumberFormat="1" applyFont="1" applyFill="1" applyAlignment="1">
      <alignment horizontal="center"/>
    </xf>
    <xf numFmtId="169" fontId="41" fillId="0" borderId="3" xfId="13" quotePrefix="1" applyNumberFormat="1" applyFont="1" applyFill="1" applyBorder="1" applyAlignment="1">
      <alignment horizontal="right"/>
    </xf>
    <xf numFmtId="4" fontId="43" fillId="0" borderId="0" xfId="13" applyNumberFormat="1" applyFont="1"/>
    <xf numFmtId="169" fontId="43" fillId="0" borderId="0" xfId="13" quotePrefix="1" applyNumberFormat="1" applyFont="1" applyFill="1" applyAlignment="1">
      <alignment horizontal="right"/>
    </xf>
    <xf numFmtId="167" fontId="5" fillId="0" borderId="0" xfId="13" applyNumberFormat="1" applyFont="1" applyBorder="1"/>
    <xf numFmtId="37" fontId="5" fillId="0" borderId="0" xfId="13" applyNumberFormat="1" applyFont="1" applyFill="1" applyBorder="1"/>
    <xf numFmtId="4" fontId="41" fillId="0" borderId="0" xfId="13" quotePrefix="1" applyNumberFormat="1" applyFont="1" applyFill="1" applyAlignment="1">
      <alignment horizontal="left"/>
    </xf>
    <xf numFmtId="169" fontId="41" fillId="0" borderId="0" xfId="13" quotePrefix="1" applyNumberFormat="1" applyFont="1" applyFill="1" applyBorder="1" applyAlignment="1">
      <alignment horizontal="right"/>
    </xf>
    <xf numFmtId="169" fontId="41" fillId="0" borderId="0" xfId="13" applyNumberFormat="1" applyFont="1" applyFill="1" applyBorder="1" applyAlignment="1"/>
    <xf numFmtId="168"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3" fontId="43" fillId="0" borderId="0" xfId="13" applyNumberFormat="1" applyFont="1"/>
    <xf numFmtId="2" fontId="5" fillId="0" borderId="0" xfId="13" applyNumberFormat="1" applyFont="1" applyBorder="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34" fillId="0" borderId="0" xfId="13" applyFont="1"/>
    <xf numFmtId="0" fontId="11" fillId="0" borderId="0" xfId="13" applyNumberFormat="1" applyFont="1" applyFill="1" applyAlignment="1"/>
    <xf numFmtId="0" fontId="11" fillId="0" borderId="0" xfId="13" applyNumberFormat="1" applyFont="1" applyFill="1" applyAlignment="1">
      <alignment horizontal="center"/>
    </xf>
    <xf numFmtId="167" fontId="43" fillId="0" borderId="0" xfId="13" applyNumberFormat="1" applyFont="1" applyFill="1" applyAlignment="1"/>
    <xf numFmtId="174"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0" fontId="5" fillId="0" borderId="0" xfId="14" applyNumberFormat="1" applyFont="1" applyAlignment="1"/>
    <xf numFmtId="0" fontId="10" fillId="0" borderId="0" xfId="14" applyNumberFormat="1" applyFont="1" applyAlignment="1">
      <alignment horizontal="left"/>
    </xf>
    <xf numFmtId="169" fontId="5" fillId="0" borderId="0" xfId="18" applyNumberFormat="1" applyFont="1" applyFill="1" applyAlignment="1">
      <alignment horizontal="center"/>
    </xf>
    <xf numFmtId="169" fontId="5" fillId="0" borderId="0" xfId="18" applyNumberFormat="1" applyFont="1" applyFill="1" applyBorder="1" applyAlignment="1"/>
    <xf numFmtId="169" fontId="5" fillId="0" borderId="0" xfId="18" quotePrefix="1" applyNumberFormat="1" applyFont="1" applyFill="1" applyBorder="1" applyAlignment="1">
      <alignment horizontal="right"/>
    </xf>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170"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171"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168" fontId="5" fillId="0" borderId="0" xfId="0" quotePrefix="1" applyNumberFormat="1" applyFont="1" applyFill="1" applyBorder="1" applyAlignment="1">
      <alignment horizontal="right"/>
    </xf>
    <xf numFmtId="168" fontId="5" fillId="0" borderId="0" xfId="0" applyNumberFormat="1" applyFont="1" applyFill="1" applyBorder="1" applyAlignment="1">
      <alignment horizontal="right"/>
    </xf>
    <xf numFmtId="168" fontId="5" fillId="0" borderId="0" xfId="18" applyNumberFormat="1" applyFont="1" applyFill="1" applyAlignment="1">
      <alignment horizontal="center"/>
    </xf>
    <xf numFmtId="3" fontId="5" fillId="0" borderId="0" xfId="0" applyNumberFormat="1" applyFont="1" applyFill="1" applyBorder="1" applyAlignment="1"/>
    <xf numFmtId="169" fontId="5" fillId="0" borderId="0" xfId="18" applyNumberFormat="1" applyFont="1" applyFill="1" applyBorder="1" applyAlignment="1">
      <alignment horizontal="right"/>
    </xf>
    <xf numFmtId="169" fontId="5" fillId="0" borderId="0" xfId="0" applyNumberFormat="1" applyFont="1" applyFill="1" applyBorder="1" applyAlignment="1">
      <alignment horizontal="right"/>
    </xf>
    <xf numFmtId="169" fontId="5" fillId="0" borderId="0" xfId="0" quotePrefix="1" applyNumberFormat="1" applyFont="1" applyFill="1" applyBorder="1" applyAlignment="1">
      <alignment horizontal="right"/>
    </xf>
    <xf numFmtId="169" fontId="19" fillId="0" borderId="0" xfId="0" applyNumberFormat="1" applyFont="1" applyFill="1" applyBorder="1" applyAlignment="1">
      <alignment horizontal="right"/>
    </xf>
    <xf numFmtId="168" fontId="19" fillId="0" borderId="0" xfId="0" quotePrefix="1" applyNumberFormat="1" applyFont="1" applyFill="1" applyBorder="1" applyAlignment="1">
      <alignment horizontal="right"/>
    </xf>
    <xf numFmtId="169" fontId="19" fillId="0" borderId="0" xfId="0" quotePrefix="1" applyNumberFormat="1" applyFont="1" applyFill="1" applyBorder="1" applyAlignment="1">
      <alignment horizontal="right"/>
    </xf>
    <xf numFmtId="168" fontId="5" fillId="0" borderId="0" xfId="0" quotePrefix="1" applyNumberFormat="1" applyFont="1" applyFill="1" applyBorder="1" applyAlignment="1"/>
    <xf numFmtId="169" fontId="5" fillId="0" borderId="0" xfId="0" applyNumberFormat="1" applyFont="1" applyFill="1" applyBorder="1" applyAlignment="1"/>
    <xf numFmtId="169" fontId="5" fillId="0" borderId="0" xfId="18" applyNumberFormat="1" applyFont="1" applyFill="1" applyBorder="1" applyAlignment="1">
      <alignment horizontal="center"/>
    </xf>
    <xf numFmtId="169" fontId="5" fillId="0" borderId="0" xfId="0" quotePrefix="1" applyNumberFormat="1" applyFont="1" applyFill="1" applyBorder="1" applyAlignment="1"/>
    <xf numFmtId="169" fontId="5" fillId="0" borderId="0" xfId="0" applyNumberFormat="1" applyFont="1" applyFill="1"/>
    <xf numFmtId="169"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169" fontId="19" fillId="0" borderId="0" xfId="0" applyNumberFormat="1" applyFont="1" applyFill="1" applyBorder="1" applyAlignment="1" applyProtection="1">
      <protection locked="0"/>
    </xf>
    <xf numFmtId="169" fontId="5" fillId="0" borderId="0" xfId="0" applyNumberFormat="1" applyFont="1" applyFill="1" applyBorder="1" applyAlignment="1" applyProtection="1">
      <protection locked="0"/>
    </xf>
    <xf numFmtId="171" fontId="5" fillId="0" borderId="0" xfId="0" applyNumberFormat="1" applyFont="1" applyFill="1" applyBorder="1" applyAlignment="1"/>
    <xf numFmtId="171" fontId="19" fillId="0" borderId="0" xfId="0" applyNumberFormat="1" applyFont="1" applyFill="1" applyBorder="1" applyAlignment="1">
      <alignment horizontal="left"/>
    </xf>
    <xf numFmtId="169" fontId="5" fillId="0" borderId="0" xfId="18" applyNumberFormat="1" applyFont="1" applyFill="1" applyBorder="1" applyAlignment="1" applyProtection="1">
      <alignment horizontal="right"/>
      <protection locked="0"/>
    </xf>
    <xf numFmtId="169" fontId="19" fillId="0" borderId="0" xfId="0" applyNumberFormat="1" applyFont="1" applyFill="1" applyBorder="1" applyAlignment="1">
      <alignment horizontal="left"/>
    </xf>
    <xf numFmtId="169"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169" fontId="19" fillId="0" borderId="0" xfId="0" quotePrefix="1" applyNumberFormat="1" applyFont="1" applyFill="1" applyBorder="1" applyAlignment="1" applyProtection="1">
      <alignment horizontal="left"/>
      <protection locked="0"/>
    </xf>
    <xf numFmtId="169" fontId="5" fillId="0" borderId="0" xfId="18" applyNumberFormat="1" applyFont="1" applyFill="1" applyBorder="1" applyAlignment="1" applyProtection="1">
      <alignment horizontal="center"/>
      <protection locked="0"/>
    </xf>
    <xf numFmtId="169" fontId="5" fillId="0" borderId="0" xfId="18" applyNumberFormat="1" applyFont="1" applyFill="1" applyAlignment="1"/>
    <xf numFmtId="169" fontId="5" fillId="0" borderId="0" xfId="0" applyNumberFormat="1" applyFont="1" applyFill="1" applyAlignment="1">
      <alignment horizontal="right"/>
    </xf>
    <xf numFmtId="169" fontId="5" fillId="0" borderId="0" xfId="18" applyNumberFormat="1" applyFont="1" applyFill="1" applyAlignment="1">
      <alignment horizontal="right"/>
    </xf>
    <xf numFmtId="169"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169" fontId="11" fillId="0" borderId="0" xfId="0" applyNumberFormat="1" applyFont="1" applyFill="1" applyAlignment="1">
      <alignment horizontal="right"/>
    </xf>
    <xf numFmtId="3" fontId="11" fillId="0" borderId="0" xfId="0" applyNumberFormat="1" applyFont="1" applyFill="1" applyAlignment="1"/>
    <xf numFmtId="169"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169" fontId="0" fillId="0" borderId="0" xfId="0" quotePrefix="1" applyNumberFormat="1" applyFont="1" applyFill="1" applyAlignment="1" applyProtection="1">
      <alignment horizontal="center"/>
      <protection locked="0"/>
    </xf>
    <xf numFmtId="3" fontId="36" fillId="0" borderId="0" xfId="26656" applyNumberFormat="1" applyFont="1" applyFill="1"/>
    <xf numFmtId="0" fontId="19" fillId="0" borderId="0" xfId="0" applyNumberFormat="1" applyFont="1" applyFill="1" applyAlignment="1"/>
    <xf numFmtId="169" fontId="19" fillId="0" borderId="3" xfId="0" applyNumberFormat="1" applyFont="1" applyFill="1" applyBorder="1" applyAlignment="1"/>
    <xf numFmtId="169" fontId="19" fillId="0" borderId="3" xfId="0" applyNumberFormat="1" applyFont="1" applyFill="1" applyBorder="1" applyAlignment="1">
      <alignment horizontal="right"/>
    </xf>
    <xf numFmtId="169" fontId="19" fillId="0" borderId="0" xfId="0" applyNumberFormat="1" applyFont="1" applyFill="1" applyBorder="1" applyAlignment="1"/>
    <xf numFmtId="169" fontId="36" fillId="0" borderId="0" xfId="26656" applyNumberFormat="1" applyFont="1" applyFill="1"/>
    <xf numFmtId="169" fontId="5" fillId="0" borderId="0" xfId="0" applyNumberFormat="1" applyFont="1" applyFill="1" applyAlignment="1">
      <alignment horizontal="left"/>
    </xf>
    <xf numFmtId="3" fontId="5" fillId="0" borderId="0" xfId="0" applyNumberFormat="1" applyFont="1" applyFill="1" applyBorder="1"/>
    <xf numFmtId="169" fontId="19" fillId="0" borderId="0" xfId="17" applyNumberFormat="1" applyFont="1" applyFill="1" applyBorder="1" applyAlignment="1">
      <alignment wrapText="1"/>
    </xf>
    <xf numFmtId="169" fontId="36" fillId="0" borderId="0" xfId="26658" applyNumberFormat="1" applyFont="1" applyFill="1"/>
    <xf numFmtId="169" fontId="48" fillId="0" borderId="0" xfId="36107" applyNumberFormat="1" applyFont="1" applyFill="1" applyBorder="1"/>
    <xf numFmtId="169" fontId="48" fillId="0" borderId="0" xfId="36101" applyNumberFormat="1" applyFont="1" applyFill="1" applyBorder="1"/>
    <xf numFmtId="169" fontId="48" fillId="0" borderId="0" xfId="36096" applyNumberFormat="1" applyFont="1" applyFill="1" applyBorder="1"/>
    <xf numFmtId="169" fontId="48" fillId="0" borderId="0" xfId="36102" applyNumberFormat="1" applyFont="1" applyFill="1" applyBorder="1"/>
    <xf numFmtId="169" fontId="48" fillId="0" borderId="0" xfId="36110" applyNumberFormat="1" applyFont="1" applyFill="1" applyBorder="1"/>
    <xf numFmtId="169" fontId="48" fillId="0" borderId="0" xfId="36094" applyNumberFormat="1" applyFont="1" applyFill="1" applyBorder="1"/>
    <xf numFmtId="169" fontId="48" fillId="0" borderId="0" xfId="36109" applyNumberFormat="1" applyFont="1" applyFill="1" applyBorder="1"/>
    <xf numFmtId="169" fontId="5" fillId="0" borderId="0" xfId="0" applyNumberFormat="1" applyFont="1" applyFill="1" applyBorder="1" applyAlignment="1" applyProtection="1"/>
    <xf numFmtId="169" fontId="48" fillId="0" borderId="0" xfId="36108" applyNumberFormat="1" applyFont="1" applyFill="1" applyBorder="1"/>
    <xf numFmtId="169" fontId="48" fillId="0" borderId="0" xfId="36105" applyNumberFormat="1" applyFont="1" applyFill="1" applyBorder="1"/>
    <xf numFmtId="169" fontId="48" fillId="0" borderId="0" xfId="36099" applyNumberFormat="1" applyFont="1" applyFill="1" applyBorder="1"/>
    <xf numFmtId="169" fontId="48" fillId="0" borderId="0" xfId="36095" applyNumberFormat="1" applyFont="1" applyFill="1" applyBorder="1"/>
    <xf numFmtId="169" fontId="48" fillId="0" borderId="0" xfId="36098" applyNumberFormat="1" applyFont="1" applyFill="1" applyBorder="1"/>
    <xf numFmtId="169" fontId="48" fillId="0" borderId="0" xfId="36100" applyNumberFormat="1" applyFont="1" applyFill="1" applyBorder="1"/>
    <xf numFmtId="169" fontId="48" fillId="0" borderId="0" xfId="49924" applyNumberFormat="1" applyFont="1" applyFill="1" applyBorder="1"/>
    <xf numFmtId="171" fontId="5" fillId="0" borderId="0" xfId="0" applyNumberFormat="1" applyFont="1" applyFill="1" applyAlignment="1"/>
    <xf numFmtId="169" fontId="48" fillId="0" borderId="0" xfId="36093" applyNumberFormat="1" applyFont="1" applyFill="1" applyBorder="1"/>
    <xf numFmtId="169" fontId="48" fillId="0" borderId="0" xfId="36097" applyNumberFormat="1" applyFont="1" applyFill="1" applyBorder="1"/>
    <xf numFmtId="169" fontId="48" fillId="0" borderId="0" xfId="36111" applyNumberFormat="1" applyFont="1" applyFill="1" applyBorder="1"/>
    <xf numFmtId="169" fontId="48" fillId="0" borderId="0" xfId="36106" applyNumberFormat="1" applyFont="1" applyFill="1" applyBorder="1"/>
    <xf numFmtId="169" fontId="19" fillId="0" borderId="0" xfId="0" quotePrefix="1" applyNumberFormat="1" applyFont="1" applyFill="1" applyBorder="1" applyAlignment="1"/>
    <xf numFmtId="169" fontId="5" fillId="0" borderId="0" xfId="0" quotePrefix="1" applyNumberFormat="1" applyFont="1" applyFill="1" applyBorder="1" applyAlignment="1">
      <alignment horizontal="center"/>
    </xf>
    <xf numFmtId="169" fontId="19" fillId="0" borderId="0" xfId="17" applyNumberFormat="1" applyFont="1" applyFill="1" applyBorder="1" applyAlignment="1"/>
    <xf numFmtId="169" fontId="36" fillId="0" borderId="0" xfId="49925" applyNumberFormat="1" applyFont="1" applyFill="1"/>
    <xf numFmtId="169" fontId="19" fillId="0" borderId="3" xfId="18" applyNumberFormat="1" applyFont="1" applyFill="1" applyBorder="1" applyAlignment="1"/>
    <xf numFmtId="169" fontId="0" fillId="0" borderId="0" xfId="0" applyNumberFormat="1" applyFill="1" applyBorder="1"/>
    <xf numFmtId="169" fontId="5" fillId="0" borderId="0" xfId="18" applyNumberFormat="1" applyFont="1" applyFill="1" applyBorder="1" applyAlignment="1" applyProtection="1">
      <alignment horizontal="right"/>
    </xf>
    <xf numFmtId="169" fontId="5" fillId="0" borderId="0" xfId="0" quotePrefix="1" applyNumberFormat="1" applyFont="1" applyFill="1" applyAlignment="1" applyProtection="1">
      <alignment horizontal="right"/>
      <protection locked="0"/>
    </xf>
    <xf numFmtId="171" fontId="5" fillId="0" borderId="0" xfId="0" quotePrefix="1" applyNumberFormat="1" applyFont="1" applyFill="1" applyBorder="1" applyAlignment="1">
      <alignment horizontal="center"/>
    </xf>
    <xf numFmtId="169"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169" fontId="11" fillId="0" borderId="0" xfId="0" applyNumberFormat="1" applyFont="1" applyFill="1" applyAlignment="1"/>
    <xf numFmtId="169" fontId="36" fillId="0" borderId="0" xfId="33491" applyNumberFormat="1" applyFont="1" applyFill="1"/>
    <xf numFmtId="168" fontId="19" fillId="0" borderId="9" xfId="0" applyNumberFormat="1" applyFont="1" applyFill="1" applyBorder="1" applyAlignment="1"/>
    <xf numFmtId="168" fontId="19" fillId="0" borderId="9" xfId="0" applyNumberFormat="1" applyFont="1" applyFill="1" applyBorder="1" applyAlignment="1">
      <alignment horizontal="right"/>
    </xf>
    <xf numFmtId="3" fontId="10" fillId="0" borderId="0" xfId="0" quotePrefix="1" applyNumberFormat="1" applyFont="1" applyFill="1" applyAlignment="1">
      <alignment horizontal="left"/>
    </xf>
    <xf numFmtId="169" fontId="5" fillId="0" borderId="0" xfId="18" quotePrefix="1" applyNumberFormat="1" applyFont="1" applyFill="1" applyBorder="1" applyAlignment="1">
      <alignment horizontal="center"/>
    </xf>
    <xf numFmtId="169" fontId="5" fillId="0" borderId="0" xfId="0" applyNumberFormat="1" applyFont="1" applyFill="1" applyAlignment="1">
      <alignment horizontal="center"/>
    </xf>
    <xf numFmtId="3" fontId="19" fillId="0" borderId="0" xfId="0" quotePrefix="1" applyNumberFormat="1" applyFont="1" applyFill="1" applyAlignment="1">
      <alignment horizontal="left"/>
    </xf>
    <xf numFmtId="169"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168" fontId="19" fillId="0" borderId="9" xfId="18" applyNumberFormat="1" applyFont="1" applyFill="1" applyBorder="1" applyAlignment="1">
      <alignment horizontal="right"/>
    </xf>
    <xf numFmtId="169" fontId="19" fillId="0" borderId="0" xfId="18" applyNumberFormat="1" applyFont="1" applyFill="1" applyBorder="1" applyAlignment="1">
      <alignment horizontal="right"/>
    </xf>
    <xf numFmtId="169" fontId="19" fillId="0" borderId="0" xfId="0" quotePrefix="1" applyNumberFormat="1" applyFont="1" applyFill="1" applyBorder="1" applyAlignment="1">
      <alignment horizontal="center"/>
    </xf>
    <xf numFmtId="169" fontId="11" fillId="0" borderId="0" xfId="0" applyNumberFormat="1" applyFont="1" applyFill="1" applyBorder="1" applyAlignment="1"/>
    <xf numFmtId="169" fontId="11" fillId="0" borderId="0" xfId="0" applyNumberFormat="1" applyFont="1" applyFill="1" applyBorder="1" applyAlignment="1">
      <alignment horizontal="right"/>
    </xf>
    <xf numFmtId="169" fontId="5" fillId="0" borderId="0" xfId="59956" applyNumberFormat="1" applyFont="1" applyFill="1" applyAlignment="1">
      <alignment horizontal="center"/>
    </xf>
    <xf numFmtId="0" fontId="21" fillId="0" borderId="0" xfId="59955" applyFont="1"/>
    <xf numFmtId="3" fontId="21" fillId="0" borderId="0" xfId="59955" applyNumberFormat="1" applyFont="1" applyFill="1"/>
    <xf numFmtId="180" fontId="21" fillId="0" borderId="0" xfId="59955" applyNumberFormat="1" applyFont="1" applyFill="1"/>
    <xf numFmtId="169" fontId="19" fillId="0" borderId="0" xfId="59955" applyNumberFormat="1" applyFont="1" applyFill="1" applyAlignment="1">
      <alignment horizontal="center"/>
    </xf>
    <xf numFmtId="3" fontId="19" fillId="0" borderId="0" xfId="59955" quotePrefix="1" applyNumberFormat="1" applyFont="1" applyAlignment="1">
      <alignment horizontal="left"/>
    </xf>
    <xf numFmtId="169" fontId="19" fillId="0" borderId="0" xfId="59955" quotePrefix="1" applyNumberFormat="1" applyFont="1" applyFill="1" applyAlignment="1">
      <alignment horizontal="center"/>
    </xf>
    <xf numFmtId="169" fontId="21" fillId="0" borderId="0" xfId="59955" applyNumberFormat="1" applyFont="1" applyFill="1" applyAlignment="1">
      <alignment horizontal="center"/>
    </xf>
    <xf numFmtId="0" fontId="21" fillId="0" borderId="0" xfId="59955" applyFont="1" applyAlignment="1">
      <alignment horizontal="right"/>
    </xf>
    <xf numFmtId="169" fontId="21" fillId="0" borderId="0" xfId="59955" applyNumberFormat="1" applyFont="1"/>
    <xf numFmtId="0" fontId="21" fillId="0" borderId="0" xfId="59955" applyFont="1" applyAlignment="1">
      <alignment wrapText="1"/>
    </xf>
    <xf numFmtId="49" fontId="21" fillId="0" borderId="0" xfId="59955" applyNumberFormat="1" applyFont="1"/>
    <xf numFmtId="169" fontId="21" fillId="0" borderId="0" xfId="59956" applyNumberFormat="1" applyFont="1" applyFill="1" applyAlignment="1">
      <alignment horizontal="center"/>
    </xf>
    <xf numFmtId="171" fontId="20" fillId="0" borderId="0" xfId="59956" applyFont="1" applyBorder="1"/>
    <xf numFmtId="180" fontId="20" fillId="0" borderId="0" xfId="59956" applyNumberFormat="1" applyFont="1" applyFill="1" applyBorder="1"/>
    <xf numFmtId="4" fontId="20" fillId="0" borderId="0" xfId="59956" applyNumberFormat="1" applyFont="1" applyBorder="1"/>
    <xf numFmtId="37" fontId="20" fillId="0" borderId="0" xfId="59956" applyNumberFormat="1" applyFont="1" applyBorder="1"/>
    <xf numFmtId="169" fontId="20" fillId="0" borderId="0" xfId="59956" applyNumberFormat="1" applyFont="1" applyBorder="1"/>
    <xf numFmtId="37" fontId="20" fillId="0" borderId="0" xfId="59956" applyNumberFormat="1" applyFont="1" applyFill="1" applyBorder="1"/>
    <xf numFmtId="4" fontId="19" fillId="0" borderId="0" xfId="59955" applyNumberFormat="1" applyFont="1" applyFill="1" applyAlignment="1">
      <alignment horizontal="right"/>
    </xf>
    <xf numFmtId="37" fontId="20" fillId="18" borderId="0" xfId="59956" applyNumberFormat="1" applyFont="1" applyFill="1" applyBorder="1"/>
    <xf numFmtId="0" fontId="21" fillId="0" borderId="0" xfId="59955" applyNumberFormat="1" applyFont="1" applyAlignment="1"/>
    <xf numFmtId="180" fontId="21" fillId="0" borderId="0" xfId="59955" applyNumberFormat="1" applyFont="1" applyFill="1" applyAlignment="1"/>
    <xf numFmtId="4" fontId="21" fillId="0" borderId="0" xfId="59955" applyNumberFormat="1" applyFont="1" applyAlignment="1"/>
    <xf numFmtId="37" fontId="21" fillId="0" borderId="0" xfId="59955" applyNumberFormat="1" applyFont="1" applyAlignment="1"/>
    <xf numFmtId="169" fontId="21" fillId="0" borderId="0" xfId="59955" applyNumberFormat="1" applyFont="1" applyAlignment="1"/>
    <xf numFmtId="37" fontId="21" fillId="0" borderId="0" xfId="59955" applyNumberFormat="1" applyFont="1" applyFill="1" applyAlignment="1"/>
    <xf numFmtId="37" fontId="21" fillId="18" borderId="0" xfId="59955" applyNumberFormat="1" applyFont="1" applyFill="1" applyAlignment="1"/>
    <xf numFmtId="0" fontId="21" fillId="0" borderId="0" xfId="59955" applyNumberFormat="1" applyFont="1" applyAlignment="1">
      <alignment horizontal="left" wrapText="1"/>
    </xf>
    <xf numFmtId="180" fontId="21" fillId="0" borderId="0" xfId="59955" applyNumberFormat="1" applyFont="1" applyFill="1" applyAlignment="1">
      <alignment horizontal="left" wrapText="1"/>
    </xf>
    <xf numFmtId="4" fontId="21" fillId="0" borderId="0" xfId="59955" applyNumberFormat="1" applyFont="1" applyAlignment="1">
      <alignment horizontal="left" wrapText="1"/>
    </xf>
    <xf numFmtId="37" fontId="21" fillId="0" borderId="0" xfId="59955" applyNumberFormat="1" applyFont="1" applyAlignment="1">
      <alignment horizontal="left" wrapText="1"/>
    </xf>
    <xf numFmtId="169" fontId="21" fillId="0" borderId="0" xfId="59955" applyNumberFormat="1" applyFont="1" applyAlignment="1">
      <alignment horizontal="left" wrapText="1"/>
    </xf>
    <xf numFmtId="37" fontId="21" fillId="0" borderId="0" xfId="59955" applyNumberFormat="1" applyFont="1" applyFill="1" applyAlignment="1">
      <alignment horizontal="left" wrapText="1"/>
    </xf>
    <xf numFmtId="37" fontId="21" fillId="18" borderId="0" xfId="59955" applyNumberFormat="1" applyFont="1" applyFill="1" applyAlignment="1">
      <alignment horizontal="left" wrapText="1"/>
    </xf>
    <xf numFmtId="0" fontId="5" fillId="0" borderId="0" xfId="59955" applyNumberFormat="1" applyFont="1" applyAlignment="1">
      <alignment horizontal="left" wrapText="1"/>
    </xf>
    <xf numFmtId="180" fontId="5" fillId="0" borderId="0" xfId="59955" applyNumberFormat="1" applyFont="1" applyFill="1" applyAlignment="1">
      <alignment horizontal="left" wrapText="1"/>
    </xf>
    <xf numFmtId="4" fontId="5" fillId="0" borderId="0" xfId="59955" applyNumberFormat="1" applyFont="1" applyAlignment="1">
      <alignment horizontal="left" wrapText="1"/>
    </xf>
    <xf numFmtId="37" fontId="5" fillId="0" borderId="0" xfId="59955" applyNumberFormat="1" applyFont="1" applyAlignment="1">
      <alignment horizontal="left" wrapText="1"/>
    </xf>
    <xf numFmtId="169" fontId="5" fillId="0" borderId="0" xfId="59955" applyNumberFormat="1" applyFont="1" applyAlignment="1">
      <alignment horizontal="left" wrapText="1"/>
    </xf>
    <xf numFmtId="37" fontId="5" fillId="0" borderId="0" xfId="59955" applyNumberFormat="1" applyFont="1" applyFill="1" applyAlignment="1">
      <alignment horizontal="left" wrapText="1"/>
    </xf>
    <xf numFmtId="0" fontId="5" fillId="0" borderId="0" xfId="59955" applyFont="1"/>
    <xf numFmtId="37" fontId="5" fillId="18" borderId="0" xfId="59955" applyNumberFormat="1" applyFont="1" applyFill="1" applyAlignment="1">
      <alignment horizontal="left" wrapText="1"/>
    </xf>
    <xf numFmtId="169" fontId="5" fillId="0" borderId="0" xfId="59955" applyNumberFormat="1" applyFont="1"/>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168" fontId="5" fillId="0" borderId="0" xfId="0" applyNumberFormat="1" applyFont="1" applyAlignment="1">
      <alignment horizontal="center"/>
    </xf>
    <xf numFmtId="168"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169" fontId="19" fillId="0" borderId="4" xfId="0" applyNumberFormat="1" applyFont="1" applyBorder="1"/>
    <xf numFmtId="169"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37" fontId="5" fillId="0" borderId="0" xfId="0" applyNumberFormat="1" applyFont="1" applyFill="1"/>
    <xf numFmtId="37" fontId="19" fillId="0" borderId="0"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168" fontId="19" fillId="0" borderId="14" xfId="0" applyNumberFormat="1" applyFont="1" applyBorder="1" applyAlignment="1"/>
    <xf numFmtId="37" fontId="19" fillId="0" borderId="0" xfId="0" applyNumberFormat="1" applyFont="1" applyBorder="1" applyAlignment="1">
      <alignment horizontal="right"/>
    </xf>
    <xf numFmtId="37" fontId="56" fillId="0" borderId="0" xfId="0" applyNumberFormat="1" applyFont="1" applyFill="1" applyAlignment="1"/>
    <xf numFmtId="0" fontId="5" fillId="0" borderId="0" xfId="0" applyNumberFormat="1" applyFont="1"/>
    <xf numFmtId="0" fontId="5" fillId="0" borderId="0" xfId="0" applyNumberFormat="1" applyFont="1" applyBorder="1"/>
    <xf numFmtId="0" fontId="57"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8" fillId="0" borderId="0" xfId="59989" applyNumberFormat="1" applyFont="1"/>
    <xf numFmtId="0" fontId="58"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72"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8"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168" fontId="5" fillId="0" borderId="0" xfId="59989" applyNumberFormat="1" applyFont="1" applyAlignment="1"/>
    <xf numFmtId="37" fontId="5" fillId="0" borderId="0" xfId="59989" applyNumberFormat="1" applyFont="1" applyBorder="1" applyAlignment="1">
      <alignment horizontal="right"/>
    </xf>
    <xf numFmtId="168"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169" fontId="19" fillId="0" borderId="8" xfId="59989" applyNumberFormat="1" applyFont="1" applyBorder="1" applyAlignment="1"/>
    <xf numFmtId="37" fontId="19" fillId="0" borderId="0" xfId="59989" applyNumberFormat="1" applyFont="1" applyBorder="1" applyAlignment="1"/>
    <xf numFmtId="168" fontId="19" fillId="0" borderId="9" xfId="59989" applyNumberFormat="1" applyFont="1" applyBorder="1" applyAlignment="1"/>
    <xf numFmtId="0" fontId="19" fillId="0" borderId="0" xfId="59989" applyNumberFormat="1" applyFont="1" applyAlignment="1">
      <alignment horizontal="right"/>
    </xf>
    <xf numFmtId="3" fontId="58" fillId="0" borderId="0" xfId="59989" applyNumberFormat="1" applyFont="1" applyAlignment="1"/>
    <xf numFmtId="3" fontId="58"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169"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8" fontId="5" fillId="0" borderId="0" xfId="59989" quotePrefix="1" applyNumberFormat="1" applyFont="1" applyAlignment="1">
      <alignment horizontal="right"/>
    </xf>
    <xf numFmtId="168" fontId="5" fillId="0" borderId="2" xfId="59990" applyNumberFormat="1" applyFont="1" applyBorder="1" applyAlignment="1">
      <alignment horizontal="right"/>
    </xf>
    <xf numFmtId="178" fontId="5" fillId="0" borderId="0" xfId="59989" applyNumberFormat="1" applyFont="1" applyAlignment="1">
      <alignment horizontal="right"/>
    </xf>
    <xf numFmtId="168" fontId="5" fillId="0" borderId="2" xfId="59990" applyNumberFormat="1" applyFont="1" applyBorder="1" applyAlignment="1">
      <alignment horizontal="center"/>
    </xf>
    <xf numFmtId="168" fontId="5" fillId="0" borderId="2" xfId="59989" applyNumberFormat="1" applyFont="1" applyBorder="1" applyAlignment="1">
      <alignment horizontal="right"/>
    </xf>
    <xf numFmtId="0" fontId="59" fillId="0" borderId="0" xfId="59989" applyNumberFormat="1" applyFont="1" applyAlignment="1">
      <alignment horizontal="left" indent="5"/>
    </xf>
    <xf numFmtId="0" fontId="5" fillId="0" borderId="0" xfId="59989" quotePrefix="1" applyNumberFormat="1" applyFont="1" applyAlignment="1"/>
    <xf numFmtId="169" fontId="19" fillId="0" borderId="3" xfId="59989" applyNumberFormat="1" applyFont="1" applyBorder="1" applyAlignment="1">
      <alignment horizontal="right"/>
    </xf>
    <xf numFmtId="37" fontId="19" fillId="0" borderId="0" xfId="59989" applyNumberFormat="1" applyFont="1" applyAlignment="1"/>
    <xf numFmtId="178" fontId="5" fillId="0" borderId="0" xfId="59989" applyNumberFormat="1" applyFont="1" applyBorder="1" applyAlignment="1">
      <alignment horizontal="right"/>
    </xf>
    <xf numFmtId="168" fontId="19" fillId="0" borderId="0" xfId="59989" applyNumberFormat="1" applyFont="1" applyBorder="1" applyAlignment="1">
      <alignment horizontal="right"/>
    </xf>
    <xf numFmtId="178" fontId="19" fillId="0" borderId="0" xfId="59989" applyNumberFormat="1" applyFont="1" applyAlignment="1">
      <alignment horizontal="right"/>
    </xf>
    <xf numFmtId="178" fontId="5" fillId="0" borderId="0" xfId="59989" applyNumberFormat="1" applyFont="1" applyAlignment="1"/>
    <xf numFmtId="178"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0" fontId="5" fillId="0" borderId="0" xfId="59990" applyNumberFormat="1" applyFont="1" applyAlignment="1">
      <alignment horizontal="right"/>
    </xf>
    <xf numFmtId="172"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 fillId="0" borderId="0" xfId="59990" applyNumberFormat="1" applyFont="1" applyAlignment="1">
      <alignment horizontal="right"/>
    </xf>
    <xf numFmtId="37" fontId="58" fillId="0" borderId="0" xfId="59989" applyNumberFormat="1" applyFont="1" applyAlignment="1"/>
    <xf numFmtId="0" fontId="5" fillId="0" borderId="0" xfId="59990" quotePrefix="1" applyNumberFormat="1" applyFont="1" applyAlignment="1"/>
    <xf numFmtId="168" fontId="5" fillId="0" borderId="0" xfId="59990" applyNumberFormat="1" applyFont="1" applyFill="1" applyAlignment="1"/>
    <xf numFmtId="168" fontId="5" fillId="0" borderId="0" xfId="59990" applyNumberFormat="1" applyFont="1" applyFill="1" applyAlignment="1">
      <alignment horizontal="center"/>
    </xf>
    <xf numFmtId="37" fontId="58" fillId="0" borderId="0" xfId="59989" applyNumberFormat="1" applyFont="1" applyFill="1" applyAlignment="1"/>
    <xf numFmtId="0" fontId="58" fillId="0" borderId="0" xfId="59989" quotePrefix="1" applyNumberFormat="1" applyFont="1" applyAlignment="1"/>
    <xf numFmtId="181" fontId="5" fillId="0" borderId="0" xfId="59990" applyNumberFormat="1" applyFont="1" applyAlignment="1">
      <alignment horizontal="center"/>
    </xf>
    <xf numFmtId="169" fontId="5" fillId="0" borderId="0" xfId="59990" applyNumberFormat="1" applyFont="1" applyFill="1" applyAlignment="1">
      <alignment horizontal="center"/>
    </xf>
    <xf numFmtId="37" fontId="5" fillId="0" borderId="0" xfId="59990" applyNumberFormat="1" applyFont="1" applyFill="1" applyAlignment="1"/>
    <xf numFmtId="171" fontId="5" fillId="0" borderId="0" xfId="59990" applyNumberFormat="1" applyFont="1" applyAlignment="1">
      <alignment horizontal="center"/>
    </xf>
    <xf numFmtId="3" fontId="5" fillId="0" borderId="0" xfId="59990" applyNumberFormat="1" applyFont="1" applyAlignment="1">
      <alignment horizontal="center"/>
    </xf>
    <xf numFmtId="0" fontId="5" fillId="0" borderId="0" xfId="59990" applyNumberFormat="1" applyFont="1" applyAlignment="1">
      <alignment horizontal="center"/>
    </xf>
    <xf numFmtId="0" fontId="5" fillId="0" borderId="0" xfId="59990" quotePrefix="1" applyNumberFormat="1" applyFont="1" applyAlignment="1">
      <alignment horizontal="left"/>
    </xf>
    <xf numFmtId="0" fontId="5" fillId="0" borderId="0" xfId="59990" applyNumberFormat="1" applyFont="1" applyFill="1" applyAlignment="1"/>
    <xf numFmtId="0" fontId="58" fillId="0" borderId="0" xfId="59989" applyNumberFormat="1" applyFont="1" applyAlignment="1">
      <alignment horizontal="left"/>
    </xf>
    <xf numFmtId="37" fontId="5" fillId="0" borderId="0" xfId="59990" applyNumberFormat="1" applyFont="1" applyFill="1" applyBorder="1" applyAlignment="1"/>
    <xf numFmtId="3" fontId="5" fillId="0" borderId="0" xfId="59990" applyNumberFormat="1" applyFont="1" applyAlignment="1">
      <alignment horizontal="right"/>
    </xf>
    <xf numFmtId="0" fontId="58" fillId="0" borderId="0" xfId="59989" applyNumberFormat="1" applyFont="1" applyAlignment="1">
      <alignment horizontal="center"/>
    </xf>
    <xf numFmtId="39" fontId="5" fillId="0" borderId="0" xfId="59990" applyNumberFormat="1" applyFont="1" applyFill="1" applyAlignment="1"/>
    <xf numFmtId="37" fontId="19" fillId="0" borderId="8" xfId="59990" applyNumberFormat="1" applyFont="1" applyBorder="1" applyAlignment="1"/>
    <xf numFmtId="0" fontId="19" fillId="0" borderId="0" xfId="59990" quotePrefix="1" applyNumberFormat="1" applyFont="1" applyAlignment="1">
      <alignment horizontal="left"/>
    </xf>
    <xf numFmtId="0" fontId="59"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169" fontId="19" fillId="0" borderId="8" xfId="59990" applyNumberFormat="1" applyFont="1" applyBorder="1" applyAlignment="1"/>
    <xf numFmtId="37" fontId="19" fillId="0" borderId="0" xfId="59990" applyNumberFormat="1" applyFont="1" applyBorder="1" applyAlignment="1"/>
    <xf numFmtId="0" fontId="58" fillId="0" borderId="0" xfId="59989" applyNumberFormat="1" applyFont="1" applyAlignment="1">
      <alignment horizontal="right"/>
    </xf>
    <xf numFmtId="39" fontId="58" fillId="0" borderId="0" xfId="59989" applyNumberFormat="1" applyFont="1"/>
    <xf numFmtId="39" fontId="58" fillId="0" borderId="0" xfId="59989" applyNumberFormat="1" applyFont="1" applyAlignment="1"/>
    <xf numFmtId="0" fontId="5" fillId="0" borderId="0" xfId="59989" applyNumberFormat="1" applyFont="1" applyFill="1" applyAlignment="1"/>
    <xf numFmtId="0" fontId="6" fillId="0" borderId="0" xfId="36083" applyFont="1"/>
    <xf numFmtId="0" fontId="5" fillId="0" borderId="0" xfId="36083" applyFont="1"/>
    <xf numFmtId="0" fontId="5" fillId="0" borderId="0" xfId="36083" applyFont="1" applyBorder="1"/>
    <xf numFmtId="0" fontId="6" fillId="0" borderId="0" xfId="36083" applyFont="1" applyAlignment="1">
      <alignment horizontal="right"/>
    </xf>
    <xf numFmtId="0" fontId="5" fillId="0" borderId="16" xfId="36083" applyFont="1" applyBorder="1"/>
    <xf numFmtId="0" fontId="11" fillId="0" borderId="0" xfId="36083" applyFont="1"/>
    <xf numFmtId="0" fontId="10" fillId="0" borderId="0" xfId="36083" applyFont="1" applyAlignment="1">
      <alignment horizontal="center"/>
    </xf>
    <xf numFmtId="0" fontId="10" fillId="0" borderId="0" xfId="36083" applyFont="1" applyBorder="1" applyAlignment="1">
      <alignment horizontal="center"/>
    </xf>
    <xf numFmtId="0" fontId="11" fillId="0" borderId="0" xfId="36083" applyFont="1" applyBorder="1"/>
    <xf numFmtId="0" fontId="11" fillId="0" borderId="16" xfId="36083" applyFont="1" applyBorder="1"/>
    <xf numFmtId="0" fontId="10" fillId="0" borderId="2" xfId="36083" applyFont="1" applyBorder="1" applyAlignment="1">
      <alignment horizontal="center"/>
    </xf>
    <xf numFmtId="173" fontId="10" fillId="0" borderId="2" xfId="36083" quotePrefix="1" applyNumberFormat="1" applyFont="1" applyBorder="1" applyAlignment="1">
      <alignment horizontal="center"/>
    </xf>
    <xf numFmtId="0" fontId="56" fillId="0" borderId="0" xfId="36083" applyFont="1"/>
    <xf numFmtId="0" fontId="56" fillId="0" borderId="0" xfId="36083" applyFont="1" applyBorder="1"/>
    <xf numFmtId="0" fontId="56" fillId="0" borderId="16" xfId="36083" applyFont="1" applyBorder="1"/>
    <xf numFmtId="0" fontId="19" fillId="0" borderId="0" xfId="36083" applyFont="1"/>
    <xf numFmtId="0" fontId="19" fillId="0" borderId="0" xfId="36083" applyFont="1" applyBorder="1"/>
    <xf numFmtId="170" fontId="5" fillId="0" borderId="0" xfId="36083" applyNumberFormat="1" applyFont="1" applyAlignment="1">
      <alignment horizontal="right"/>
    </xf>
    <xf numFmtId="0" fontId="19" fillId="0" borderId="0" xfId="36083" applyNumberFormat="1" applyFont="1" applyAlignment="1">
      <alignment horizontal="right"/>
    </xf>
    <xf numFmtId="171" fontId="56" fillId="0" borderId="0" xfId="36083" applyNumberFormat="1" applyFont="1"/>
    <xf numFmtId="171" fontId="56" fillId="0" borderId="0" xfId="36083" applyNumberFormat="1" applyFont="1" applyAlignment="1">
      <alignment horizontal="right"/>
    </xf>
    <xf numFmtId="39" fontId="56" fillId="0" borderId="0" xfId="36083" applyNumberFormat="1" applyFont="1" applyAlignment="1">
      <alignment horizontal="right"/>
    </xf>
    <xf numFmtId="171" fontId="5" fillId="0" borderId="0" xfId="36083" applyNumberFormat="1" applyFont="1" applyBorder="1"/>
    <xf numFmtId="171" fontId="5" fillId="0" borderId="0" xfId="36083" applyNumberFormat="1" applyFont="1" applyAlignment="1">
      <alignment horizontal="right"/>
    </xf>
    <xf numFmtId="171" fontId="5" fillId="0" borderId="0" xfId="36083" quotePrefix="1" applyNumberFormat="1" applyFont="1" applyAlignment="1">
      <alignment horizontal="right"/>
    </xf>
    <xf numFmtId="39" fontId="5" fillId="0" borderId="0" xfId="36083" quotePrefix="1" applyNumberFormat="1" applyFont="1" applyAlignment="1">
      <alignment horizontal="right"/>
    </xf>
    <xf numFmtId="171" fontId="5" fillId="0" borderId="0" xfId="36083" applyNumberFormat="1" applyFont="1" applyBorder="1" applyAlignment="1">
      <alignment horizontal="right"/>
    </xf>
    <xf numFmtId="39" fontId="5" fillId="0" borderId="0" xfId="36083" quotePrefix="1" applyNumberFormat="1" applyFont="1" applyAlignment="1">
      <alignment horizontal="center"/>
    </xf>
    <xf numFmtId="39" fontId="5" fillId="0" borderId="0" xfId="36083" applyNumberFormat="1" applyFont="1"/>
    <xf numFmtId="39" fontId="56" fillId="0" borderId="0" xfId="36083" applyNumberFormat="1" applyFont="1"/>
    <xf numFmtId="171" fontId="5" fillId="0" borderId="0" xfId="36083" quotePrefix="1" applyNumberFormat="1" applyFont="1" applyAlignment="1">
      <alignment horizontal="center"/>
    </xf>
    <xf numFmtId="171" fontId="5" fillId="0" borderId="0" xfId="36083" applyNumberFormat="1" applyFont="1"/>
    <xf numFmtId="39" fontId="5" fillId="0" borderId="0" xfId="36083" quotePrefix="1" applyNumberFormat="1" applyFont="1" applyAlignment="1"/>
    <xf numFmtId="171" fontId="5" fillId="0" borderId="0" xfId="36083" applyNumberFormat="1" applyFont="1" applyAlignment="1">
      <alignment horizontal="center"/>
    </xf>
    <xf numFmtId="39" fontId="5" fillId="0" borderId="0" xfId="36083" applyNumberFormat="1" applyFont="1" applyAlignment="1">
      <alignment horizontal="right"/>
    </xf>
    <xf numFmtId="170" fontId="19" fillId="0" borderId="10" xfId="36083" applyNumberFormat="1" applyFont="1" applyBorder="1" applyAlignment="1">
      <alignment horizontal="right"/>
    </xf>
    <xf numFmtId="0" fontId="19" fillId="0" borderId="16" xfId="36083" applyFont="1" applyBorder="1"/>
    <xf numFmtId="171" fontId="19" fillId="0" borderId="0" xfId="36083" applyNumberFormat="1" applyFont="1" applyAlignment="1">
      <alignment horizontal="right"/>
    </xf>
    <xf numFmtId="39" fontId="5" fillId="0" borderId="0" xfId="36083" applyNumberFormat="1" applyFont="1" applyBorder="1"/>
    <xf numFmtId="0" fontId="8" fillId="0" borderId="0" xfId="36083" applyFont="1" applyFill="1"/>
    <xf numFmtId="0" fontId="8" fillId="0" borderId="0" xfId="36083" applyFont="1" applyFill="1" applyBorder="1"/>
    <xf numFmtId="39" fontId="8" fillId="0" borderId="0" xfId="36083" applyNumberFormat="1" applyFont="1" applyFill="1" applyAlignment="1">
      <alignment horizontal="right"/>
    </xf>
    <xf numFmtId="39" fontId="8" fillId="0" borderId="0" xfId="36083" applyNumberFormat="1" applyFont="1" applyFill="1"/>
    <xf numFmtId="0" fontId="8" fillId="0" borderId="0" xfId="36083" quotePrefix="1" applyFont="1" applyFill="1" applyAlignment="1">
      <alignment horizontal="left"/>
    </xf>
    <xf numFmtId="183" fontId="8" fillId="0" borderId="0" xfId="36083" applyNumberFormat="1" applyFont="1" applyFill="1" applyBorder="1" applyAlignment="1">
      <alignment horizontal="center"/>
    </xf>
    <xf numFmtId="183" fontId="8" fillId="0" borderId="0" xfId="36083" applyNumberFormat="1" applyFont="1" applyFill="1" applyBorder="1"/>
    <xf numFmtId="0" fontId="10" fillId="0" borderId="0" xfId="0" applyFont="1" applyFill="1"/>
    <xf numFmtId="0" fontId="56" fillId="0" borderId="0" xfId="0" applyFont="1" applyFill="1"/>
    <xf numFmtId="0" fontId="5" fillId="0" borderId="0" xfId="0" applyFont="1" applyFill="1"/>
    <xf numFmtId="0" fontId="5" fillId="0" borderId="0" xfId="0" applyFont="1" applyFill="1" applyAlignment="1">
      <alignment horizontal="left"/>
    </xf>
    <xf numFmtId="0" fontId="18" fillId="0" borderId="0" xfId="0" applyFont="1" applyFill="1" applyAlignment="1">
      <alignment horizontal="righ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60" fillId="0" borderId="0" xfId="0" applyFont="1" applyFill="1" applyAlignment="1">
      <alignment horizontal="center"/>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21" fillId="0" borderId="0" xfId="0" applyFont="1" applyFill="1" applyAlignment="1">
      <alignment horizontal="center"/>
    </xf>
    <xf numFmtId="0" fontId="19" fillId="0" borderId="0" xfId="0" applyNumberFormat="1" applyFont="1" applyFill="1" applyAlignment="1">
      <alignment horizontal="right"/>
    </xf>
    <xf numFmtId="168" fontId="21" fillId="0" borderId="0" xfId="59991" applyNumberFormat="1" applyFont="1" applyFill="1"/>
    <xf numFmtId="181" fontId="5" fillId="0" borderId="0" xfId="59991" applyNumberFormat="1" applyFont="1" applyFill="1" applyAlignment="1">
      <alignment horizontal="left"/>
    </xf>
    <xf numFmtId="181" fontId="5" fillId="0" borderId="0" xfId="59991" applyNumberFormat="1" applyFont="1" applyFill="1"/>
    <xf numFmtId="181" fontId="56" fillId="0" borderId="0" xfId="59991" applyNumberFormat="1" applyFont="1" applyFill="1"/>
    <xf numFmtId="0" fontId="56" fillId="0" borderId="0" xfId="0" applyFont="1" applyFill="1" applyAlignment="1">
      <alignment horizontal="center"/>
    </xf>
    <xf numFmtId="0" fontId="56" fillId="0" borderId="0" xfId="0" applyFont="1" applyFill="1" applyBorder="1"/>
    <xf numFmtId="169" fontId="21" fillId="0" borderId="0" xfId="59991" applyNumberFormat="1" applyFont="1" applyFill="1"/>
    <xf numFmtId="181" fontId="56" fillId="0" borderId="0" xfId="59991" applyNumberFormat="1" applyFont="1" applyFill="1" applyAlignment="1">
      <alignment horizontal="left"/>
    </xf>
    <xf numFmtId="169" fontId="56" fillId="0" borderId="0" xfId="59991" applyNumberFormat="1" applyFont="1" applyFill="1"/>
    <xf numFmtId="169" fontId="5" fillId="0" borderId="0" xfId="59991" applyNumberFormat="1" applyFont="1" applyFill="1"/>
    <xf numFmtId="0" fontId="21" fillId="0" borderId="0" xfId="0" applyFont="1" applyFill="1" applyBorder="1"/>
    <xf numFmtId="169" fontId="21" fillId="0" borderId="0" xfId="0" applyNumberFormat="1" applyFont="1" applyFill="1"/>
    <xf numFmtId="169" fontId="56" fillId="0" borderId="0" xfId="0" applyNumberFormat="1" applyFont="1" applyFill="1"/>
    <xf numFmtId="169" fontId="21" fillId="0" borderId="0" xfId="59991" quotePrefix="1" applyNumberFormat="1" applyFont="1" applyFill="1" applyAlignment="1">
      <alignment horizontal="center"/>
    </xf>
    <xf numFmtId="0" fontId="5" fillId="0" borderId="0" xfId="0" applyFont="1" applyFill="1" applyBorder="1" applyAlignment="1">
      <alignment horizontal="center"/>
    </xf>
    <xf numFmtId="0" fontId="5" fillId="0" borderId="0" xfId="0" quotePrefix="1" applyFont="1" applyFill="1" applyAlignment="1">
      <alignment horizontal="center"/>
    </xf>
    <xf numFmtId="169" fontId="5" fillId="0" borderId="0" xfId="0" applyNumberFormat="1" applyFont="1" applyFill="1" applyBorder="1" applyAlignment="1">
      <alignment horizontal="center"/>
    </xf>
    <xf numFmtId="0" fontId="21" fillId="0" borderId="0" xfId="0" quotePrefix="1" applyFont="1" applyFill="1" applyAlignment="1">
      <alignment horizontal="center"/>
    </xf>
    <xf numFmtId="169" fontId="21" fillId="0" borderId="2" xfId="59991" quotePrefix="1" applyNumberFormat="1" applyFont="1" applyFill="1" applyBorder="1" applyAlignment="1">
      <alignment horizontal="center"/>
    </xf>
    <xf numFmtId="169" fontId="5" fillId="0" borderId="2" xfId="0" applyNumberFormat="1" applyFont="1" applyFill="1" applyBorder="1" applyAlignment="1">
      <alignment horizontal="center"/>
    </xf>
    <xf numFmtId="181" fontId="5" fillId="0" borderId="0" xfId="59991" applyNumberFormat="1" applyFont="1" applyFill="1" applyAlignment="1">
      <alignment horizontal="center"/>
    </xf>
    <xf numFmtId="181" fontId="5" fillId="0" borderId="0" xfId="59991" applyNumberFormat="1" applyFont="1" applyFill="1" applyAlignment="1"/>
    <xf numFmtId="0" fontId="19" fillId="0" borderId="0" xfId="0" applyFont="1" applyFill="1" applyAlignment="1"/>
    <xf numFmtId="168" fontId="19" fillId="0" borderId="10" xfId="59991" applyNumberFormat="1" applyFont="1" applyFill="1" applyBorder="1"/>
    <xf numFmtId="181" fontId="5" fillId="0" borderId="0" xfId="59991" applyNumberFormat="1" applyFont="1" applyFill="1" applyBorder="1"/>
    <xf numFmtId="0" fontId="5" fillId="0" borderId="0" xfId="0" applyNumberFormat="1" applyFont="1" applyFill="1"/>
    <xf numFmtId="0" fontId="10" fillId="0" borderId="0" xfId="0" applyFont="1"/>
    <xf numFmtId="0" fontId="5" fillId="0" borderId="0" xfId="0" applyFont="1"/>
    <xf numFmtId="0" fontId="21" fillId="0" borderId="0" xfId="0" applyFont="1"/>
    <xf numFmtId="181" fontId="5" fillId="0" borderId="0" xfId="0" applyNumberFormat="1" applyFont="1"/>
    <xf numFmtId="0" fontId="10" fillId="0" borderId="0" xfId="0" applyFont="1" applyAlignment="1">
      <alignment horizontal="right"/>
    </xf>
    <xf numFmtId="0" fontId="19" fillId="0" borderId="0" xfId="0" applyFont="1"/>
    <xf numFmtId="0" fontId="61" fillId="0" borderId="0" xfId="0" applyFont="1" applyFill="1"/>
    <xf numFmtId="0" fontId="62" fillId="0" borderId="0" xfId="0" applyFont="1" applyFill="1" applyAlignment="1">
      <alignment horizontal="center"/>
    </xf>
    <xf numFmtId="0" fontId="62" fillId="0" borderId="0" xfId="0" quotePrefix="1" applyFont="1" applyFill="1" applyAlignment="1">
      <alignment horizontal="center"/>
    </xf>
    <xf numFmtId="0" fontId="62" fillId="0" borderId="0" xfId="0" applyFont="1" applyFill="1" applyAlignment="1">
      <alignment horizontal="centerContinuous"/>
    </xf>
    <xf numFmtId="0" fontId="62" fillId="0" borderId="2" xfId="0" applyFont="1" applyFill="1" applyBorder="1" applyAlignment="1">
      <alignment horizontal="centerContinuous"/>
    </xf>
    <xf numFmtId="0" fontId="62" fillId="0" borderId="0" xfId="0" applyFont="1" applyFill="1" applyBorder="1" applyAlignment="1">
      <alignment horizontal="centerContinuous"/>
    </xf>
    <xf numFmtId="0" fontId="62" fillId="0" borderId="2" xfId="0" applyFont="1" applyFill="1" applyBorder="1"/>
    <xf numFmtId="0" fontId="62" fillId="0" borderId="0" xfId="0" applyFont="1" applyFill="1" applyBorder="1"/>
    <xf numFmtId="0" fontId="62" fillId="0" borderId="2" xfId="0" quotePrefix="1" applyFont="1" applyFill="1" applyBorder="1" applyAlignment="1">
      <alignment horizontal="center"/>
    </xf>
    <xf numFmtId="0" fontId="62" fillId="0" borderId="0" xfId="0" quotePrefix="1" applyFont="1" applyFill="1" applyBorder="1" applyAlignment="1">
      <alignment horizontal="center"/>
    </xf>
    <xf numFmtId="49" fontId="62" fillId="0" borderId="2" xfId="0" applyNumberFormat="1" applyFont="1" applyFill="1" applyBorder="1" applyAlignment="1">
      <alignment horizontal="center"/>
    </xf>
    <xf numFmtId="49" fontId="62" fillId="0" borderId="2" xfId="0" quotePrefix="1" applyNumberFormat="1" applyFont="1" applyFill="1" applyBorder="1" applyAlignment="1">
      <alignment horizontal="center"/>
    </xf>
    <xf numFmtId="0" fontId="62" fillId="0" borderId="3" xfId="0" applyFont="1" applyFill="1" applyBorder="1" applyAlignment="1">
      <alignment horizontal="center"/>
    </xf>
    <xf numFmtId="0" fontId="62" fillId="0" borderId="0" xfId="0" applyFont="1" applyFill="1" applyBorder="1" applyAlignment="1">
      <alignment horizontal="center"/>
    </xf>
    <xf numFmtId="39" fontId="61" fillId="0" borderId="0" xfId="0" applyNumberFormat="1" applyFont="1" applyFill="1"/>
    <xf numFmtId="39" fontId="63" fillId="0" borderId="0" xfId="0" applyNumberFormat="1" applyFont="1" applyFill="1"/>
    <xf numFmtId="0" fontId="63" fillId="0" borderId="0" xfId="0" applyFont="1" applyFill="1"/>
    <xf numFmtId="0" fontId="5" fillId="0" borderId="0" xfId="0" applyFont="1" applyAlignment="1">
      <alignment horizontal="center"/>
    </xf>
    <xf numFmtId="168" fontId="63" fillId="0" borderId="0" xfId="0" applyNumberFormat="1" applyFont="1" applyFill="1" applyAlignment="1">
      <alignment horizontal="right"/>
    </xf>
    <xf numFmtId="169" fontId="63" fillId="0" borderId="0" xfId="0" applyNumberFormat="1" applyFont="1" applyFill="1" applyAlignment="1">
      <alignment horizontal="center"/>
    </xf>
    <xf numFmtId="169" fontId="63" fillId="0" borderId="0" xfId="0" applyNumberFormat="1" applyFont="1" applyFill="1" applyAlignment="1">
      <alignment horizontal="right"/>
    </xf>
    <xf numFmtId="169" fontId="61" fillId="0" borderId="0" xfId="0" applyNumberFormat="1" applyFont="1" applyFill="1" applyAlignment="1">
      <alignment horizontal="right"/>
    </xf>
    <xf numFmtId="169" fontId="61" fillId="0" borderId="0" xfId="0" quotePrefix="1" applyNumberFormat="1" applyFont="1" applyFill="1" applyBorder="1" applyAlignment="1">
      <alignment horizontal="right"/>
    </xf>
    <xf numFmtId="169" fontId="61" fillId="0" borderId="0" xfId="0" applyNumberFormat="1" applyFont="1" applyFill="1" applyBorder="1" applyAlignment="1">
      <alignment horizontal="right"/>
    </xf>
    <xf numFmtId="169" fontId="63" fillId="0" borderId="0" xfId="0" applyNumberFormat="1" applyFont="1" applyFill="1"/>
    <xf numFmtId="169" fontId="61" fillId="0" borderId="0" xfId="0" applyNumberFormat="1" applyFont="1" applyFill="1"/>
    <xf numFmtId="169" fontId="63" fillId="0" borderId="0" xfId="0" quotePrefix="1" applyNumberFormat="1" applyFont="1" applyFill="1" applyAlignment="1">
      <alignment horizontal="right"/>
    </xf>
    <xf numFmtId="0" fontId="61" fillId="0" borderId="0" xfId="0" quotePrefix="1" applyFont="1" applyFill="1" applyBorder="1" applyAlignment="1">
      <alignment horizontal="left"/>
    </xf>
    <xf numFmtId="169" fontId="61" fillId="0" borderId="0" xfId="0" applyNumberFormat="1" applyFont="1" applyFill="1" applyBorder="1" applyAlignment="1">
      <alignment horizontal="center"/>
    </xf>
    <xf numFmtId="169" fontId="63" fillId="0" borderId="0" xfId="0" applyNumberFormat="1" applyFont="1" applyFill="1" applyBorder="1" applyAlignment="1">
      <alignment horizontal="right"/>
    </xf>
    <xf numFmtId="169" fontId="63" fillId="0" borderId="0" xfId="0" applyNumberFormat="1" applyFont="1" applyFill="1" applyBorder="1" applyAlignment="1">
      <alignment horizontal="center"/>
    </xf>
    <xf numFmtId="0" fontId="61" fillId="0" borderId="0" xfId="0" quotePrefix="1" applyFont="1" applyFill="1" applyAlignment="1">
      <alignment horizontal="left"/>
    </xf>
    <xf numFmtId="169" fontId="61" fillId="0" borderId="0" xfId="0" applyNumberFormat="1" applyFont="1" applyFill="1" applyAlignment="1">
      <alignment horizontal="center"/>
    </xf>
    <xf numFmtId="39" fontId="61" fillId="0" borderId="0" xfId="0" applyNumberFormat="1" applyFont="1" applyFill="1" applyAlignment="1">
      <alignment horizontal="right"/>
    </xf>
    <xf numFmtId="181" fontId="61" fillId="0" borderId="0" xfId="59991" applyNumberFormat="1" applyFont="1" applyFill="1" applyAlignment="1">
      <alignment horizontal="right"/>
    </xf>
    <xf numFmtId="37" fontId="61" fillId="0" borderId="0" xfId="0" applyNumberFormat="1" applyFont="1" applyFill="1" applyAlignment="1">
      <alignment horizontal="right"/>
    </xf>
    <xf numFmtId="0" fontId="62" fillId="0" borderId="0" xfId="0" quotePrefix="1" applyFont="1" applyFill="1" applyAlignment="1">
      <alignment horizontal="left"/>
    </xf>
    <xf numFmtId="168" fontId="62" fillId="0" borderId="10" xfId="0" applyNumberFormat="1" applyFont="1" applyFill="1" applyBorder="1" applyAlignment="1">
      <alignment horizontal="right"/>
    </xf>
    <xf numFmtId="168" fontId="61" fillId="0" borderId="0" xfId="0" applyNumberFormat="1" applyFont="1" applyFill="1" applyAlignment="1">
      <alignment horizontal="right"/>
    </xf>
    <xf numFmtId="168" fontId="5" fillId="0" borderId="0" xfId="0" applyNumberFormat="1" applyFont="1" applyFill="1" applyAlignment="1"/>
    <xf numFmtId="0" fontId="0" fillId="0" borderId="0" xfId="0" applyBorder="1" applyAlignment="1">
      <alignment horizontal="center"/>
    </xf>
    <xf numFmtId="0" fontId="5" fillId="0" borderId="0" xfId="0" applyNumberFormat="1" applyFont="1" applyFill="1" applyBorder="1" applyAlignment="1">
      <alignment horizontal="center"/>
    </xf>
    <xf numFmtId="0" fontId="5" fillId="0" borderId="0" xfId="0" quotePrefix="1" applyNumberFormat="1" applyFont="1" applyFill="1" applyBorder="1" applyAlignment="1">
      <alignment horizontal="center"/>
    </xf>
    <xf numFmtId="0" fontId="5" fillId="0" borderId="0" xfId="0" quotePrefix="1" applyNumberFormat="1" applyFont="1" applyFill="1" applyAlignment="1">
      <alignment horizontal="left"/>
    </xf>
    <xf numFmtId="0" fontId="5" fillId="0" borderId="0" xfId="0" applyNumberFormat="1" applyFont="1" applyFill="1" applyAlignment="1">
      <alignment horizontal="center"/>
    </xf>
    <xf numFmtId="0" fontId="5" fillId="0" borderId="0" xfId="0" quotePrefix="1" applyNumberFormat="1" applyFont="1" applyAlignment="1">
      <alignment horizontal="left"/>
    </xf>
    <xf numFmtId="0" fontId="5" fillId="0" borderId="0" xfId="0" applyNumberFormat="1" applyFont="1" applyBorder="1" applyAlignment="1"/>
    <xf numFmtId="0" fontId="66"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9"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9"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6"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168" fontId="26" fillId="0" borderId="0" xfId="0" quotePrefix="1" applyNumberFormat="1" applyFont="1" applyFill="1" applyAlignment="1">
      <alignment horizontal="center"/>
    </xf>
    <xf numFmtId="168" fontId="26" fillId="0" borderId="0" xfId="0" applyNumberFormat="1" applyFont="1" applyFill="1" applyAlignment="1">
      <alignment horizontal="right"/>
    </xf>
    <xf numFmtId="168" fontId="26" fillId="0" borderId="0" xfId="0" quotePrefix="1" applyNumberFormat="1" applyFont="1" applyFill="1" applyAlignment="1"/>
    <xf numFmtId="0" fontId="25" fillId="0" borderId="0" xfId="0" applyNumberFormat="1" applyFont="1" applyFill="1" applyBorder="1" applyAlignment="1"/>
    <xf numFmtId="0" fontId="26" fillId="0" borderId="0" xfId="0" applyNumberFormat="1" applyFont="1" applyFill="1" applyAlignment="1"/>
    <xf numFmtId="169" fontId="26" fillId="0" borderId="0" xfId="0" quotePrefix="1" applyNumberFormat="1" applyFont="1" applyFill="1" applyAlignment="1">
      <alignment horizontal="center"/>
    </xf>
    <xf numFmtId="169" fontId="26" fillId="0" borderId="0" xfId="0" quotePrefix="1" applyNumberFormat="1" applyFont="1" applyFill="1" applyAlignment="1"/>
    <xf numFmtId="169"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169" fontId="26" fillId="0" borderId="0" xfId="0" quotePrefix="1" applyNumberFormat="1" applyFont="1" applyFill="1" applyAlignment="1">
      <alignment horizontal="right"/>
    </xf>
    <xf numFmtId="0" fontId="26" fillId="0" borderId="0" xfId="0" quotePrefix="1" applyNumberFormat="1" applyFont="1" applyFill="1" applyAlignment="1">
      <alignment horizontal="left"/>
    </xf>
    <xf numFmtId="168" fontId="26" fillId="0" borderId="0" xfId="0" applyNumberFormat="1" applyFont="1" applyFill="1" applyAlignment="1"/>
    <xf numFmtId="169"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169" fontId="26" fillId="0" borderId="0" xfId="0" applyNumberFormat="1" applyFont="1" applyFill="1" applyAlignment="1">
      <alignment horizontal="center"/>
    </xf>
    <xf numFmtId="0" fontId="26" fillId="0" borderId="0" xfId="0" applyNumberFormat="1" applyFont="1" applyFill="1" applyBorder="1" applyAlignment="1">
      <alignment horizontal="right"/>
    </xf>
    <xf numFmtId="169" fontId="26" fillId="0" borderId="0" xfId="0" applyNumberFormat="1" applyFont="1" applyFill="1" applyBorder="1" applyAlignment="1">
      <alignment horizontal="right"/>
    </xf>
    <xf numFmtId="168" fontId="40" fillId="0" borderId="10" xfId="0" applyNumberFormat="1" applyFont="1" applyFill="1" applyBorder="1" applyAlignment="1"/>
    <xf numFmtId="168" fontId="40" fillId="0" borderId="0" xfId="0" applyNumberFormat="1" applyFont="1" applyFill="1" applyAlignment="1">
      <alignment horizontal="right"/>
    </xf>
    <xf numFmtId="168"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70"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26" fillId="0" borderId="0" xfId="0" applyNumberFormat="1" applyFont="1" applyAlignment="1"/>
    <xf numFmtId="0" fontId="72" fillId="0" borderId="0" xfId="0" applyNumberFormat="1" applyFont="1" applyAlignment="1">
      <alignment horizontal="right"/>
    </xf>
    <xf numFmtId="0" fontId="40" fillId="0" borderId="0" xfId="0" applyNumberFormat="1" applyFont="1" applyAlignment="1"/>
    <xf numFmtId="0" fontId="40" fillId="0" borderId="2" xfId="0" applyNumberFormat="1" applyFont="1" applyBorder="1" applyAlignment="1">
      <alignment horizontal="centerContinuous"/>
    </xf>
    <xf numFmtId="0" fontId="40" fillId="0" borderId="0" xfId="0" applyNumberFormat="1" applyFont="1" applyBorder="1" applyAlignment="1"/>
    <xf numFmtId="0" fontId="40" fillId="0" borderId="0" xfId="0" applyNumberFormat="1" applyFont="1" applyAlignment="1">
      <alignment horizontal="center"/>
    </xf>
    <xf numFmtId="0" fontId="7" fillId="0" borderId="0" xfId="0" applyNumberFormat="1" applyFont="1" applyBorder="1" applyAlignment="1"/>
    <xf numFmtId="0" fontId="40" fillId="0" borderId="0" xfId="60070" applyNumberFormat="1" applyFont="1" applyFill="1" applyAlignment="1">
      <alignment horizontal="center"/>
    </xf>
    <xf numFmtId="0" fontId="40" fillId="0" borderId="0" xfId="0" applyNumberFormat="1" applyFont="1" applyAlignment="1">
      <alignment horizontal="right"/>
    </xf>
    <xf numFmtId="0" fontId="69" fillId="0" borderId="0" xfId="0" applyNumberFormat="1" applyFont="1" applyAlignment="1"/>
    <xf numFmtId="0" fontId="40" fillId="0" borderId="0" xfId="60070" applyNumberFormat="1" applyFont="1" applyFill="1" applyAlignment="1"/>
    <xf numFmtId="0" fontId="40" fillId="0" borderId="2" xfId="60070" applyNumberFormat="1" applyFont="1" applyFill="1" applyBorder="1" applyAlignment="1">
      <alignment horizontal="center"/>
    </xf>
    <xf numFmtId="0" fontId="40" fillId="0" borderId="0" xfId="0" quotePrefix="1" applyNumberFormat="1" applyFont="1" applyAlignment="1">
      <alignment horizontal="center"/>
    </xf>
    <xf numFmtId="0" fontId="40" fillId="0" borderId="0" xfId="0" applyNumberFormat="1" applyFont="1" applyBorder="1" applyAlignment="1">
      <alignment horizontal="center"/>
    </xf>
    <xf numFmtId="0" fontId="8" fillId="0" borderId="4" xfId="0" applyNumberFormat="1" applyFont="1" applyBorder="1" applyAlignment="1"/>
    <xf numFmtId="0" fontId="26" fillId="0" borderId="0" xfId="0" applyNumberFormat="1" applyFont="1" applyAlignment="1">
      <alignment horizontal="center"/>
    </xf>
    <xf numFmtId="168" fontId="26" fillId="0" borderId="0" xfId="0" quotePrefix="1" applyNumberFormat="1" applyFont="1" applyAlignment="1">
      <alignment horizontal="center"/>
    </xf>
    <xf numFmtId="0" fontId="70" fillId="0" borderId="0" xfId="0" applyNumberFormat="1" applyFont="1" applyAlignment="1"/>
    <xf numFmtId="0" fontId="26" fillId="0" borderId="0" xfId="0" applyNumberFormat="1" applyFont="1" applyBorder="1" applyAlignment="1"/>
    <xf numFmtId="169" fontId="26" fillId="0" borderId="0" xfId="0" quotePrefix="1" applyNumberFormat="1" applyFont="1" applyAlignment="1">
      <alignment horizontal="center"/>
    </xf>
    <xf numFmtId="3" fontId="26" fillId="0" borderId="0" xfId="0" quotePrefix="1" applyNumberFormat="1" applyFont="1" applyFill="1" applyAlignment="1">
      <alignment horizontal="center"/>
    </xf>
    <xf numFmtId="169" fontId="26" fillId="0" borderId="0" xfId="0" applyNumberFormat="1" applyFont="1" applyAlignment="1"/>
    <xf numFmtId="3" fontId="26" fillId="0" borderId="0" xfId="0" quotePrefix="1" applyNumberFormat="1" applyFont="1" applyFill="1" applyAlignment="1">
      <alignment horizontal="right"/>
    </xf>
    <xf numFmtId="0" fontId="26" fillId="0" borderId="0" xfId="0" applyNumberFormat="1" applyFont="1" applyAlignment="1">
      <alignment horizontal="right"/>
    </xf>
    <xf numFmtId="169" fontId="26" fillId="0" borderId="0" xfId="0" quotePrefix="1" applyNumberFormat="1" applyFont="1" applyAlignment="1"/>
    <xf numFmtId="0" fontId="76" fillId="0" borderId="0" xfId="0" applyNumberFormat="1" applyFont="1" applyFill="1" applyAlignment="1"/>
    <xf numFmtId="168" fontId="26" fillId="0" borderId="0" xfId="0" applyNumberFormat="1" applyFont="1" applyAlignment="1"/>
    <xf numFmtId="168" fontId="40" fillId="0" borderId="0" xfId="0" applyNumberFormat="1" applyFont="1" applyAlignment="1">
      <alignment horizontal="right"/>
    </xf>
    <xf numFmtId="169" fontId="26" fillId="0" borderId="0" xfId="0" applyNumberFormat="1" applyFont="1" applyBorder="1" applyAlignment="1"/>
    <xf numFmtId="3" fontId="26" fillId="0" borderId="6" xfId="0" applyNumberFormat="1" applyFont="1" applyBorder="1" applyAlignment="1"/>
    <xf numFmtId="0" fontId="26" fillId="0" borderId="6" xfId="0" applyNumberFormat="1" applyFont="1" applyFill="1" applyBorder="1" applyAlignment="1">
      <alignment horizontal="right"/>
    </xf>
    <xf numFmtId="0" fontId="26" fillId="0" borderId="6" xfId="0" applyNumberFormat="1" applyFont="1" applyBorder="1" applyAlignment="1"/>
    <xf numFmtId="3" fontId="40" fillId="0" borderId="6" xfId="0" applyNumberFormat="1" applyFont="1" applyFill="1" applyBorder="1" applyAlignment="1"/>
    <xf numFmtId="3" fontId="26" fillId="0" borderId="0" xfId="0" applyNumberFormat="1" applyFont="1" applyBorder="1" applyAlignment="1"/>
    <xf numFmtId="3" fontId="40" fillId="0" borderId="0" xfId="0" applyNumberFormat="1" applyFont="1" applyFill="1" applyBorder="1" applyAlignment="1"/>
    <xf numFmtId="0" fontId="25" fillId="0" borderId="0" xfId="0" applyNumberFormat="1" applyFont="1"/>
    <xf numFmtId="3" fontId="25" fillId="0" borderId="0" xfId="0" applyNumberFormat="1" applyFont="1"/>
    <xf numFmtId="0" fontId="19" fillId="0" borderId="0" xfId="0" applyNumberFormat="1" applyFont="1" applyAlignment="1">
      <alignment horizontal="centerContinuous"/>
    </xf>
    <xf numFmtId="0" fontId="19" fillId="0" borderId="0" xfId="0" applyNumberFormat="1" applyFont="1" applyBorder="1" applyAlignment="1"/>
    <xf numFmtId="0" fontId="5" fillId="0" borderId="4" xfId="0" applyNumberFormat="1" applyFont="1" applyBorder="1" applyAlignment="1"/>
    <xf numFmtId="3" fontId="5" fillId="0" borderId="0" xfId="0" applyNumberFormat="1" applyFont="1" applyAlignment="1"/>
    <xf numFmtId="168" fontId="5" fillId="0" borderId="0" xfId="0" applyNumberFormat="1" applyFont="1" applyAlignment="1">
      <alignment horizontal="right"/>
    </xf>
    <xf numFmtId="0" fontId="5" fillId="0" borderId="0" xfId="0" applyNumberFormat="1" applyFont="1" applyAlignment="1">
      <alignment horizontal="right"/>
    </xf>
    <xf numFmtId="168" fontId="19" fillId="0" borderId="4" xfId="0" applyNumberFormat="1" applyFont="1" applyBorder="1" applyAlignment="1"/>
    <xf numFmtId="168" fontId="19" fillId="0" borderId="0" xfId="0" applyNumberFormat="1" applyFont="1" applyBorder="1" applyAlignment="1"/>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72" fillId="0" borderId="0" xfId="0" applyNumberFormat="1" applyFont="1" applyAlignment="1"/>
    <xf numFmtId="0" fontId="34" fillId="0" borderId="0" xfId="0" applyNumberFormat="1" applyFont="1" applyAlignment="1"/>
    <xf numFmtId="0" fontId="72" fillId="0" borderId="0" xfId="0" quotePrefix="1" applyNumberFormat="1" applyFont="1" applyAlignment="1" applyProtection="1">
      <alignment horizontal="left"/>
      <protection locked="0"/>
    </xf>
    <xf numFmtId="0" fontId="72" fillId="0" borderId="0" xfId="0" applyNumberFormat="1" applyFont="1" applyAlignment="1">
      <alignment horizontal="center"/>
    </xf>
    <xf numFmtId="0" fontId="72" fillId="0" borderId="0" xfId="0" applyNumberFormat="1" applyFont="1" applyAlignment="1">
      <alignment horizontal="centerContinuous"/>
    </xf>
    <xf numFmtId="0" fontId="34" fillId="0" borderId="0" xfId="0" applyNumberFormat="1" applyFont="1" applyAlignment="1">
      <alignment horizontal="centerContinuous"/>
    </xf>
    <xf numFmtId="0" fontId="72" fillId="0" borderId="4" xfId="0" applyNumberFormat="1" applyFont="1" applyBorder="1" applyAlignment="1">
      <alignment horizontal="center"/>
    </xf>
    <xf numFmtId="0" fontId="34" fillId="0" borderId="4" xfId="0" applyNumberFormat="1" applyFont="1" applyBorder="1" applyAlignment="1"/>
    <xf numFmtId="0" fontId="89"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84" fontId="34" fillId="0" borderId="0" xfId="0" applyNumberFormat="1" applyFont="1" applyBorder="1" applyAlignment="1" applyProtection="1">
      <protection locked="0"/>
    </xf>
    <xf numFmtId="184" fontId="34" fillId="0" borderId="0" xfId="0" applyNumberFormat="1" applyFont="1" applyBorder="1" applyAlignment="1"/>
    <xf numFmtId="3" fontId="34" fillId="0" borderId="0" xfId="0" applyNumberFormat="1" applyFont="1" applyBorder="1" applyAlignment="1"/>
    <xf numFmtId="3" fontId="90" fillId="0" borderId="0" xfId="0" applyNumberFormat="1" applyFont="1" applyBorder="1" applyAlignment="1" applyProtection="1">
      <protection locked="0"/>
    </xf>
    <xf numFmtId="0" fontId="5" fillId="0" borderId="0" xfId="0" applyNumberFormat="1" applyFont="1" applyBorder="1" applyAlignment="1" applyProtection="1">
      <protection locked="0"/>
    </xf>
    <xf numFmtId="184" fontId="5" fillId="0" borderId="0" xfId="0" applyNumberFormat="1" applyFont="1" applyBorder="1" applyAlignment="1" applyProtection="1">
      <protection locked="0"/>
    </xf>
    <xf numFmtId="184" fontId="5" fillId="0" borderId="0" xfId="0" applyNumberFormat="1" applyFont="1" applyBorder="1" applyAlignment="1"/>
    <xf numFmtId="3" fontId="21" fillId="0" borderId="0" xfId="0" applyNumberFormat="1" applyFont="1" applyBorder="1" applyAlignment="1" applyProtection="1">
      <protection locked="0"/>
    </xf>
    <xf numFmtId="169" fontId="91" fillId="0" borderId="0" xfId="0" applyNumberFormat="1" applyFont="1" applyAlignment="1"/>
    <xf numFmtId="37" fontId="91" fillId="0" borderId="0" xfId="0" applyNumberFormat="1" applyFont="1" applyAlignment="1"/>
    <xf numFmtId="168" fontId="34" fillId="0" borderId="0" xfId="0" applyNumberFormat="1" applyFont="1" applyAlignment="1" applyProtection="1">
      <alignment horizontal="right"/>
      <protection locked="0"/>
    </xf>
    <xf numFmtId="168" fontId="34" fillId="0" borderId="0" xfId="0" applyNumberFormat="1" applyFont="1" applyAlignment="1" applyProtection="1">
      <alignment horizontal="right"/>
    </xf>
    <xf numFmtId="0" fontId="34" fillId="0" borderId="0" xfId="0" quotePrefix="1" applyNumberFormat="1" applyFont="1" applyAlignment="1">
      <alignment horizontal="left"/>
    </xf>
    <xf numFmtId="169" fontId="34" fillId="0" borderId="0" xfId="0" applyNumberFormat="1" applyFont="1" applyAlignment="1" applyProtection="1">
      <alignment horizontal="right"/>
      <protection locked="0"/>
    </xf>
    <xf numFmtId="37" fontId="34" fillId="0" borderId="0" xfId="0" applyNumberFormat="1" applyFont="1" applyAlignment="1"/>
    <xf numFmtId="169" fontId="34" fillId="0" borderId="0" xfId="0" applyNumberFormat="1" applyFont="1" applyAlignment="1"/>
    <xf numFmtId="0" fontId="34" fillId="0" borderId="0" xfId="0" applyNumberFormat="1" applyFont="1" applyAlignment="1">
      <alignment horizontal="right"/>
    </xf>
    <xf numFmtId="169" fontId="34" fillId="0" borderId="0" xfId="0" applyNumberFormat="1" applyFont="1" applyAlignment="1" applyProtection="1">
      <protection locked="0"/>
    </xf>
    <xf numFmtId="169" fontId="90" fillId="0" borderId="0" xfId="0" applyNumberFormat="1" applyFont="1" applyAlignment="1" applyProtection="1">
      <alignment horizontal="right"/>
      <protection locked="0"/>
    </xf>
    <xf numFmtId="169" fontId="90" fillId="0" borderId="0" xfId="0" applyNumberFormat="1" applyFont="1" applyAlignment="1" applyProtection="1">
      <protection locked="0"/>
    </xf>
    <xf numFmtId="169" fontId="34" fillId="0" borderId="0" xfId="0" quotePrefix="1" applyNumberFormat="1" applyFont="1" applyAlignment="1" applyProtection="1">
      <alignment horizontal="center"/>
      <protection locked="0"/>
    </xf>
    <xf numFmtId="169" fontId="34" fillId="0" borderId="4" xfId="0" applyNumberFormat="1" applyFont="1" applyBorder="1" applyAlignment="1"/>
    <xf numFmtId="169" fontId="72" fillId="0" borderId="0" xfId="0" applyNumberFormat="1" applyFont="1" applyBorder="1" applyAlignment="1"/>
    <xf numFmtId="37" fontId="72" fillId="0" borderId="0" xfId="0" applyNumberFormat="1" applyFont="1" applyBorder="1" applyAlignment="1"/>
    <xf numFmtId="184" fontId="69" fillId="0" borderId="0" xfId="0" applyNumberFormat="1" applyFont="1" applyAlignment="1"/>
    <xf numFmtId="184" fontId="25" fillId="0" borderId="0" xfId="0" applyNumberFormat="1" applyFont="1" applyAlignment="1"/>
    <xf numFmtId="169" fontId="34" fillId="0" borderId="0" xfId="0" applyNumberFormat="1" applyFont="1" applyAlignment="1" applyProtection="1">
      <alignment horizontal="center"/>
      <protection locked="0"/>
    </xf>
    <xf numFmtId="184" fontId="9" fillId="0" borderId="0" xfId="0" applyNumberFormat="1" applyFont="1"/>
    <xf numFmtId="3" fontId="69" fillId="0" borderId="0" xfId="0" applyNumberFormat="1" applyFont="1" applyAlignment="1"/>
    <xf numFmtId="184" fontId="34" fillId="0" borderId="0" xfId="0" applyNumberFormat="1" applyFont="1" applyAlignment="1"/>
    <xf numFmtId="168" fontId="72" fillId="0" borderId="0" xfId="0" applyNumberFormat="1" applyFont="1" applyAlignment="1"/>
    <xf numFmtId="3" fontId="5" fillId="0" borderId="0" xfId="0" applyNumberFormat="1" applyFont="1" applyAlignment="1" applyProtection="1">
      <alignment horizontal="center"/>
      <protection locked="0"/>
    </xf>
    <xf numFmtId="184" fontId="5" fillId="0" borderId="0" xfId="0" applyNumberFormat="1" applyFont="1" applyAlignment="1">
      <alignment horizontal="right"/>
    </xf>
    <xf numFmtId="3" fontId="5" fillId="0" borderId="0" xfId="0" applyNumberFormat="1" applyFont="1" applyAlignment="1" applyProtection="1">
      <protection locked="0"/>
    </xf>
    <xf numFmtId="184"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84" fontId="19" fillId="0" borderId="0" xfId="0" applyNumberFormat="1" applyFont="1" applyBorder="1" applyAlignment="1">
      <alignment horizontal="right"/>
    </xf>
    <xf numFmtId="3" fontId="9" fillId="0" borderId="0" xfId="0" applyNumberFormat="1" applyFont="1"/>
    <xf numFmtId="169" fontId="7" fillId="0" borderId="0" xfId="0" applyNumberFormat="1" applyFont="1" applyAlignment="1"/>
    <xf numFmtId="169" fontId="40" fillId="0" borderId="0" xfId="0" applyNumberFormat="1" applyFont="1" applyBorder="1" applyAlignment="1"/>
    <xf numFmtId="169" fontId="19" fillId="0" borderId="0" xfId="0" applyNumberFormat="1" applyFont="1" applyAlignment="1"/>
    <xf numFmtId="169" fontId="40" fillId="0" borderId="0" xfId="0" applyNumberFormat="1" applyFont="1" applyAlignment="1"/>
    <xf numFmtId="169" fontId="40" fillId="0" borderId="2" xfId="0" applyNumberFormat="1" applyFont="1" applyBorder="1" applyAlignment="1">
      <alignment horizontal="centerContinuous"/>
    </xf>
    <xf numFmtId="169" fontId="40" fillId="0" borderId="0" xfId="0" applyNumberFormat="1" applyFont="1" applyBorder="1" applyAlignment="1">
      <alignment horizontal="center"/>
    </xf>
    <xf numFmtId="169" fontId="0" fillId="0" borderId="0" xfId="0" applyNumberFormat="1" applyBorder="1" applyAlignment="1">
      <alignment horizontal="center"/>
    </xf>
    <xf numFmtId="169" fontId="40" fillId="0" borderId="0" xfId="60070" applyNumberFormat="1" applyFont="1" applyFill="1" applyAlignment="1">
      <alignment horizontal="center"/>
    </xf>
    <xf numFmtId="169" fontId="40" fillId="0" borderId="0" xfId="0" applyNumberFormat="1" applyFont="1" applyBorder="1" applyAlignment="1">
      <alignment horizontal="centerContinuous"/>
    </xf>
    <xf numFmtId="169" fontId="40" fillId="0" borderId="0" xfId="60070" applyNumberFormat="1" applyFont="1" applyFill="1" applyAlignment="1"/>
    <xf numFmtId="169" fontId="40" fillId="0" borderId="0" xfId="0" applyNumberFormat="1" applyFont="1" applyAlignment="1">
      <alignment horizontal="center"/>
    </xf>
    <xf numFmtId="169" fontId="69" fillId="0" borderId="0" xfId="0" applyNumberFormat="1" applyFont="1" applyAlignment="1"/>
    <xf numFmtId="169" fontId="40" fillId="0" borderId="2" xfId="60070" applyNumberFormat="1" applyFont="1" applyFill="1" applyBorder="1" applyAlignment="1">
      <alignment horizontal="center"/>
    </xf>
    <xf numFmtId="169" fontId="40" fillId="0" borderId="0" xfId="0" quotePrefix="1" applyNumberFormat="1" applyFont="1" applyAlignment="1">
      <alignment horizontal="center"/>
    </xf>
    <xf numFmtId="169" fontId="8" fillId="0" borderId="4" xfId="0" applyNumberFormat="1" applyFont="1" applyBorder="1" applyAlignment="1"/>
    <xf numFmtId="169" fontId="8" fillId="0" borderId="0" xfId="0" applyNumberFormat="1" applyFont="1" applyBorder="1" applyAlignment="1"/>
    <xf numFmtId="49" fontId="26" fillId="0" borderId="0" xfId="0" quotePrefix="1" applyNumberFormat="1" applyFont="1" applyBorder="1" applyAlignment="1"/>
    <xf numFmtId="169" fontId="26" fillId="0" borderId="0" xfId="0" applyNumberFormat="1" applyFont="1" applyAlignment="1">
      <alignment horizontal="center"/>
    </xf>
    <xf numFmtId="168" fontId="26" fillId="0" borderId="0" xfId="0" quotePrefix="1" applyNumberFormat="1" applyFont="1" applyAlignment="1"/>
    <xf numFmtId="169" fontId="26" fillId="0" borderId="0" xfId="0" applyNumberFormat="1" applyFont="1" applyAlignment="1">
      <alignment horizontal="right"/>
    </xf>
    <xf numFmtId="0" fontId="25" fillId="0" borderId="0" xfId="0" applyNumberFormat="1" applyFont="1" applyBorder="1" applyAlignment="1"/>
    <xf numFmtId="49" fontId="26" fillId="0" borderId="0" xfId="0" applyNumberFormat="1" applyFont="1" applyAlignment="1"/>
    <xf numFmtId="169" fontId="25" fillId="0" borderId="0" xfId="0" applyNumberFormat="1" applyFont="1" applyAlignment="1"/>
    <xf numFmtId="169" fontId="26" fillId="0" borderId="0" xfId="25233" quotePrefix="1" applyNumberFormat="1" applyFont="1" applyFill="1" applyAlignment="1"/>
    <xf numFmtId="49" fontId="26" fillId="0" borderId="0" xfId="0" quotePrefix="1" applyNumberFormat="1" applyFont="1" applyAlignment="1"/>
    <xf numFmtId="49" fontId="26" fillId="0" borderId="0" xfId="0" applyNumberFormat="1" applyFont="1" applyFill="1" applyAlignment="1"/>
    <xf numFmtId="169" fontId="26" fillId="0" borderId="2" xfId="0" quotePrefix="1" applyNumberFormat="1" applyFont="1" applyBorder="1" applyAlignment="1">
      <alignment horizontal="center"/>
    </xf>
    <xf numFmtId="169" fontId="26" fillId="0" borderId="2" xfId="0" quotePrefix="1" applyNumberFormat="1" applyFont="1" applyBorder="1" applyAlignment="1"/>
    <xf numFmtId="169" fontId="26" fillId="0" borderId="2" xfId="0" applyNumberFormat="1" applyFont="1" applyBorder="1" applyAlignment="1"/>
    <xf numFmtId="168" fontId="40" fillId="0" borderId="10" xfId="0" applyNumberFormat="1" applyFont="1" applyBorder="1" applyAlignment="1">
      <alignment horizontal="right"/>
    </xf>
    <xf numFmtId="168" fontId="40" fillId="0" borderId="20" xfId="0" applyNumberFormat="1" applyFont="1" applyBorder="1" applyAlignment="1">
      <alignment horizontal="right"/>
    </xf>
    <xf numFmtId="169" fontId="40" fillId="0" borderId="0" xfId="0" applyNumberFormat="1" applyFont="1" applyAlignment="1">
      <alignment horizontal="right"/>
    </xf>
    <xf numFmtId="169" fontId="26" fillId="0" borderId="6" xfId="0" applyNumberFormat="1" applyFont="1" applyBorder="1" applyAlignment="1"/>
    <xf numFmtId="169" fontId="40" fillId="0" borderId="6" xfId="0" applyNumberFormat="1" applyFont="1" applyBorder="1" applyAlignment="1"/>
    <xf numFmtId="0" fontId="26" fillId="0" borderId="0" xfId="60072" applyNumberFormat="1" applyFont="1" applyAlignment="1"/>
    <xf numFmtId="169" fontId="26" fillId="0" borderId="0" xfId="60072" applyNumberFormat="1" applyFont="1" applyAlignment="1"/>
    <xf numFmtId="169" fontId="70" fillId="0" borderId="0" xfId="0" applyNumberFormat="1" applyFont="1" applyAlignment="1"/>
    <xf numFmtId="169" fontId="25" fillId="0" borderId="0" xfId="0" applyNumberFormat="1" applyFont="1"/>
    <xf numFmtId="0" fontId="40" fillId="0" borderId="0" xfId="0" applyNumberFormat="1" applyFont="1" applyBorder="1" applyAlignment="1">
      <alignment horizontal="centerContinuous"/>
    </xf>
    <xf numFmtId="168" fontId="40" fillId="0" borderId="21" xfId="0" applyNumberFormat="1" applyFont="1" applyBorder="1" applyAlignment="1">
      <alignment horizontal="right"/>
    </xf>
    <xf numFmtId="3" fontId="40" fillId="0" borderId="6" xfId="0" applyNumberFormat="1" applyFont="1" applyBorder="1" applyAlignment="1"/>
    <xf numFmtId="3" fontId="26" fillId="0" borderId="0" xfId="0" quotePrefix="1" applyNumberFormat="1" applyFont="1" applyAlignment="1">
      <alignment horizontal="center"/>
    </xf>
    <xf numFmtId="3" fontId="8" fillId="0" borderId="0" xfId="0" applyNumberFormat="1" applyFont="1" applyBorder="1" applyAlignment="1"/>
    <xf numFmtId="3" fontId="26" fillId="0" borderId="0" xfId="0" quotePrefix="1" applyNumberFormat="1" applyFont="1" applyAlignment="1"/>
    <xf numFmtId="3" fontId="26" fillId="0" borderId="0" xfId="0" applyNumberFormat="1" applyFont="1" applyAlignment="1">
      <alignment horizontal="right"/>
    </xf>
    <xf numFmtId="3" fontId="20" fillId="0" borderId="0" xfId="0" quotePrefix="1" applyNumberFormat="1" applyFont="1" applyAlignment="1">
      <alignment horizontal="left"/>
    </xf>
    <xf numFmtId="3" fontId="20" fillId="0" borderId="0" xfId="0" applyNumberFormat="1" applyFont="1" applyAlignment="1">
      <alignment horizontal="right"/>
    </xf>
    <xf numFmtId="168" fontId="5" fillId="0" borderId="0" xfId="0" applyNumberFormat="1" applyFont="1"/>
    <xf numFmtId="169" fontId="5" fillId="0" borderId="2" xfId="0" applyNumberFormat="1" applyFont="1" applyBorder="1"/>
    <xf numFmtId="168" fontId="19" fillId="0" borderId="10" xfId="0" applyNumberFormat="1" applyFont="1" applyBorder="1"/>
    <xf numFmtId="3" fontId="0" fillId="0" borderId="0" xfId="0" applyNumberFormat="1" applyBorder="1"/>
    <xf numFmtId="169" fontId="0" fillId="0" borderId="0" xfId="0" applyNumberFormat="1"/>
    <xf numFmtId="168" fontId="0" fillId="0" borderId="0" xfId="0" applyNumberFormat="1"/>
    <xf numFmtId="169" fontId="0" fillId="0" borderId="2" xfId="0" applyNumberFormat="1" applyBorder="1"/>
    <xf numFmtId="168" fontId="19" fillId="0" borderId="10" xfId="0" quotePrefix="1" applyNumberFormat="1" applyFont="1" applyBorder="1" applyAlignment="1"/>
    <xf numFmtId="169" fontId="0" fillId="0" borderId="0" xfId="0" applyNumberFormat="1" applyBorder="1"/>
    <xf numFmtId="0" fontId="0" fillId="0" borderId="0" xfId="0" applyBorder="1"/>
    <xf numFmtId="0" fontId="8" fillId="0" borderId="0" xfId="0" applyFont="1"/>
    <xf numFmtId="3" fontId="92" fillId="0" borderId="0" xfId="0" quotePrefix="1" applyNumberFormat="1" applyFont="1" applyAlignment="1">
      <alignment horizontal="left"/>
    </xf>
    <xf numFmtId="3" fontId="92" fillId="0" borderId="0" xfId="0" applyNumberFormat="1" applyFont="1" applyAlignment="1"/>
    <xf numFmtId="3" fontId="92"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169" fontId="7" fillId="0" borderId="0" xfId="0" applyNumberFormat="1" applyFont="1" applyBorder="1"/>
    <xf numFmtId="49" fontId="92" fillId="0" borderId="0" xfId="0" applyNumberFormat="1" applyFont="1" applyFill="1" applyBorder="1" applyAlignment="1"/>
    <xf numFmtId="3" fontId="46" fillId="0" borderId="0" xfId="0" quotePrefix="1" applyNumberFormat="1" applyFont="1" applyAlignment="1">
      <alignment horizontal="left"/>
    </xf>
    <xf numFmtId="169"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168" fontId="46" fillId="0" borderId="0" xfId="0" applyNumberFormat="1" applyFont="1" applyAlignment="1"/>
    <xf numFmtId="169" fontId="46" fillId="0" borderId="0" xfId="0" applyNumberFormat="1" applyFont="1" applyBorder="1" applyAlignment="1"/>
    <xf numFmtId="0" fontId="8" fillId="0" borderId="0" xfId="0" applyFont="1" applyBorder="1"/>
    <xf numFmtId="169" fontId="8" fillId="0" borderId="0" xfId="0" quotePrefix="1" applyNumberFormat="1" applyFont="1" applyBorder="1" applyAlignment="1"/>
    <xf numFmtId="3" fontId="92" fillId="0" borderId="0" xfId="0" applyNumberFormat="1" applyFont="1" applyFill="1" applyBorder="1" applyAlignment="1">
      <alignment horizontal="left"/>
    </xf>
    <xf numFmtId="169" fontId="7" fillId="0" borderId="3" xfId="0" applyNumberFormat="1" applyFont="1" applyBorder="1"/>
    <xf numFmtId="3" fontId="92" fillId="0" borderId="0" xfId="0" applyNumberFormat="1" applyFont="1" applyAlignment="1">
      <alignment horizontal="right"/>
    </xf>
    <xf numFmtId="168" fontId="7" fillId="0" borderId="10" xfId="0" applyNumberFormat="1" applyFont="1" applyBorder="1"/>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168" fontId="8" fillId="0" borderId="0" xfId="0" applyNumberFormat="1" applyFont="1"/>
    <xf numFmtId="169" fontId="8" fillId="0" borderId="0" xfId="0" applyNumberFormat="1" applyFont="1"/>
    <xf numFmtId="169" fontId="8" fillId="0" borderId="2" xfId="0" applyNumberFormat="1" applyFont="1" applyBorder="1"/>
    <xf numFmtId="169" fontId="8" fillId="0" borderId="0" xfId="0" applyNumberFormat="1" applyFont="1" applyBorder="1"/>
    <xf numFmtId="0" fontId="10" fillId="0" borderId="0" xfId="0" quotePrefix="1" applyNumberFormat="1" applyFont="1" applyAlignment="1">
      <alignment horizontal="left"/>
    </xf>
    <xf numFmtId="175" fontId="5" fillId="0" borderId="0" xfId="0" applyNumberFormat="1" applyFont="1" applyAlignment="1"/>
    <xf numFmtId="185" fontId="5" fillId="0" borderId="0" xfId="0" applyNumberFormat="1" applyFont="1" applyAlignment="1"/>
    <xf numFmtId="175" fontId="0" fillId="0" borderId="0" xfId="0" applyNumberFormat="1"/>
    <xf numFmtId="192" fontId="5" fillId="0" borderId="0" xfId="0" applyNumberFormat="1" applyFont="1" applyAlignment="1"/>
    <xf numFmtId="185" fontId="0" fillId="0" borderId="0" xfId="0" applyNumberFormat="1"/>
    <xf numFmtId="185"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4" fillId="0" borderId="0" xfId="60074" applyNumberFormat="1" applyFont="1" applyAlignment="1">
      <alignment horizontal="center"/>
    </xf>
    <xf numFmtId="4" fontId="19" fillId="0" borderId="0" xfId="60074" applyNumberFormat="1" applyFont="1" applyAlignment="1" applyProtection="1">
      <alignment horizontal="center"/>
      <protection locked="0"/>
    </xf>
    <xf numFmtId="4" fontId="19" fillId="0" borderId="3" xfId="60074" applyNumberFormat="1" applyFont="1" applyBorder="1" applyAlignment="1" applyProtection="1">
      <alignment horizontal="center"/>
      <protection locked="0"/>
    </xf>
    <xf numFmtId="0" fontId="5" fillId="0" borderId="4" xfId="60074" applyNumberFormat="1" applyFont="1" applyBorder="1" applyAlignment="1"/>
    <xf numFmtId="4" fontId="5" fillId="0" borderId="0" xfId="60074" quotePrefix="1" applyNumberFormat="1" applyFont="1" applyAlignment="1">
      <alignment horizontal="left"/>
    </xf>
    <xf numFmtId="3" fontId="5" fillId="0" borderId="0" xfId="60074" applyFont="1" applyAlignment="1">
      <alignment horizontal="right"/>
    </xf>
    <xf numFmtId="168" fontId="5" fillId="0" borderId="0" xfId="60074" applyNumberFormat="1" applyFont="1" applyAlignment="1">
      <alignment horizontal="right"/>
    </xf>
    <xf numFmtId="168" fontId="5" fillId="0" borderId="0" xfId="60074" applyNumberFormat="1" applyFont="1" applyAlignment="1"/>
    <xf numFmtId="3" fontId="9" fillId="0" borderId="0" xfId="60074"/>
    <xf numFmtId="169" fontId="5" fillId="0" borderId="0" xfId="60074" applyNumberFormat="1" applyFont="1" applyAlignment="1"/>
    <xf numFmtId="169" fontId="9" fillId="0" borderId="0" xfId="60074" applyNumberFormat="1"/>
    <xf numFmtId="169" fontId="9" fillId="0" borderId="0" xfId="60074" applyNumberFormat="1" applyAlignment="1">
      <alignment horizontal="right"/>
    </xf>
    <xf numFmtId="169" fontId="5" fillId="0" borderId="0" xfId="60074" quotePrefix="1" applyNumberFormat="1" applyFont="1" applyAlignment="1">
      <alignment horizontal="center"/>
    </xf>
    <xf numFmtId="169" fontId="5" fillId="0" borderId="0" xfId="60074" applyNumberFormat="1" applyFont="1" applyAlignment="1">
      <alignment horizontal="right"/>
    </xf>
    <xf numFmtId="169" fontId="5" fillId="0" borderId="0" xfId="60074" applyNumberFormat="1" applyFont="1"/>
    <xf numFmtId="4" fontId="19" fillId="0" borderId="0" xfId="60074" applyNumberFormat="1" applyFont="1" applyAlignment="1">
      <alignment horizontal="right"/>
    </xf>
    <xf numFmtId="168" fontId="69" fillId="0" borderId="14" xfId="60074" applyNumberFormat="1" applyFont="1" applyBorder="1" applyAlignment="1"/>
    <xf numFmtId="168" fontId="19" fillId="0" borderId="0" xfId="60074" applyNumberFormat="1" applyFont="1" applyAlignment="1">
      <alignment horizontal="right"/>
    </xf>
    <xf numFmtId="168" fontId="19" fillId="0" borderId="0" xfId="60074" applyNumberFormat="1" applyFont="1" applyBorder="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0" fontId="9" fillId="0" borderId="0" xfId="60074" applyNumberFormat="1" applyBorder="1"/>
    <xf numFmtId="4" fontId="8" fillId="0" borderId="0" xfId="0" applyNumberFormat="1" applyFont="1" applyAlignment="1"/>
    <xf numFmtId="4" fontId="10" fillId="0" borderId="0" xfId="0" quotePrefix="1" applyNumberFormat="1" applyFont="1" applyAlignment="1">
      <alignment horizontal="right"/>
    </xf>
    <xf numFmtId="171" fontId="34" fillId="0" borderId="0" xfId="0" applyNumberFormat="1" applyFont="1" applyBorder="1" applyAlignment="1"/>
    <xf numFmtId="0" fontId="34" fillId="0" borderId="0" xfId="0" applyNumberFormat="1" applyFont="1" applyBorder="1" applyAlignment="1">
      <alignment horizontal="right"/>
    </xf>
    <xf numFmtId="170" fontId="34" fillId="0" borderId="0" xfId="0" applyNumberFormat="1" applyFont="1" applyBorder="1" applyAlignment="1"/>
    <xf numFmtId="170" fontId="34" fillId="0" borderId="0" xfId="0" applyNumberFormat="1" applyFont="1" applyAlignment="1"/>
    <xf numFmtId="171" fontId="34" fillId="0" borderId="0" xfId="0" applyNumberFormat="1" applyFont="1" applyAlignment="1"/>
    <xf numFmtId="171" fontId="9" fillId="0" borderId="0" xfId="0" applyNumberFormat="1" applyFont="1" applyAlignment="1"/>
    <xf numFmtId="171" fontId="34" fillId="0" borderId="0" xfId="0" applyNumberFormat="1" applyFont="1" applyBorder="1" applyAlignment="1">
      <alignment horizontal="center"/>
    </xf>
    <xf numFmtId="171" fontId="9" fillId="0" borderId="0" xfId="0" applyNumberFormat="1" applyFont="1" applyBorder="1" applyAlignment="1"/>
    <xf numFmtId="171" fontId="34" fillId="0" borderId="2" xfId="0" applyNumberFormat="1" applyFont="1" applyBorder="1" applyAlignment="1"/>
    <xf numFmtId="171" fontId="34" fillId="0" borderId="2" xfId="0" applyNumberFormat="1" applyFont="1" applyBorder="1" applyAlignment="1">
      <alignment horizontal="right"/>
    </xf>
    <xf numFmtId="171" fontId="34" fillId="0" borderId="2" xfId="0" applyNumberFormat="1" applyFont="1" applyBorder="1" applyAlignment="1">
      <alignment horizontal="center"/>
    </xf>
    <xf numFmtId="0" fontId="7" fillId="0" borderId="0" xfId="0" applyNumberFormat="1" applyFont="1" applyAlignment="1">
      <alignment horizontal="right"/>
    </xf>
    <xf numFmtId="10" fontId="72" fillId="0" borderId="0" xfId="0" applyNumberFormat="1" applyFont="1" applyBorder="1" applyAlignment="1"/>
    <xf numFmtId="0" fontId="72"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64" fillId="0" borderId="0" xfId="0" applyNumberFormat="1" applyFont="1" applyFill="1" applyAlignment="1">
      <alignment horizontal="center"/>
    </xf>
    <xf numFmtId="4" fontId="64" fillId="0" borderId="0" xfId="0" applyNumberFormat="1" applyFont="1" applyFill="1" applyAlignment="1">
      <alignment horizontal="right"/>
    </xf>
    <xf numFmtId="4" fontId="5" fillId="0" borderId="0" xfId="0" applyNumberFormat="1" applyFont="1" applyFill="1" applyAlignment="1">
      <alignment horizontal="center"/>
    </xf>
    <xf numFmtId="4" fontId="19" fillId="0" borderId="0" xfId="0" quotePrefix="1" applyNumberFormat="1" applyFont="1" applyFill="1" applyAlignment="1">
      <alignment horizontal="left"/>
    </xf>
    <xf numFmtId="4" fontId="19" fillId="0" borderId="0" xfId="0" applyNumberFormat="1" applyFont="1" applyFill="1" applyAlignment="1">
      <alignment horizontal="left"/>
    </xf>
    <xf numFmtId="193" fontId="19" fillId="0" borderId="0" xfId="0" applyNumberFormat="1" applyFont="1" applyFill="1" applyBorder="1" applyAlignment="1"/>
    <xf numFmtId="0" fontId="5" fillId="0" borderId="0" xfId="0" quotePrefix="1" applyNumberFormat="1" applyFont="1" applyFill="1" applyAlignment="1">
      <alignment horizontal="center"/>
    </xf>
    <xf numFmtId="170" fontId="5" fillId="0" borderId="0" xfId="0" applyNumberFormat="1" applyFont="1" applyFill="1" applyAlignment="1"/>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9" fontId="5" fillId="0" borderId="0" xfId="0" applyNumberFormat="1" applyFont="1" applyFill="1" applyAlignment="1"/>
    <xf numFmtId="171" fontId="5" fillId="0" borderId="2" xfId="0" applyNumberFormat="1" applyFont="1" applyFill="1" applyBorder="1" applyAlignment="1"/>
    <xf numFmtId="170" fontId="19" fillId="0" borderId="9" xfId="0" applyNumberFormat="1" applyFont="1" applyFill="1" applyBorder="1"/>
    <xf numFmtId="4" fontId="5" fillId="0" borderId="0" xfId="0" applyNumberFormat="1" applyFont="1" applyFill="1" applyBorder="1" applyAlignment="1"/>
    <xf numFmtId="4" fontId="19" fillId="0" borderId="0" xfId="0" applyNumberFormat="1" applyFont="1" applyFill="1" applyBorder="1" applyAlignment="1">
      <alignment horizontal="right"/>
    </xf>
    <xf numFmtId="194" fontId="19" fillId="0" borderId="0" xfId="0" applyNumberFormat="1" applyFont="1" applyFill="1" applyBorder="1" applyAlignment="1">
      <alignment horizontal="right"/>
    </xf>
    <xf numFmtId="4" fontId="5" fillId="0" borderId="0" xfId="0" applyNumberFormat="1" applyFont="1" applyFill="1" applyBorder="1" applyAlignment="1">
      <alignment horizontal="left"/>
    </xf>
    <xf numFmtId="4" fontId="5" fillId="0" borderId="17" xfId="0" applyNumberFormat="1" applyFont="1" applyFill="1" applyBorder="1" applyAlignment="1"/>
    <xf numFmtId="170" fontId="19" fillId="0" borderId="9" xfId="0" applyNumberFormat="1" applyFont="1" applyFill="1" applyBorder="1" applyAlignment="1"/>
    <xf numFmtId="4" fontId="5" fillId="0" borderId="0" xfId="0" applyNumberFormat="1" applyFont="1" applyFill="1" applyBorder="1" applyAlignment="1">
      <alignment horizontal="center"/>
    </xf>
    <xf numFmtId="4" fontId="19" fillId="0" borderId="0" xfId="0" applyNumberFormat="1" applyFont="1" applyFill="1" applyAlignment="1"/>
    <xf numFmtId="4" fontId="5" fillId="0" borderId="0" xfId="0" applyNumberFormat="1" applyFont="1" applyFill="1" applyAlignment="1">
      <alignment horizontal="right"/>
    </xf>
    <xf numFmtId="49" fontId="19" fillId="0" borderId="0" xfId="0" applyNumberFormat="1" applyFont="1" applyFill="1" applyAlignment="1">
      <alignment horizontal="left"/>
    </xf>
    <xf numFmtId="3" fontId="5" fillId="0" borderId="0" xfId="0" applyNumberFormat="1" applyFont="1" applyFill="1"/>
    <xf numFmtId="4" fontId="5" fillId="0" borderId="0" xfId="0" applyNumberFormat="1" applyFont="1" applyFill="1" applyAlignment="1">
      <alignment horizontal="center" vertical="top"/>
    </xf>
    <xf numFmtId="0" fontId="5" fillId="0" borderId="0" xfId="0" applyNumberFormat="1" applyFont="1" applyFill="1" applyAlignment="1">
      <alignment horizontal="center" vertical="center"/>
    </xf>
    <xf numFmtId="4" fontId="5" fillId="0" borderId="0" xfId="0" applyNumberFormat="1" applyFont="1" applyFill="1" applyAlignment="1">
      <alignment vertical="center"/>
    </xf>
    <xf numFmtId="193" fontId="5" fillId="0" borderId="4" xfId="0" applyNumberFormat="1" applyFont="1" applyFill="1" applyBorder="1" applyAlignment="1">
      <alignment horizontal="right"/>
    </xf>
    <xf numFmtId="170" fontId="19" fillId="0" borderId="9" xfId="0" applyNumberFormat="1" applyFont="1" applyFill="1" applyBorder="1" applyAlignment="1">
      <alignment horizontal="right"/>
    </xf>
    <xf numFmtId="4" fontId="19" fillId="0" borderId="0" xfId="0" quotePrefix="1" applyNumberFormat="1" applyFont="1" applyFill="1" applyBorder="1" applyAlignment="1">
      <alignment horizontal="left"/>
    </xf>
    <xf numFmtId="170" fontId="5" fillId="0" borderId="0" xfId="0" applyNumberFormat="1" applyFont="1" applyFill="1" applyBorder="1" applyAlignment="1"/>
    <xf numFmtId="4" fontId="5" fillId="0" borderId="0" xfId="0" quotePrefix="1" applyNumberFormat="1" applyFont="1" applyFill="1" applyBorder="1" applyAlignment="1">
      <alignment horizontal="center"/>
    </xf>
    <xf numFmtId="193" fontId="5" fillId="0" borderId="0" xfId="0" applyNumberFormat="1" applyFont="1" applyFill="1" applyBorder="1" applyAlignment="1">
      <alignment horizontal="right"/>
    </xf>
    <xf numFmtId="4" fontId="19" fillId="0" borderId="0" xfId="0" quotePrefix="1" applyNumberFormat="1" applyFont="1" applyFill="1" applyBorder="1" applyAlignment="1">
      <alignment horizontal="right"/>
    </xf>
    <xf numFmtId="171" fontId="11" fillId="0" borderId="0" xfId="0" applyNumberFormat="1" applyFont="1" applyFill="1"/>
    <xf numFmtId="4" fontId="5" fillId="0" borderId="0" xfId="0" applyNumberFormat="1" applyFont="1" applyFill="1" applyAlignment="1">
      <alignment horizontal="center" vertical="center"/>
    </xf>
    <xf numFmtId="0" fontId="5" fillId="0" borderId="0" xfId="0" applyNumberFormat="1" applyFont="1" applyFill="1" applyAlignment="1">
      <alignment horizontal="center" vertical="top"/>
    </xf>
    <xf numFmtId="4" fontId="5" fillId="0" borderId="0" xfId="0" applyNumberFormat="1" applyFont="1" applyFill="1" applyAlignment="1">
      <alignment vertical="top"/>
    </xf>
    <xf numFmtId="183" fontId="19" fillId="0" borderId="0" xfId="0" applyNumberFormat="1" applyFont="1" applyFill="1" applyBorder="1" applyAlignment="1"/>
    <xf numFmtId="194" fontId="19" fillId="0" borderId="9" xfId="0" applyNumberFormat="1" applyFont="1" applyFill="1" applyBorder="1" applyAlignment="1"/>
    <xf numFmtId="0" fontId="25" fillId="0" borderId="0" xfId="0" applyNumberFormat="1" applyFont="1" applyFill="1" applyAlignment="1">
      <alignment vertical="top"/>
    </xf>
    <xf numFmtId="0" fontId="5" fillId="0" borderId="0" xfId="0" quotePrefix="1" applyNumberFormat="1" applyFont="1" applyAlignment="1">
      <alignment horizontal="justify" vertical="top" wrapText="1"/>
    </xf>
    <xf numFmtId="0" fontId="5" fillId="0" borderId="0" xfId="0" applyFont="1" applyAlignment="1"/>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5"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0" fontId="35" fillId="0" borderId="0" xfId="36083" applyFill="1" applyBorder="1"/>
    <xf numFmtId="37" fontId="5" fillId="0" borderId="0" xfId="36083" applyNumberFormat="1" applyFont="1" applyFill="1"/>
    <xf numFmtId="0" fontId="35" fillId="0" borderId="0" xfId="36083" applyFont="1" applyFill="1" applyAlignment="1">
      <alignment vertical="top"/>
    </xf>
    <xf numFmtId="181" fontId="0" fillId="0" borderId="0" xfId="59991" applyNumberFormat="1" applyFont="1" applyFill="1" applyAlignment="1">
      <alignment vertical="top"/>
    </xf>
    <xf numFmtId="168" fontId="21" fillId="0" borderId="0" xfId="0" applyNumberFormat="1" applyFont="1" applyFill="1" applyAlignment="1" applyProtection="1"/>
    <xf numFmtId="168" fontId="20" fillId="0" borderId="0" xfId="0" applyNumberFormat="1" applyFont="1" applyFill="1" applyAlignment="1" applyProtection="1">
      <alignment horizontal="right"/>
    </xf>
    <xf numFmtId="168" fontId="20" fillId="0" borderId="0" xfId="0" applyNumberFormat="1" applyFont="1" applyAlignment="1" applyProtection="1">
      <alignment horizontal="right"/>
    </xf>
    <xf numFmtId="168" fontId="5" fillId="0" borderId="0" xfId="0" applyNumberFormat="1" applyFont="1" applyAlignment="1" applyProtection="1"/>
    <xf numFmtId="169" fontId="21" fillId="0" borderId="0" xfId="0" applyNumberFormat="1" applyFont="1" applyFill="1" applyAlignment="1" applyProtection="1"/>
    <xf numFmtId="169" fontId="21" fillId="0" borderId="2" xfId="0" applyNumberFormat="1" applyFont="1" applyFill="1" applyBorder="1" applyAlignment="1" applyProtection="1"/>
    <xf numFmtId="169"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169" fontId="20" fillId="0" borderId="2" xfId="0" applyNumberFormat="1" applyFont="1" applyFill="1" applyBorder="1" applyAlignment="1" applyProtection="1"/>
    <xf numFmtId="169" fontId="20" fillId="0" borderId="0" xfId="0" applyNumberFormat="1" applyFont="1" applyFill="1" applyBorder="1" applyAlignment="1" applyProtection="1"/>
    <xf numFmtId="169" fontId="21" fillId="0" borderId="0" xfId="0" applyNumberFormat="1" applyFont="1" applyFill="1" applyAlignment="1" applyProtection="1">
      <alignment horizontal="right"/>
    </xf>
    <xf numFmtId="169" fontId="5" fillId="0" borderId="0" xfId="0" applyNumberFormat="1" applyFont="1" applyAlignment="1" applyProtection="1"/>
    <xf numFmtId="168" fontId="20" fillId="0" borderId="0" xfId="0" applyNumberFormat="1" applyFont="1" applyAlignment="1" applyProtection="1"/>
    <xf numFmtId="170" fontId="20" fillId="0" borderId="0" xfId="0" applyNumberFormat="1" applyFont="1" applyAlignment="1" applyProtection="1">
      <alignment horizontal="right"/>
    </xf>
    <xf numFmtId="168" fontId="20" fillId="0" borderId="9" xfId="0" applyNumberFormat="1" applyFont="1" applyBorder="1" applyAlignment="1" applyProtection="1"/>
    <xf numFmtId="168" fontId="19" fillId="0" borderId="0" xfId="0" applyNumberFormat="1" applyFont="1" applyAlignment="1" applyProtection="1">
      <alignment horizontal="right"/>
    </xf>
    <xf numFmtId="169" fontId="21" fillId="0" borderId="0" xfId="0" applyNumberFormat="1" applyFont="1" applyAlignment="1" applyProtection="1"/>
    <xf numFmtId="169" fontId="5" fillId="0" borderId="3" xfId="0" applyNumberFormat="1" applyFont="1" applyBorder="1" applyAlignment="1" applyProtection="1"/>
    <xf numFmtId="169" fontId="5" fillId="0" borderId="0" xfId="0" applyNumberFormat="1" applyFont="1" applyFill="1" applyAlignment="1" applyProtection="1"/>
    <xf numFmtId="169" fontId="19" fillId="0" borderId="7" xfId="0" applyNumberFormat="1" applyFont="1" applyFill="1" applyBorder="1" applyAlignment="1" applyProtection="1"/>
    <xf numFmtId="169" fontId="20" fillId="0" borderId="0" xfId="0" applyNumberFormat="1" applyFont="1" applyFill="1" applyAlignment="1" applyProtection="1">
      <alignment horizontal="right"/>
    </xf>
    <xf numFmtId="169" fontId="20" fillId="0" borderId="0" xfId="0" applyNumberFormat="1" applyFont="1" applyAlignment="1" applyProtection="1">
      <alignment horizontal="right"/>
    </xf>
    <xf numFmtId="169" fontId="19" fillId="0" borderId="0" xfId="0" applyNumberFormat="1" applyFont="1" applyAlignment="1" applyProtection="1">
      <alignment horizontal="right"/>
    </xf>
    <xf numFmtId="169" fontId="19" fillId="0" borderId="7" xfId="0" applyNumberFormat="1" applyFont="1" applyBorder="1" applyAlignment="1" applyProtection="1"/>
    <xf numFmtId="169" fontId="21" fillId="0" borderId="4" xfId="0" applyNumberFormat="1" applyFont="1" applyFill="1" applyBorder="1" applyAlignment="1" applyProtection="1"/>
    <xf numFmtId="169" fontId="21" fillId="0" borderId="4" xfId="0" applyNumberFormat="1" applyFont="1" applyBorder="1" applyAlignment="1" applyProtection="1"/>
    <xf numFmtId="169" fontId="5" fillId="0" borderId="4" xfId="0" applyNumberFormat="1" applyFont="1" applyBorder="1" applyAlignment="1" applyProtection="1"/>
    <xf numFmtId="169" fontId="20" fillId="0" borderId="4" xfId="0" applyNumberFormat="1" applyFont="1" applyFill="1" applyBorder="1" applyAlignment="1" applyProtection="1"/>
    <xf numFmtId="169" fontId="20" fillId="0" borderId="0" xfId="0" applyNumberFormat="1" applyFont="1" applyFill="1" applyAlignment="1" applyProtection="1"/>
    <xf numFmtId="169" fontId="20" fillId="0" borderId="0" xfId="0" applyNumberFormat="1" applyFont="1" applyAlignment="1" applyProtection="1"/>
    <xf numFmtId="169" fontId="19" fillId="0" borderId="0" xfId="0" applyNumberFormat="1" applyFont="1" applyAlignment="1" applyProtection="1"/>
    <xf numFmtId="169" fontId="19" fillId="0" borderId="4" xfId="0" applyNumberFormat="1" applyFont="1" applyBorder="1" applyAlignment="1" applyProtection="1"/>
    <xf numFmtId="169" fontId="20" fillId="0" borderId="8" xfId="0" applyNumberFormat="1" applyFont="1" applyBorder="1" applyAlignment="1" applyProtection="1"/>
    <xf numFmtId="169" fontId="19" fillId="0" borderId="8" xfId="0" applyNumberFormat="1" applyFont="1" applyBorder="1" applyAlignment="1" applyProtection="1"/>
    <xf numFmtId="169" fontId="20" fillId="0" borderId="0" xfId="0" applyNumberFormat="1" applyFont="1" applyBorder="1" applyAlignment="1" applyProtection="1"/>
    <xf numFmtId="169" fontId="19" fillId="0" borderId="0" xfId="0" applyNumberFormat="1" applyFont="1" applyBorder="1" applyAlignment="1" applyProtection="1"/>
    <xf numFmtId="169" fontId="21" fillId="0" borderId="0" xfId="0" applyNumberFormat="1" applyFont="1" applyFill="1" applyBorder="1" applyAlignment="1" applyProtection="1"/>
    <xf numFmtId="169" fontId="19" fillId="0" borderId="2" xfId="0" applyNumberFormat="1" applyFont="1" applyBorder="1" applyAlignment="1" applyProtection="1"/>
    <xf numFmtId="169" fontId="21" fillId="0" borderId="0" xfId="0" applyNumberFormat="1" applyFont="1" applyFill="1" applyAlignment="1" applyProtection="1">
      <alignment horizontal="center"/>
    </xf>
    <xf numFmtId="169" fontId="20" fillId="0" borderId="0" xfId="0" quotePrefix="1" applyNumberFormat="1" applyFont="1" applyFill="1" applyBorder="1" applyAlignment="1" applyProtection="1">
      <alignment horizontal="right"/>
    </xf>
    <xf numFmtId="169" fontId="5" fillId="0" borderId="4" xfId="0" applyNumberFormat="1" applyFont="1" applyFill="1" applyBorder="1" applyAlignment="1" applyProtection="1"/>
    <xf numFmtId="169" fontId="20" fillId="0" borderId="4" xfId="0" quotePrefix="1" applyNumberFormat="1" applyFont="1" applyFill="1" applyBorder="1" applyAlignment="1" applyProtection="1">
      <alignment horizontal="right"/>
    </xf>
    <xf numFmtId="169" fontId="19" fillId="0" borderId="4" xfId="0" quotePrefix="1" applyNumberFormat="1" applyFont="1" applyFill="1" applyBorder="1" applyAlignment="1" applyProtection="1">
      <alignment horizontal="right"/>
    </xf>
    <xf numFmtId="168" fontId="8" fillId="0" borderId="0" xfId="0" applyNumberFormat="1" applyFont="1" applyAlignment="1" applyProtection="1"/>
    <xf numFmtId="169" fontId="8" fillId="0" borderId="0" xfId="0" quotePrefix="1" applyNumberFormat="1" applyFont="1" applyFill="1" applyAlignment="1" applyProtection="1">
      <alignment horizontal="center"/>
    </xf>
    <xf numFmtId="169" fontId="8" fillId="0" borderId="0" xfId="0" applyNumberFormat="1" applyFont="1" applyAlignment="1" applyProtection="1"/>
    <xf numFmtId="168" fontId="29" fillId="0" borderId="0" xfId="0" applyNumberFormat="1" applyFont="1" applyAlignment="1" applyProtection="1"/>
    <xf numFmtId="168" fontId="28" fillId="0" borderId="11" xfId="0" applyNumberFormat="1" applyFont="1" applyBorder="1" applyAlignment="1" applyProtection="1"/>
    <xf numFmtId="168" fontId="29" fillId="0" borderId="0" xfId="0" quotePrefix="1" applyNumberFormat="1" applyFont="1" applyAlignment="1" applyProtection="1">
      <alignment horizontal="center"/>
    </xf>
    <xf numFmtId="168" fontId="10" fillId="0" borderId="0" xfId="0" applyNumberFormat="1" applyFont="1" applyBorder="1" applyAlignment="1" applyProtection="1"/>
    <xf numFmtId="168" fontId="29" fillId="0" borderId="0" xfId="0" applyNumberFormat="1" applyFont="1" applyBorder="1" applyAlignment="1" applyProtection="1"/>
    <xf numFmtId="168" fontId="29" fillId="0" borderId="3" xfId="0" quotePrefix="1" applyNumberFormat="1" applyFont="1" applyBorder="1" applyAlignment="1" applyProtection="1">
      <alignment horizontal="right"/>
    </xf>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72" fontId="19" fillId="0" borderId="0" xfId="0" applyNumberFormat="1" applyFont="1" applyBorder="1" applyAlignment="1" applyProtection="1">
      <alignment horizontal="center"/>
    </xf>
    <xf numFmtId="37" fontId="28" fillId="0" borderId="0" xfId="0" applyNumberFormat="1" applyFont="1" applyBorder="1" applyAlignment="1" applyProtection="1"/>
    <xf numFmtId="169" fontId="28" fillId="0" borderId="0" xfId="0" applyNumberFormat="1" applyFont="1" applyAlignment="1" applyProtection="1"/>
    <xf numFmtId="169" fontId="28" fillId="0" borderId="11" xfId="0" applyNumberFormat="1" applyFont="1" applyBorder="1" applyAlignment="1" applyProtection="1"/>
    <xf numFmtId="169" fontId="19" fillId="0" borderId="0" xfId="0" applyNumberFormat="1" applyFont="1" applyBorder="1" applyAlignment="1" applyProtection="1">
      <alignment horizontal="center"/>
    </xf>
    <xf numFmtId="169" fontId="28" fillId="0" borderId="0" xfId="0" quotePrefix="1" applyNumberFormat="1" applyFont="1" applyAlignment="1" applyProtection="1">
      <alignment horizontal="center"/>
    </xf>
    <xf numFmtId="169" fontId="5" fillId="0" borderId="0" xfId="0" applyNumberFormat="1" applyFont="1" applyAlignment="1" applyProtection="1">
      <alignment horizontal="center"/>
    </xf>
    <xf numFmtId="169" fontId="28" fillId="0" borderId="11" xfId="0" quotePrefix="1" applyNumberFormat="1" applyFont="1" applyBorder="1" applyAlignment="1" applyProtection="1">
      <alignment horizontal="center"/>
    </xf>
    <xf numFmtId="169" fontId="29" fillId="0" borderId="4" xfId="0" applyNumberFormat="1" applyFont="1" applyBorder="1" applyAlignment="1" applyProtection="1"/>
    <xf numFmtId="169" fontId="29" fillId="0" borderId="8" xfId="0" applyNumberFormat="1" applyFont="1" applyBorder="1" applyAlignment="1" applyProtection="1"/>
    <xf numFmtId="169" fontId="29" fillId="0" borderId="0" xfId="0" applyNumberFormat="1" applyFont="1" applyBorder="1" applyAlignment="1" applyProtection="1"/>
    <xf numFmtId="169" fontId="28" fillId="0" borderId="4" xfId="0" applyNumberFormat="1" applyFont="1" applyBorder="1" applyAlignment="1" applyProtection="1"/>
    <xf numFmtId="169" fontId="28" fillId="0" borderId="0" xfId="0" applyNumberFormat="1" applyFont="1" applyBorder="1" applyAlignment="1" applyProtection="1"/>
    <xf numFmtId="169" fontId="28" fillId="0" borderId="0" xfId="0" quotePrefix="1" applyNumberFormat="1" applyFont="1" applyBorder="1" applyAlignment="1" applyProtection="1">
      <alignment horizontal="center"/>
    </xf>
    <xf numFmtId="169" fontId="29" fillId="0" borderId="3" xfId="0" applyNumberFormat="1" applyFont="1" applyBorder="1" applyAlignment="1" applyProtection="1"/>
    <xf numFmtId="169"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168" fontId="29" fillId="0" borderId="9" xfId="0" applyNumberFormat="1" applyFont="1" applyBorder="1" applyAlignment="1" applyProtection="1"/>
    <xf numFmtId="168" fontId="29" fillId="0" borderId="11" xfId="0" applyNumberFormat="1" applyFont="1" applyBorder="1" applyAlignment="1" applyProtection="1"/>
    <xf numFmtId="168" fontId="10" fillId="0" borderId="0" xfId="0" applyNumberFormat="1" applyFont="1" applyAlignment="1" applyProtection="1"/>
    <xf numFmtId="168" fontId="29" fillId="0" borderId="12" xfId="0" applyNumberFormat="1" applyFont="1" applyBorder="1" applyAlignment="1" applyProtection="1"/>
    <xf numFmtId="168" fontId="29" fillId="0" borderId="3" xfId="0" quotePrefix="1" applyNumberFormat="1" applyFont="1" applyBorder="1" applyAlignment="1" applyProtection="1">
      <alignment horizontal="center"/>
    </xf>
    <xf numFmtId="168"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72" fontId="11" fillId="0" borderId="0" xfId="0" applyNumberFormat="1" applyFont="1" applyAlignment="1" applyProtection="1"/>
    <xf numFmtId="172" fontId="12" fillId="0" borderId="0" xfId="0" applyNumberFormat="1" applyFont="1" applyAlignment="1" applyProtection="1"/>
    <xf numFmtId="172" fontId="12" fillId="0" borderId="12" xfId="0" applyNumberFormat="1" applyFont="1" applyBorder="1" applyAlignment="1" applyProtection="1"/>
    <xf numFmtId="169" fontId="28" fillId="0" borderId="12" xfId="0" applyNumberFormat="1" applyFont="1" applyBorder="1" applyAlignment="1" applyProtection="1"/>
    <xf numFmtId="169" fontId="11" fillId="0" borderId="0" xfId="0" applyNumberFormat="1" applyFont="1" applyAlignment="1" applyProtection="1"/>
    <xf numFmtId="169" fontId="12" fillId="0" borderId="0" xfId="0" applyNumberFormat="1" applyFont="1" applyAlignment="1" applyProtection="1"/>
    <xf numFmtId="169" fontId="12" fillId="0" borderId="12" xfId="0" applyNumberFormat="1" applyFont="1" applyBorder="1" applyAlignment="1" applyProtection="1"/>
    <xf numFmtId="169" fontId="28" fillId="0" borderId="12" xfId="0" applyNumberFormat="1" applyFont="1" applyBorder="1" applyAlignment="1" applyProtection="1">
      <alignment horizontal="center"/>
    </xf>
    <xf numFmtId="169" fontId="28" fillId="0" borderId="0" xfId="0" applyNumberFormat="1" applyFont="1" applyAlignment="1" applyProtection="1">
      <alignment horizontal="center"/>
    </xf>
    <xf numFmtId="169" fontId="11" fillId="0" borderId="0" xfId="0" applyNumberFormat="1" applyFont="1" applyBorder="1" applyAlignment="1" applyProtection="1"/>
    <xf numFmtId="169" fontId="28" fillId="0" borderId="0" xfId="0" applyNumberFormat="1" applyFont="1" applyBorder="1" applyAlignment="1" applyProtection="1">
      <alignment horizontal="center"/>
    </xf>
    <xf numFmtId="169" fontId="29" fillId="0" borderId="0" xfId="0" quotePrefix="1" applyNumberFormat="1" applyFont="1" applyAlignment="1" applyProtection="1">
      <alignment horizontal="center"/>
    </xf>
    <xf numFmtId="169" fontId="28" fillId="0" borderId="0" xfId="0" applyNumberFormat="1" applyFont="1" applyFill="1" applyBorder="1" applyAlignment="1" applyProtection="1"/>
    <xf numFmtId="169" fontId="28" fillId="0" borderId="0" xfId="0" applyNumberFormat="1" applyFont="1" applyFill="1" applyBorder="1" applyAlignment="1" applyProtection="1">
      <alignment horizontal="center"/>
    </xf>
    <xf numFmtId="172" fontId="11" fillId="0" borderId="0" xfId="0" applyNumberFormat="1" applyFont="1" applyBorder="1" applyAlignment="1" applyProtection="1"/>
    <xf numFmtId="172" fontId="12" fillId="0" borderId="0" xfId="0" applyNumberFormat="1" applyFont="1" applyBorder="1" applyAlignment="1" applyProtection="1"/>
    <xf numFmtId="168" fontId="10" fillId="0" borderId="12" xfId="0" applyNumberFormat="1" applyFont="1" applyBorder="1" applyAlignment="1" applyProtection="1"/>
    <xf numFmtId="169" fontId="29" fillId="0" borderId="7" xfId="0" applyNumberFormat="1" applyFont="1" applyBorder="1" applyAlignment="1" applyProtection="1"/>
    <xf numFmtId="0" fontId="19" fillId="0" borderId="0" xfId="0" applyNumberFormat="1" applyFont="1" applyAlignment="1">
      <alignment horizontal="right"/>
    </xf>
    <xf numFmtId="169"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5" fillId="0" borderId="0" xfId="9" applyFont="1" applyAlignment="1">
      <alignment horizontal="center"/>
    </xf>
    <xf numFmtId="0" fontId="19" fillId="0" borderId="0" xfId="9" applyNumberFormat="1" applyFont="1" applyAlignment="1">
      <alignment horizontal="right"/>
    </xf>
    <xf numFmtId="168" fontId="5" fillId="0" borderId="0" xfId="9" applyNumberFormat="1" applyFont="1" applyFill="1"/>
    <xf numFmtId="169" fontId="19" fillId="0" borderId="0" xfId="9" applyNumberFormat="1" applyFont="1" applyAlignment="1">
      <alignment horizontal="right"/>
    </xf>
    <xf numFmtId="169" fontId="5" fillId="0" borderId="0" xfId="9" applyNumberFormat="1" applyFont="1"/>
    <xf numFmtId="169" fontId="5" fillId="0" borderId="0" xfId="9" quotePrefix="1" applyNumberFormat="1" applyFont="1" applyAlignment="1">
      <alignment horizontal="center"/>
    </xf>
    <xf numFmtId="0" fontId="5" fillId="0" borderId="0" xfId="9" quotePrefix="1" applyFont="1" applyAlignment="1">
      <alignment horizontal="center"/>
    </xf>
    <xf numFmtId="0" fontId="5" fillId="0" borderId="0" xfId="9" applyFont="1" applyBorder="1" applyAlignment="1">
      <alignment horizontal="center"/>
    </xf>
    <xf numFmtId="168" fontId="19" fillId="0" borderId="10" xfId="9" applyNumberFormat="1" applyFont="1" applyBorder="1"/>
    <xf numFmtId="0" fontId="19" fillId="0" borderId="2" xfId="0" applyFont="1" applyBorder="1" applyAlignment="1">
      <alignment horizontal="center"/>
    </xf>
    <xf numFmtId="169" fontId="5" fillId="0" borderId="0" xfId="0" applyNumberFormat="1" applyFont="1"/>
    <xf numFmtId="169" fontId="5" fillId="0" borderId="0" xfId="0" quotePrefix="1" applyNumberFormat="1" applyFont="1" applyAlignment="1">
      <alignment horizontal="center"/>
    </xf>
    <xf numFmtId="169" fontId="5" fillId="0" borderId="0" xfId="0" quotePrefix="1" applyNumberFormat="1" applyFont="1" applyAlignment="1">
      <alignment horizontal="right"/>
    </xf>
    <xf numFmtId="169" fontId="5" fillId="0" borderId="0" xfId="0" applyNumberFormat="1" applyFont="1" applyAlignment="1">
      <alignment horizontal="right"/>
    </xf>
    <xf numFmtId="0" fontId="40" fillId="0" borderId="22" xfId="60070" applyNumberFormat="1" applyFont="1" applyFill="1" applyBorder="1" applyAlignment="1">
      <alignment horizontal="center"/>
    </xf>
    <xf numFmtId="0" fontId="40" fillId="0" borderId="22" xfId="60070" applyNumberFormat="1" applyFont="1" applyFill="1" applyBorder="1" applyAlignment="1"/>
    <xf numFmtId="172" fontId="99" fillId="0" borderId="0" xfId="0" applyNumberFormat="1" applyFont="1" applyAlignment="1"/>
    <xf numFmtId="172" fontId="99" fillId="0" borderId="0" xfId="0" applyNumberFormat="1" applyFont="1" applyFill="1" applyAlignment="1"/>
    <xf numFmtId="172" fontId="100" fillId="0" borderId="0" xfId="0" applyNumberFormat="1" applyFont="1" applyAlignment="1"/>
    <xf numFmtId="172" fontId="101" fillId="0" borderId="0" xfId="0" applyNumberFormat="1" applyFont="1" applyAlignment="1"/>
    <xf numFmtId="172" fontId="101" fillId="0" borderId="0" xfId="0" applyNumberFormat="1" applyFont="1" applyFill="1" applyAlignment="1"/>
    <xf numFmtId="172" fontId="99" fillId="0" borderId="0" xfId="0" applyNumberFormat="1" applyFont="1" applyAlignment="1">
      <alignment horizontal="right"/>
    </xf>
    <xf numFmtId="172" fontId="99" fillId="0" borderId="0" xfId="0" quotePrefix="1" applyNumberFormat="1" applyFont="1" applyAlignment="1">
      <alignment horizontal="left"/>
    </xf>
    <xf numFmtId="172" fontId="16" fillId="0" borderId="0" xfId="0" applyNumberFormat="1" applyFont="1" applyAlignment="1">
      <alignment horizontal="right"/>
    </xf>
    <xf numFmtId="172" fontId="99" fillId="0" borderId="0" xfId="0" applyNumberFormat="1" applyFont="1" applyAlignment="1">
      <alignment horizontal="left"/>
    </xf>
    <xf numFmtId="172" fontId="7" fillId="0" borderId="0" xfId="0" applyNumberFormat="1" applyFont="1" applyFill="1" applyAlignment="1"/>
    <xf numFmtId="195" fontId="102" fillId="0" borderId="0" xfId="0" applyNumberFormat="1" applyFont="1" applyAlignment="1"/>
    <xf numFmtId="172" fontId="34" fillId="0" borderId="0" xfId="0" applyNumberFormat="1" applyFont="1" applyAlignment="1"/>
    <xf numFmtId="172" fontId="38" fillId="0" borderId="0" xfId="0" applyNumberFormat="1" applyFont="1" applyAlignment="1"/>
    <xf numFmtId="172" fontId="6" fillId="0" borderId="0" xfId="0" quotePrefix="1" applyNumberFormat="1" applyFont="1" applyAlignment="1">
      <alignment horizontal="center"/>
    </xf>
    <xf numFmtId="172" fontId="6" fillId="0" borderId="0" xfId="0" applyNumberFormat="1" applyFont="1" applyFill="1" applyAlignment="1"/>
    <xf numFmtId="172" fontId="6" fillId="0" borderId="0" xfId="0" applyNumberFormat="1" applyFont="1" applyAlignment="1">
      <alignment horizontal="centerContinuous"/>
    </xf>
    <xf numFmtId="172" fontId="103" fillId="0" borderId="0" xfId="0" applyNumberFormat="1" applyFont="1" applyAlignment="1"/>
    <xf numFmtId="172" fontId="10" fillId="0" borderId="4" xfId="0" applyNumberFormat="1" applyFont="1" applyBorder="1" applyAlignment="1"/>
    <xf numFmtId="172" fontId="10" fillId="0" borderId="4" xfId="0" applyNumberFormat="1" applyFont="1" applyFill="1" applyBorder="1" applyAlignment="1"/>
    <xf numFmtId="172" fontId="104" fillId="0" borderId="0" xfId="0" quotePrefix="1" applyNumberFormat="1" applyFont="1" applyAlignment="1" applyProtection="1">
      <alignment horizontal="center"/>
      <protection locked="0"/>
    </xf>
    <xf numFmtId="172" fontId="104" fillId="0" borderId="0" xfId="0" applyNumberFormat="1" applyFont="1" applyAlignment="1" applyProtection="1">
      <protection locked="0"/>
    </xf>
    <xf numFmtId="172" fontId="5" fillId="0" borderId="4" xfId="0" applyNumberFormat="1" applyFont="1" applyFill="1" applyBorder="1" applyAlignment="1" applyProtection="1">
      <protection locked="0"/>
    </xf>
    <xf numFmtId="172" fontId="5" fillId="0" borderId="0" xfId="0" applyNumberFormat="1" applyFont="1" applyFill="1" applyBorder="1" applyAlignment="1" applyProtection="1">
      <protection locked="0"/>
    </xf>
    <xf numFmtId="37" fontId="105" fillId="0" borderId="0" xfId="0" applyNumberFormat="1" applyFont="1" applyAlignment="1" applyProtection="1">
      <protection locked="0"/>
    </xf>
    <xf numFmtId="172" fontId="106" fillId="0" borderId="0" xfId="0" applyNumberFormat="1" applyFont="1" applyAlignment="1"/>
    <xf numFmtId="37" fontId="105" fillId="0" borderId="0" xfId="0" applyNumberFormat="1" applyFont="1" applyAlignment="1" applyProtection="1">
      <alignment horizontal="right"/>
      <protection locked="0"/>
    </xf>
    <xf numFmtId="37" fontId="107" fillId="0" borderId="0" xfId="0" applyNumberFormat="1" applyFont="1" applyAlignment="1" applyProtection="1">
      <alignment horizontal="center"/>
      <protection locked="0"/>
    </xf>
    <xf numFmtId="37" fontId="107" fillId="0" borderId="0" xfId="0" applyNumberFormat="1" applyFont="1" applyFill="1" applyAlignment="1" applyProtection="1">
      <alignment horizontal="center"/>
      <protection locked="0"/>
    </xf>
    <xf numFmtId="37" fontId="105" fillId="0" borderId="0" xfId="0" applyNumberFormat="1" applyFont="1" applyAlignment="1" applyProtection="1">
      <alignment horizontal="center"/>
      <protection locked="0"/>
    </xf>
    <xf numFmtId="37" fontId="105" fillId="0" borderId="0" xfId="0" applyNumberFormat="1" applyFont="1" applyFill="1" applyAlignment="1" applyProtection="1">
      <alignment horizontal="center"/>
      <protection locked="0"/>
    </xf>
    <xf numFmtId="37" fontId="16" fillId="0" borderId="0" xfId="0" applyNumberFormat="1" applyFont="1" applyAlignment="1">
      <alignment horizontal="right"/>
    </xf>
    <xf numFmtId="37" fontId="16" fillId="0" borderId="0" xfId="0" applyNumberFormat="1" applyFont="1" applyAlignment="1"/>
    <xf numFmtId="172" fontId="88" fillId="0" borderId="0" xfId="0" applyNumberFormat="1" applyFont="1" applyAlignment="1">
      <alignment horizontal="right"/>
    </xf>
    <xf numFmtId="172" fontId="88" fillId="0" borderId="0" xfId="0" applyNumberFormat="1" applyFont="1" applyAlignment="1"/>
    <xf numFmtId="4" fontId="38" fillId="0" borderId="0" xfId="0" applyNumberFormat="1" applyFont="1" applyAlignment="1">
      <alignment horizontal="left"/>
    </xf>
    <xf numFmtId="168" fontId="38" fillId="0" borderId="0" xfId="60077" applyNumberFormat="1" applyFont="1" applyFill="1" applyAlignment="1">
      <alignment horizontal="center"/>
    </xf>
    <xf numFmtId="168" fontId="108" fillId="0" borderId="0" xfId="0" applyNumberFormat="1" applyFont="1" applyAlignment="1" applyProtection="1">
      <alignment horizontal="right"/>
      <protection locked="0"/>
    </xf>
    <xf numFmtId="168" fontId="38" fillId="0" borderId="0" xfId="0" applyNumberFormat="1" applyFont="1" applyAlignment="1" applyProtection="1">
      <alignment horizontal="right"/>
      <protection locked="0"/>
    </xf>
    <xf numFmtId="168" fontId="108" fillId="0" borderId="0" xfId="0" applyNumberFormat="1" applyFont="1" applyAlignment="1" applyProtection="1">
      <alignment horizontal="center"/>
      <protection locked="0"/>
    </xf>
    <xf numFmtId="168" fontId="38" fillId="0" borderId="0" xfId="0" applyNumberFormat="1" applyFont="1" applyAlignment="1"/>
    <xf numFmtId="169" fontId="38" fillId="0" borderId="0" xfId="0" applyNumberFormat="1" applyFont="1" applyAlignment="1"/>
    <xf numFmtId="3" fontId="38" fillId="0" borderId="0" xfId="0" applyNumberFormat="1" applyFont="1" applyAlignment="1"/>
    <xf numFmtId="169" fontId="38" fillId="0" borderId="0" xfId="60077" applyNumberFormat="1" applyFont="1" applyFill="1" applyAlignment="1">
      <alignment horizontal="center"/>
    </xf>
    <xf numFmtId="169" fontId="108" fillId="0" borderId="0" xfId="0" applyNumberFormat="1" applyFont="1" applyAlignment="1" applyProtection="1">
      <protection locked="0"/>
    </xf>
    <xf numFmtId="169" fontId="108" fillId="0" borderId="0" xfId="0" applyNumberFormat="1" applyFont="1" applyAlignment="1" applyProtection="1">
      <alignment horizontal="center"/>
      <protection locked="0"/>
    </xf>
    <xf numFmtId="169" fontId="88" fillId="0" borderId="0" xfId="0" applyNumberFormat="1" applyFont="1" applyAlignment="1"/>
    <xf numFmtId="3" fontId="88" fillId="0" borderId="0" xfId="0" applyNumberFormat="1" applyFont="1" applyAlignment="1"/>
    <xf numFmtId="172" fontId="72" fillId="0" borderId="0" xfId="0" applyNumberFormat="1" applyFont="1" applyAlignment="1"/>
    <xf numFmtId="172" fontId="91" fillId="0" borderId="0" xfId="0" applyNumberFormat="1" applyFont="1" applyAlignment="1"/>
    <xf numFmtId="172" fontId="38" fillId="0" borderId="0" xfId="0" applyNumberFormat="1" applyFont="1" applyFill="1" applyAlignment="1"/>
    <xf numFmtId="169" fontId="38" fillId="0" borderId="0" xfId="0" applyNumberFormat="1" applyFont="1" applyFill="1" applyAlignment="1"/>
    <xf numFmtId="172" fontId="103" fillId="0" borderId="0" xfId="0" applyNumberFormat="1" applyFont="1" applyFill="1" applyAlignment="1"/>
    <xf numFmtId="172" fontId="38" fillId="16" borderId="0" xfId="0" applyNumberFormat="1" applyFont="1" applyFill="1" applyAlignment="1"/>
    <xf numFmtId="172" fontId="38" fillId="0" borderId="0" xfId="0" quotePrefix="1" applyNumberFormat="1" applyFont="1" applyAlignment="1">
      <alignment horizontal="left"/>
    </xf>
    <xf numFmtId="172" fontId="39" fillId="0" borderId="0" xfId="0" applyNumberFormat="1" applyFont="1" applyAlignment="1"/>
    <xf numFmtId="172" fontId="37" fillId="0" borderId="0" xfId="0" applyNumberFormat="1" applyFont="1" applyAlignment="1"/>
    <xf numFmtId="169" fontId="37" fillId="0" borderId="0" xfId="0" applyNumberFormat="1" applyFont="1" applyAlignment="1"/>
    <xf numFmtId="172" fontId="110" fillId="0" borderId="0" xfId="0" applyNumberFormat="1" applyFont="1" applyAlignment="1"/>
    <xf numFmtId="172" fontId="12" fillId="0" borderId="0" xfId="0" applyNumberFormat="1" applyFont="1" applyAlignment="1"/>
    <xf numFmtId="169" fontId="29" fillId="0" borderId="0" xfId="0" applyNumberFormat="1" applyFont="1" applyBorder="1" applyAlignment="1" applyProtection="1">
      <protection locked="0"/>
    </xf>
    <xf numFmtId="169" fontId="28" fillId="0" borderId="0" xfId="0" applyNumberFormat="1" applyFont="1" applyAlignment="1" applyProtection="1">
      <protection locked="0"/>
    </xf>
    <xf numFmtId="169" fontId="29" fillId="0" borderId="0" xfId="0" applyNumberFormat="1" applyFont="1" applyAlignment="1" applyProtection="1">
      <protection locked="0"/>
    </xf>
    <xf numFmtId="169" fontId="11" fillId="0" borderId="0" xfId="0" applyNumberFormat="1" applyFont="1" applyAlignment="1"/>
    <xf numFmtId="169" fontId="10" fillId="0" borderId="0" xfId="0" applyNumberFormat="1" applyFont="1" applyBorder="1" applyAlignment="1"/>
    <xf numFmtId="172" fontId="16" fillId="0" borderId="0" xfId="0" applyNumberFormat="1" applyFont="1" applyAlignment="1">
      <alignment horizontal="left"/>
    </xf>
    <xf numFmtId="169" fontId="105" fillId="0" borderId="3" xfId="0" applyNumberFormat="1" applyFont="1" applyBorder="1" applyAlignment="1" applyProtection="1">
      <alignment horizontal="right"/>
    </xf>
    <xf numFmtId="169" fontId="107" fillId="0" borderId="0" xfId="0" applyNumberFormat="1" applyFont="1" applyAlignment="1" applyProtection="1"/>
    <xf numFmtId="169" fontId="105" fillId="0" borderId="0" xfId="0" applyNumberFormat="1" applyFont="1" applyAlignment="1" applyProtection="1"/>
    <xf numFmtId="169" fontId="16" fillId="0" borderId="0" xfId="0" applyNumberFormat="1" applyFont="1" applyAlignment="1" applyProtection="1"/>
    <xf numFmtId="169" fontId="90" fillId="0" borderId="0" xfId="0" applyNumberFormat="1" applyFont="1" applyBorder="1" applyAlignment="1" applyProtection="1"/>
    <xf numFmtId="169" fontId="90" fillId="0" borderId="0" xfId="0" applyNumberFormat="1" applyFont="1" applyAlignment="1" applyProtection="1"/>
    <xf numFmtId="169" fontId="90" fillId="0" borderId="4" xfId="0" applyNumberFormat="1" applyFont="1" applyBorder="1" applyAlignment="1" applyProtection="1"/>
    <xf numFmtId="169" fontId="34" fillId="0" borderId="0" xfId="0" applyNumberFormat="1" applyFont="1" applyAlignment="1" applyProtection="1"/>
    <xf numFmtId="169" fontId="34" fillId="0" borderId="0" xfId="0" applyNumberFormat="1" applyFont="1" applyBorder="1" applyAlignment="1" applyProtection="1"/>
    <xf numFmtId="169" fontId="34" fillId="0" borderId="4" xfId="0" applyNumberFormat="1" applyFont="1" applyBorder="1" applyAlignment="1" applyProtection="1"/>
    <xf numFmtId="169" fontId="88" fillId="0" borderId="0" xfId="0" applyNumberFormat="1" applyFont="1" applyAlignment="1" applyProtection="1"/>
    <xf numFmtId="169" fontId="38" fillId="0" borderId="0" xfId="60077" applyNumberFormat="1" applyFont="1" applyFill="1" applyAlignment="1" applyProtection="1">
      <alignment horizontal="center"/>
    </xf>
    <xf numFmtId="169" fontId="108" fillId="0" borderId="0" xfId="0" applyNumberFormat="1" applyFont="1" applyAlignment="1" applyProtection="1"/>
    <xf numFmtId="169" fontId="108" fillId="0" borderId="0" xfId="0" applyNumberFormat="1" applyFont="1" applyAlignment="1" applyProtection="1">
      <alignment horizontal="center"/>
    </xf>
    <xf numFmtId="169" fontId="38" fillId="0" borderId="0" xfId="0" applyNumberFormat="1" applyFont="1" applyAlignment="1" applyProtection="1"/>
    <xf numFmtId="169" fontId="105" fillId="0" borderId="3" xfId="0" applyNumberFormat="1" applyFont="1" applyBorder="1" applyAlignment="1" applyProtection="1"/>
    <xf numFmtId="169" fontId="108" fillId="0" borderId="0" xfId="0" applyNumberFormat="1" applyFont="1" applyFill="1" applyAlignment="1" applyProtection="1"/>
    <xf numFmtId="169" fontId="108" fillId="0" borderId="0" xfId="0" applyNumberFormat="1" applyFont="1" applyFill="1" applyAlignment="1" applyProtection="1">
      <alignment horizontal="right"/>
    </xf>
    <xf numFmtId="169" fontId="38" fillId="0" borderId="0" xfId="0" applyNumberFormat="1" applyFont="1" applyFill="1" applyAlignment="1" applyProtection="1"/>
    <xf numFmtId="169" fontId="16" fillId="0" borderId="22" xfId="60077" applyNumberFormat="1" applyFont="1" applyFill="1" applyBorder="1" applyAlignment="1" applyProtection="1">
      <alignment horizontal="center"/>
    </xf>
    <xf numFmtId="169" fontId="16" fillId="0" borderId="0" xfId="60077" applyNumberFormat="1" applyFont="1" applyFill="1" applyAlignment="1" applyProtection="1">
      <alignment horizontal="center"/>
    </xf>
    <xf numFmtId="169" fontId="105" fillId="0" borderId="22" xfId="0" applyNumberFormat="1" applyFont="1" applyBorder="1" applyAlignment="1" applyProtection="1"/>
    <xf numFmtId="169" fontId="16" fillId="0" borderId="22" xfId="0" applyNumberFormat="1" applyFont="1" applyBorder="1" applyAlignment="1" applyProtection="1"/>
    <xf numFmtId="169" fontId="107" fillId="0" borderId="0" xfId="0" applyNumberFormat="1" applyFont="1" applyBorder="1" applyAlignment="1" applyProtection="1"/>
    <xf numFmtId="169" fontId="88" fillId="0" borderId="0" xfId="0" applyNumberFormat="1" applyFont="1" applyBorder="1" applyAlignment="1" applyProtection="1"/>
    <xf numFmtId="169" fontId="39" fillId="0" borderId="0" xfId="60077" applyNumberFormat="1" applyFont="1" applyFill="1" applyBorder="1" applyAlignment="1" applyProtection="1">
      <alignment horizontal="center"/>
    </xf>
    <xf numFmtId="169" fontId="109" fillId="0" borderId="0" xfId="0" applyNumberFormat="1" applyFont="1" applyAlignment="1" applyProtection="1"/>
    <xf numFmtId="169" fontId="109" fillId="0" borderId="0" xfId="0" applyNumberFormat="1" applyFont="1" applyBorder="1" applyAlignment="1" applyProtection="1"/>
    <xf numFmtId="169" fontId="39" fillId="0" borderId="0" xfId="0" applyNumberFormat="1" applyFont="1" applyAlignment="1" applyProtection="1"/>
    <xf numFmtId="169" fontId="39" fillId="0" borderId="0" xfId="0" applyNumberFormat="1" applyFont="1" applyBorder="1" applyAlignment="1" applyProtection="1"/>
    <xf numFmtId="172" fontId="7" fillId="0" borderId="0" xfId="0" applyNumberFormat="1" applyFont="1" applyAlignment="1" applyProtection="1"/>
    <xf numFmtId="172" fontId="17" fillId="0" borderId="0" xfId="0" applyNumberFormat="1" applyFont="1" applyAlignment="1" applyProtection="1"/>
    <xf numFmtId="172" fontId="99" fillId="0" borderId="0" xfId="0" applyNumberFormat="1" applyFont="1" applyAlignment="1" applyProtection="1">
      <alignment horizontal="right"/>
    </xf>
    <xf numFmtId="172" fontId="16" fillId="0" borderId="0" xfId="0" applyNumberFormat="1" applyFont="1" applyAlignment="1" applyProtection="1">
      <alignment horizontal="right"/>
    </xf>
    <xf numFmtId="172" fontId="19" fillId="0" borderId="0" xfId="0" applyNumberFormat="1" applyFont="1" applyAlignment="1" applyProtection="1">
      <alignment horizontal="right"/>
    </xf>
    <xf numFmtId="172" fontId="25" fillId="0" borderId="0" xfId="0" applyNumberFormat="1" applyFont="1" applyAlignment="1" applyProtection="1"/>
    <xf numFmtId="195" fontId="102" fillId="0" borderId="0" xfId="0" applyNumberFormat="1" applyFont="1" applyAlignment="1" applyProtection="1"/>
    <xf numFmtId="172" fontId="7" fillId="0" borderId="0" xfId="0" applyNumberFormat="1" applyFont="1" applyFill="1" applyAlignment="1" applyProtection="1"/>
    <xf numFmtId="172" fontId="8" fillId="0" borderId="0" xfId="0" applyNumberFormat="1" applyFont="1" applyAlignment="1" applyProtection="1"/>
    <xf numFmtId="172" fontId="6" fillId="0" borderId="0" xfId="0" quotePrefix="1" applyNumberFormat="1" applyFont="1" applyAlignment="1" applyProtection="1">
      <alignment horizontal="center"/>
    </xf>
    <xf numFmtId="172" fontId="6" fillId="0" borderId="0" xfId="0" applyNumberFormat="1" applyFont="1" applyAlignment="1" applyProtection="1"/>
    <xf numFmtId="172" fontId="6" fillId="0" borderId="0" xfId="0" applyNumberFormat="1" applyFont="1" applyFill="1" applyAlignment="1" applyProtection="1"/>
    <xf numFmtId="172" fontId="38" fillId="0" borderId="0" xfId="0" applyNumberFormat="1" applyFont="1" applyAlignment="1" applyProtection="1"/>
    <xf numFmtId="172" fontId="6" fillId="0" borderId="0" xfId="0" applyNumberFormat="1" applyFont="1" applyAlignment="1" applyProtection="1">
      <alignment horizontal="centerContinuous"/>
    </xf>
    <xf numFmtId="172" fontId="10" fillId="0" borderId="4" xfId="0" applyNumberFormat="1" applyFont="1" applyBorder="1" applyAlignment="1" applyProtection="1"/>
    <xf numFmtId="172" fontId="10" fillId="0" borderId="0" xfId="0" applyNumberFormat="1" applyFont="1" applyAlignment="1" applyProtection="1"/>
    <xf numFmtId="172" fontId="104" fillId="0" borderId="0" xfId="0" quotePrefix="1" applyNumberFormat="1" applyFont="1" applyAlignment="1" applyProtection="1">
      <alignment horizontal="center"/>
    </xf>
    <xf numFmtId="172" fontId="104" fillId="0" borderId="0" xfId="0" applyNumberFormat="1" applyFont="1" applyAlignment="1" applyProtection="1"/>
    <xf numFmtId="172" fontId="104" fillId="0" borderId="0" xfId="0" quotePrefix="1" applyNumberFormat="1" applyFont="1" applyFill="1" applyAlignment="1" applyProtection="1">
      <alignment horizontal="center"/>
    </xf>
    <xf numFmtId="172" fontId="5" fillId="0" borderId="4" xfId="0" applyNumberFormat="1" applyFont="1" applyBorder="1" applyAlignment="1" applyProtection="1"/>
    <xf numFmtId="172" fontId="5" fillId="0" borderId="0" xfId="0" applyNumberFormat="1" applyFont="1" applyAlignment="1" applyProtection="1"/>
    <xf numFmtId="172" fontId="5" fillId="0" borderId="4" xfId="0" applyNumberFormat="1" applyFont="1" applyFill="1" applyBorder="1" applyAlignment="1" applyProtection="1"/>
    <xf numFmtId="172" fontId="5" fillId="0" borderId="0" xfId="0" applyNumberFormat="1" applyFont="1" applyBorder="1" applyAlignment="1" applyProtection="1"/>
    <xf numFmtId="172" fontId="5" fillId="0" borderId="0" xfId="0" applyNumberFormat="1" applyFont="1" applyFill="1" applyBorder="1" applyAlignment="1" applyProtection="1"/>
    <xf numFmtId="169" fontId="111" fillId="0" borderId="0" xfId="0" applyNumberFormat="1" applyFont="1" applyBorder="1" applyAlignment="1" applyProtection="1"/>
    <xf numFmtId="169" fontId="111" fillId="0" borderId="0" xfId="0" applyNumberFormat="1" applyFont="1" applyAlignment="1" applyProtection="1"/>
    <xf numFmtId="169" fontId="111" fillId="0" borderId="4" xfId="0" applyNumberFormat="1" applyFont="1" applyBorder="1" applyAlignment="1" applyProtection="1"/>
    <xf numFmtId="169" fontId="72" fillId="0" borderId="0" xfId="0" applyNumberFormat="1" applyFont="1" applyAlignment="1" applyProtection="1"/>
    <xf numFmtId="169" fontId="72" fillId="0" borderId="0" xfId="0" applyNumberFormat="1" applyFont="1" applyBorder="1" applyAlignment="1" applyProtection="1"/>
    <xf numFmtId="169" fontId="72" fillId="0" borderId="4" xfId="0" applyNumberFormat="1" applyFont="1" applyBorder="1" applyAlignment="1" applyProtection="1"/>
    <xf numFmtId="169" fontId="29" fillId="0" borderId="0" xfId="0" applyNumberFormat="1" applyFont="1" applyAlignment="1" applyProtection="1"/>
    <xf numFmtId="169" fontId="10" fillId="0" borderId="0" xfId="0" applyNumberFormat="1" applyFont="1" applyBorder="1" applyAlignment="1" applyProtection="1"/>
    <xf numFmtId="168" fontId="105" fillId="0" borderId="9" xfId="0" applyNumberFormat="1" applyFont="1" applyBorder="1" applyAlignment="1" applyProtection="1"/>
    <xf numFmtId="168" fontId="105" fillId="0" borderId="0" xfId="0" applyNumberFormat="1" applyFont="1" applyAlignment="1" applyProtection="1">
      <alignment horizontal="right"/>
    </xf>
    <xf numFmtId="168" fontId="16" fillId="0" borderId="0" xfId="0" applyNumberFormat="1" applyFont="1" applyAlignment="1" applyProtection="1">
      <alignment horizontal="right"/>
    </xf>
    <xf numFmtId="0" fontId="5" fillId="0" borderId="0" xfId="0" applyFont="1" applyFill="1" applyBorder="1" applyAlignment="1">
      <alignment horizontal="center"/>
    </xf>
    <xf numFmtId="172"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168" fontId="21" fillId="0" borderId="0" xfId="60076" applyNumberFormat="1" applyFont="1" applyFill="1"/>
    <xf numFmtId="0" fontId="21" fillId="0" borderId="0" xfId="60086" applyFont="1" applyFill="1" applyAlignment="1"/>
    <xf numFmtId="0" fontId="22" fillId="0" borderId="0" xfId="60086" applyFont="1" applyFill="1" applyAlignment="1">
      <alignment horizontal="right"/>
    </xf>
    <xf numFmtId="169" fontId="21" fillId="0" borderId="0" xfId="60076" applyNumberFormat="1" applyFont="1" applyFill="1"/>
    <xf numFmtId="0" fontId="21" fillId="0" borderId="0" xfId="60086" quotePrefix="1" applyFont="1" applyFill="1" applyAlignment="1">
      <alignment horizontal="left"/>
    </xf>
    <xf numFmtId="0" fontId="20" fillId="0" borderId="0" xfId="60086" applyFont="1" applyFill="1"/>
    <xf numFmtId="0" fontId="22" fillId="0" borderId="0" xfId="60086" applyFont="1" applyFill="1"/>
    <xf numFmtId="0" fontId="56" fillId="0" borderId="0" xfId="60086" applyFont="1" applyFill="1"/>
    <xf numFmtId="181" fontId="5" fillId="0" borderId="0" xfId="60076" applyNumberFormat="1" applyFont="1" applyFill="1"/>
    <xf numFmtId="169" fontId="21" fillId="0" borderId="0" xfId="60076" quotePrefix="1" applyNumberFormat="1" applyFont="1" applyFill="1" applyAlignment="1">
      <alignment horizontal="center"/>
    </xf>
    <xf numFmtId="169"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168" fontId="20" fillId="0" borderId="10" xfId="60076" applyNumberFormat="1" applyFont="1" applyFill="1" applyBorder="1"/>
    <xf numFmtId="168"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81" fontId="21" fillId="0" borderId="0" xfId="60076" applyNumberFormat="1" applyFont="1" applyFill="1"/>
    <xf numFmtId="181" fontId="5" fillId="0" borderId="0" xfId="60076" quotePrefix="1" applyNumberFormat="1" applyFont="1" applyFill="1" applyAlignment="1">
      <alignment horizontal="center"/>
    </xf>
    <xf numFmtId="0" fontId="19" fillId="0" borderId="0" xfId="0" applyFont="1" applyFill="1" applyAlignment="1">
      <alignment horizontal="right"/>
    </xf>
    <xf numFmtId="0" fontId="39" fillId="0" borderId="0" xfId="0" applyFont="1" applyFill="1" applyAlignment="1">
      <alignment horizontal="right"/>
    </xf>
    <xf numFmtId="0" fontId="19" fillId="0" borderId="3" xfId="0" applyFont="1" applyFill="1" applyBorder="1" applyAlignment="1">
      <alignment horizontal="center"/>
    </xf>
    <xf numFmtId="168" fontId="21" fillId="0" borderId="0" xfId="0" applyNumberFormat="1" applyFont="1" applyFill="1" applyAlignment="1">
      <alignment horizontal="right"/>
    </xf>
    <xf numFmtId="0" fontId="21" fillId="0" borderId="0" xfId="0" applyFont="1" applyFill="1" applyAlignment="1">
      <alignment horizontal="right"/>
    </xf>
    <xf numFmtId="169" fontId="21" fillId="0" borderId="0" xfId="60076" applyNumberFormat="1" applyFont="1" applyFill="1" applyBorder="1"/>
    <xf numFmtId="181" fontId="21" fillId="0" borderId="0" xfId="60076" quotePrefix="1" applyNumberFormat="1" applyFont="1" applyFill="1" applyAlignment="1">
      <alignment horizontal="center"/>
    </xf>
    <xf numFmtId="168" fontId="20" fillId="0" borderId="0" xfId="0" applyNumberFormat="1" applyFont="1" applyFill="1" applyAlignment="1">
      <alignment horizontal="right"/>
    </xf>
    <xf numFmtId="0" fontId="0" fillId="0" borderId="0" xfId="0" applyAlignment="1">
      <alignment horizontal="right"/>
    </xf>
    <xf numFmtId="0" fontId="113" fillId="0" borderId="0" xfId="0" quotePrefix="1" applyNumberFormat="1" applyFont="1" applyBorder="1" applyAlignment="1">
      <alignment horizontal="center"/>
    </xf>
    <xf numFmtId="10" fontId="89" fillId="0" borderId="0" xfId="0" applyNumberFormat="1" applyFont="1" applyBorder="1" applyAlignment="1"/>
    <xf numFmtId="170" fontId="114" fillId="0" borderId="0" xfId="0" applyNumberFormat="1" applyFont="1" applyBorder="1" applyAlignment="1"/>
    <xf numFmtId="0" fontId="0" fillId="0" borderId="0" xfId="60086" applyNumberFormat="1" applyFont="1" applyFill="1" applyAlignment="1"/>
    <xf numFmtId="0" fontId="20" fillId="0" borderId="0" xfId="60075" applyNumberFormat="1" applyFont="1" applyFill="1" applyAlignment="1"/>
    <xf numFmtId="0" fontId="19" fillId="0" borderId="0" xfId="60086" applyNumberFormat="1" applyFont="1" applyFill="1" applyAlignment="1"/>
    <xf numFmtId="172"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8"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0" fontId="21" fillId="0" borderId="0" xfId="60088" applyNumberFormat="1" applyFont="1" applyFill="1" applyAlignment="1"/>
    <xf numFmtId="164"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17" fillId="0" borderId="0" xfId="59992" applyNumberFormat="1" applyFont="1" applyAlignment="1" applyProtection="1"/>
    <xf numFmtId="182" fontId="21" fillId="0" borderId="0" xfId="59955" applyNumberFormat="1" applyFont="1" applyAlignment="1">
      <alignment vertical="top"/>
    </xf>
    <xf numFmtId="182" fontId="21" fillId="0" borderId="0" xfId="59955" applyNumberFormat="1" applyFont="1" applyAlignment="1">
      <alignment horizontal="center"/>
    </xf>
    <xf numFmtId="0" fontId="84" fillId="0" borderId="0" xfId="60090" applyNumberFormat="1" applyFont="1" applyAlignment="1"/>
    <xf numFmtId="0" fontId="76" fillId="0" borderId="0" xfId="60090" applyNumberFormat="1" applyFont="1" applyAlignment="1"/>
    <xf numFmtId="0" fontId="9" fillId="0" borderId="0" xfId="60090" applyNumberFormat="1" applyFont="1" applyAlignment="1"/>
    <xf numFmtId="0" fontId="119" fillId="0" borderId="0" xfId="60090" applyNumberFormat="1" applyFont="1" applyAlignment="1"/>
    <xf numFmtId="0" fontId="84" fillId="0" borderId="0" xfId="60090" applyNumberFormat="1" applyFont="1" applyAlignment="1">
      <alignment horizontal="right"/>
    </xf>
    <xf numFmtId="0" fontId="84" fillId="0" borderId="0" xfId="60090" applyNumberFormat="1" applyFont="1" applyAlignment="1">
      <alignment horizontal="center"/>
    </xf>
    <xf numFmtId="0" fontId="84" fillId="0" borderId="22" xfId="60090" applyNumberFormat="1" applyFont="1" applyBorder="1" applyAlignment="1">
      <alignment horizontal="center"/>
    </xf>
    <xf numFmtId="0" fontId="84" fillId="0" borderId="0" xfId="60090" applyNumberFormat="1" applyFont="1" applyBorder="1" applyAlignment="1">
      <alignment horizontal="center"/>
    </xf>
    <xf numFmtId="3" fontId="76" fillId="0" borderId="0" xfId="60090" applyNumberFormat="1" applyFont="1" applyAlignment="1">
      <alignment horizontal="center"/>
    </xf>
    <xf numFmtId="3" fontId="76" fillId="0" borderId="0" xfId="60090" applyNumberFormat="1" applyFont="1" applyAlignment="1"/>
    <xf numFmtId="0" fontId="8" fillId="0" borderId="0" xfId="60090" applyNumberFormat="1" applyFont="1" applyAlignment="1"/>
    <xf numFmtId="172" fontId="0" fillId="0" borderId="2" xfId="7" quotePrefix="1" applyNumberFormat="1" applyFont="1" applyBorder="1" applyAlignment="1">
      <alignment horizontal="center"/>
    </xf>
    <xf numFmtId="172" fontId="0" fillId="0" borderId="2" xfId="11" quotePrefix="1" applyNumberFormat="1" applyFont="1" applyBorder="1" applyAlignment="1">
      <alignment horizontal="center"/>
    </xf>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169" fontId="46" fillId="0" borderId="0" xfId="0" quotePrefix="1" applyNumberFormat="1" applyFont="1" applyBorder="1" applyAlignment="1">
      <alignment horizontal="center"/>
    </xf>
    <xf numFmtId="169" fontId="8" fillId="0" borderId="0" xfId="0" quotePrefix="1" applyNumberFormat="1" applyFont="1" applyBorder="1" applyAlignment="1">
      <alignment horizontal="center"/>
    </xf>
    <xf numFmtId="169" fontId="8" fillId="0" borderId="0" xfId="0" quotePrefix="1" applyNumberFormat="1" applyFont="1" applyFill="1" applyBorder="1" applyAlignment="1">
      <alignment horizontal="center"/>
    </xf>
    <xf numFmtId="169" fontId="19" fillId="0" borderId="0" xfId="0" applyNumberFormat="1" applyFont="1" applyAlignment="1">
      <alignment horizontal="right"/>
    </xf>
    <xf numFmtId="169" fontId="5" fillId="0" borderId="0" xfId="60087" applyNumberFormat="1" applyFont="1" applyAlignment="1" applyProtection="1">
      <protection locked="0"/>
    </xf>
    <xf numFmtId="169" fontId="8" fillId="0" borderId="0" xfId="0" applyNumberFormat="1" applyFont="1" applyFill="1" applyAlignment="1"/>
    <xf numFmtId="169" fontId="6" fillId="0" borderId="0" xfId="0" applyNumberFormat="1" applyFont="1" applyFill="1" applyAlignment="1"/>
    <xf numFmtId="169" fontId="8" fillId="0" borderId="0" xfId="0" applyNumberFormat="1" applyFont="1" applyFill="1"/>
    <xf numFmtId="169" fontId="10" fillId="0" borderId="0" xfId="0" applyNumberFormat="1" applyFont="1" applyAlignment="1"/>
    <xf numFmtId="169" fontId="6" fillId="0" borderId="0" xfId="0" quotePrefix="1" applyNumberFormat="1" applyFont="1" applyFill="1" applyAlignment="1">
      <alignment horizontal="left"/>
    </xf>
    <xf numFmtId="169" fontId="19" fillId="0" borderId="0" xfId="0" applyNumberFormat="1" applyFont="1" applyAlignment="1">
      <alignment horizontal="centerContinuous"/>
    </xf>
    <xf numFmtId="169" fontId="16" fillId="0" borderId="0" xfId="0" applyNumberFormat="1" applyFont="1" applyFill="1" applyAlignment="1">
      <alignment horizontal="right"/>
    </xf>
    <xf numFmtId="169" fontId="10" fillId="0" borderId="0" xfId="0" applyNumberFormat="1" applyFont="1" applyAlignment="1">
      <alignment horizontal="right"/>
    </xf>
    <xf numFmtId="169" fontId="19" fillId="0" borderId="0" xfId="0" applyNumberFormat="1" applyFont="1" applyFill="1" applyAlignment="1"/>
    <xf numFmtId="169" fontId="19" fillId="0" borderId="2" xfId="0" applyNumberFormat="1" applyFont="1" applyBorder="1" applyAlignment="1"/>
    <xf numFmtId="169" fontId="19" fillId="0" borderId="2" xfId="0" applyNumberFormat="1" applyFont="1" applyFill="1" applyBorder="1" applyAlignment="1">
      <alignment horizontal="centerContinuous"/>
    </xf>
    <xf numFmtId="169" fontId="5" fillId="0" borderId="2" xfId="0" applyNumberFormat="1" applyFont="1" applyBorder="1" applyAlignment="1">
      <alignment horizontal="centerContinuous"/>
    </xf>
    <xf numFmtId="169" fontId="19" fillId="0" borderId="2" xfId="0" applyNumberFormat="1" applyFont="1" applyBorder="1" applyAlignment="1">
      <alignment horizontal="centerContinuous"/>
    </xf>
    <xf numFmtId="169" fontId="19" fillId="0" borderId="0" xfId="0" applyNumberFormat="1" applyFont="1" applyBorder="1" applyAlignment="1"/>
    <xf numFmtId="169" fontId="19" fillId="0" borderId="0" xfId="0" applyNumberFormat="1" applyFont="1" applyBorder="1" applyAlignment="1">
      <alignment horizontal="center"/>
    </xf>
    <xf numFmtId="169" fontId="19" fillId="0" borderId="0" xfId="0" applyNumberFormat="1" applyFont="1" applyFill="1" applyBorder="1" applyAlignment="1">
      <alignment horizontal="centerContinuous"/>
    </xf>
    <xf numFmtId="169" fontId="5" fillId="0" borderId="0" xfId="0" applyNumberFormat="1" applyFont="1" applyBorder="1" applyAlignment="1">
      <alignment horizontal="centerContinuous"/>
    </xf>
    <xf numFmtId="169" fontId="19" fillId="0" borderId="0" xfId="0" applyNumberFormat="1" applyFont="1" applyBorder="1" applyAlignment="1">
      <alignment horizontal="centerContinuous"/>
    </xf>
    <xf numFmtId="169" fontId="19" fillId="0" borderId="0" xfId="60070" applyNumberFormat="1" applyFont="1" applyFill="1" applyAlignment="1">
      <alignment horizontal="center"/>
    </xf>
    <xf numFmtId="169" fontId="19" fillId="0" borderId="0" xfId="0" applyNumberFormat="1" applyFont="1" applyAlignment="1">
      <alignment horizontal="center"/>
    </xf>
    <xf numFmtId="169" fontId="19" fillId="0" borderId="0" xfId="0" applyNumberFormat="1" applyFont="1" applyFill="1" applyAlignment="1">
      <alignment horizontal="center"/>
    </xf>
    <xf numFmtId="169" fontId="8" fillId="0" borderId="0" xfId="0" applyNumberFormat="1" applyFont="1" applyFill="1" applyBorder="1" applyAlignment="1"/>
    <xf numFmtId="169" fontId="19" fillId="0" borderId="0" xfId="60070" applyNumberFormat="1" applyFont="1" applyFill="1" applyAlignment="1"/>
    <xf numFmtId="169" fontId="19" fillId="0" borderId="2" xfId="60070" applyNumberFormat="1" applyFont="1" applyFill="1" applyBorder="1" applyAlignment="1">
      <alignment horizontal="center"/>
    </xf>
    <xf numFmtId="169" fontId="5" fillId="0" borderId="4" xfId="0" applyNumberFormat="1" applyFont="1" applyFill="1" applyBorder="1" applyAlignment="1"/>
    <xf numFmtId="169" fontId="5" fillId="0" borderId="4" xfId="0" applyNumberFormat="1" applyFont="1" applyBorder="1" applyAlignment="1"/>
    <xf numFmtId="169" fontId="5" fillId="0" borderId="0" xfId="0" applyNumberFormat="1" applyFont="1" applyBorder="1" applyAlignment="1"/>
    <xf numFmtId="169" fontId="5" fillId="0" borderId="6" xfId="0" applyNumberFormat="1" applyFont="1" applyBorder="1" applyAlignment="1"/>
    <xf numFmtId="169" fontId="5" fillId="0" borderId="6" xfId="0" applyNumberFormat="1" applyFont="1" applyFill="1" applyBorder="1" applyAlignment="1"/>
    <xf numFmtId="169" fontId="0" fillId="0" borderId="0" xfId="0" applyNumberFormat="1" applyFont="1" applyAlignment="1"/>
    <xf numFmtId="169" fontId="0" fillId="0" borderId="0" xfId="0" applyNumberFormat="1" applyFont="1" applyFill="1" applyAlignment="1"/>
    <xf numFmtId="169" fontId="0" fillId="0" borderId="4" xfId="0" applyNumberFormat="1" applyFont="1" applyFill="1" applyBorder="1" applyAlignment="1"/>
    <xf numFmtId="168" fontId="0" fillId="0" borderId="0" xfId="0" applyNumberFormat="1" applyFont="1" applyAlignment="1"/>
    <xf numFmtId="169" fontId="0" fillId="0" borderId="6" xfId="0" applyNumberFormat="1" applyFont="1" applyFill="1" applyBorder="1" applyAlignment="1"/>
    <xf numFmtId="169" fontId="0" fillId="0" borderId="0" xfId="0" applyNumberFormat="1" applyFont="1" applyFill="1" applyBorder="1" applyAlignment="1"/>
    <xf numFmtId="169" fontId="0" fillId="0" borderId="4" xfId="0" applyNumberFormat="1" applyFont="1" applyBorder="1" applyAlignment="1"/>
    <xf numFmtId="169" fontId="0" fillId="0" borderId="6" xfId="0" applyNumberFormat="1" applyFont="1" applyBorder="1" applyAlignment="1"/>
    <xf numFmtId="169" fontId="0" fillId="0" borderId="0" xfId="0" applyNumberFormat="1" applyFont="1" applyBorder="1" applyAlignment="1"/>
    <xf numFmtId="169" fontId="26" fillId="0" borderId="2" xfId="0" quotePrefix="1" applyNumberFormat="1" applyFont="1" applyFill="1" applyBorder="1" applyAlignment="1"/>
    <xf numFmtId="4" fontId="0" fillId="0" borderId="0" xfId="0" applyNumberFormat="1" applyFont="1" applyFill="1" applyAlignment="1"/>
    <xf numFmtId="169" fontId="21" fillId="0" borderId="0" xfId="59991" quotePrefix="1" applyNumberFormat="1" applyFont="1" applyFill="1" applyAlignment="1">
      <alignment horizontal="center"/>
    </xf>
    <xf numFmtId="169" fontId="5" fillId="0" borderId="0" xfId="59991" applyNumberFormat="1" applyFont="1" applyFill="1"/>
    <xf numFmtId="169" fontId="56" fillId="0" borderId="0" xfId="59991" applyNumberFormat="1" applyFont="1" applyFill="1"/>
    <xf numFmtId="169" fontId="56" fillId="0" borderId="0" xfId="60091" applyNumberFormat="1" applyFont="1" applyFill="1"/>
    <xf numFmtId="169" fontId="5" fillId="0" borderId="0" xfId="59991" applyNumberFormat="1" applyFont="1" applyFill="1" applyBorder="1"/>
    <xf numFmtId="169" fontId="5" fillId="0" borderId="22" xfId="59991" applyNumberFormat="1" applyFont="1" applyFill="1" applyBorder="1"/>
    <xf numFmtId="168" fontId="21" fillId="0" borderId="0" xfId="59991" applyNumberFormat="1" applyFont="1" applyFill="1"/>
    <xf numFmtId="181" fontId="5" fillId="0" borderId="0" xfId="60091" applyNumberFormat="1" applyFont="1" applyFill="1" applyBorder="1" applyAlignment="1"/>
    <xf numFmtId="169" fontId="5" fillId="0" borderId="0" xfId="59991" applyNumberFormat="1" applyFont="1" applyFill="1"/>
    <xf numFmtId="169" fontId="56" fillId="0" borderId="0" xfId="59991" applyNumberFormat="1" applyFont="1" applyFill="1"/>
    <xf numFmtId="169" fontId="56" fillId="0" borderId="0" xfId="60091" applyNumberFormat="1" applyFont="1" applyFill="1"/>
    <xf numFmtId="169" fontId="5" fillId="0" borderId="0" xfId="60091" applyNumberFormat="1" applyFont="1" applyFill="1" applyAlignment="1">
      <alignment horizontal="center"/>
    </xf>
    <xf numFmtId="169" fontId="5" fillId="0" borderId="0" xfId="60091" applyNumberFormat="1" applyFont="1" applyFill="1" applyBorder="1" applyAlignment="1">
      <alignment horizontal="center"/>
    </xf>
    <xf numFmtId="169" fontId="5" fillId="0" borderId="22" xfId="60091" applyNumberFormat="1" applyFont="1" applyFill="1" applyBorder="1" applyAlignment="1">
      <alignment horizontal="center"/>
    </xf>
    <xf numFmtId="168" fontId="21" fillId="0" borderId="0" xfId="59991" applyNumberFormat="1" applyFont="1" applyFill="1"/>
    <xf numFmtId="168" fontId="19" fillId="0" borderId="10" xfId="59991" applyNumberFormat="1" applyFont="1" applyFill="1" applyBorder="1"/>
    <xf numFmtId="0" fontId="0" fillId="0" borderId="0" xfId="0" applyAlignment="1"/>
    <xf numFmtId="0" fontId="10" fillId="0" borderId="0" xfId="0" applyNumberFormat="1" applyFont="1" applyAlignment="1">
      <alignment horizontal="right"/>
    </xf>
    <xf numFmtId="0" fontId="0" fillId="0" borderId="0" xfId="0" applyAlignment="1">
      <alignment horizontal="right"/>
    </xf>
    <xf numFmtId="175" fontId="5" fillId="0" borderId="0" xfId="0" applyNumberFormat="1" applyFont="1" applyFill="1" applyAlignment="1"/>
    <xf numFmtId="186" fontId="5" fillId="0" borderId="0" xfId="0" applyNumberFormat="1" applyFont="1" applyFill="1" applyAlignment="1"/>
    <xf numFmtId="185" fontId="5" fillId="0" borderId="0" xfId="0" applyNumberFormat="1" applyFont="1" applyFill="1" applyAlignment="1"/>
    <xf numFmtId="189" fontId="0" fillId="0" borderId="0" xfId="0" quotePrefix="1" applyNumberFormat="1" applyFill="1" applyAlignment="1"/>
    <xf numFmtId="189" fontId="0" fillId="0" borderId="0" xfId="0" quotePrefix="1" applyNumberFormat="1" applyFill="1" applyAlignment="1">
      <alignment horizontal="center"/>
    </xf>
    <xf numFmtId="0" fontId="5" fillId="0" borderId="4" xfId="0" applyNumberFormat="1" applyFont="1" applyFill="1" applyBorder="1" applyAlignment="1"/>
    <xf numFmtId="0" fontId="94" fillId="0" borderId="0" xfId="0" applyFont="1" applyFill="1" applyBorder="1" applyAlignment="1"/>
    <xf numFmtId="0" fontId="0" fillId="0" borderId="0" xfId="0" applyFill="1" applyBorder="1" applyAlignment="1"/>
    <xf numFmtId="175" fontId="0" fillId="0" borderId="0" xfId="0" applyNumberFormat="1" applyFill="1" applyAlignment="1"/>
    <xf numFmtId="191" fontId="5" fillId="0" borderId="0" xfId="0" applyNumberFormat="1" applyFont="1" applyFill="1" applyAlignment="1"/>
    <xf numFmtId="191" fontId="0" fillId="0" borderId="0" xfId="0" applyNumberFormat="1" applyFill="1" applyAlignment="1"/>
    <xf numFmtId="4" fontId="64"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168" fontId="5" fillId="0" borderId="0" xfId="60074" quotePrefix="1" applyNumberFormat="1" applyFont="1" applyFill="1" applyAlignment="1">
      <alignment horizontal="center"/>
    </xf>
    <xf numFmtId="168" fontId="5" fillId="0" borderId="0" xfId="60074" applyNumberFormat="1" applyFont="1" applyFill="1" applyAlignment="1">
      <alignment horizontal="right"/>
    </xf>
    <xf numFmtId="168" fontId="5" fillId="0" borderId="0" xfId="60074" applyNumberFormat="1" applyFont="1" applyFill="1" applyAlignment="1"/>
    <xf numFmtId="169" fontId="5" fillId="0" borderId="0" xfId="60074" applyNumberFormat="1" applyFont="1" applyFill="1" applyAlignment="1"/>
    <xf numFmtId="169" fontId="5" fillId="0" borderId="0" xfId="60074" quotePrefix="1" applyNumberFormat="1" applyFont="1" applyFill="1" applyAlignment="1">
      <alignment horizontal="center"/>
    </xf>
    <xf numFmtId="169" fontId="5" fillId="0" borderId="0" xfId="60074" quotePrefix="1" applyNumberFormat="1" applyFont="1" applyFill="1" applyAlignment="1"/>
    <xf numFmtId="169" fontId="5" fillId="0" borderId="0" xfId="60074" quotePrefix="1" applyNumberFormat="1" applyFont="1" applyFill="1" applyAlignment="1">
      <alignment horizontal="right"/>
    </xf>
    <xf numFmtId="169" fontId="5" fillId="0" borderId="0" xfId="60074" applyNumberFormat="1" applyFont="1" applyFill="1" applyAlignment="1">
      <alignment horizontal="center"/>
    </xf>
    <xf numFmtId="169" fontId="5" fillId="0" borderId="0" xfId="60074" applyNumberFormat="1" applyFont="1" applyFill="1" applyAlignment="1">
      <alignment horizontal="right"/>
    </xf>
    <xf numFmtId="169" fontId="5" fillId="0" borderId="0" xfId="60074" quotePrefix="1" applyNumberFormat="1" applyFont="1" applyFill="1" applyBorder="1" applyAlignment="1">
      <alignment horizontal="center"/>
    </xf>
    <xf numFmtId="169" fontId="5" fillId="0" borderId="22" xfId="60074" quotePrefix="1" applyNumberFormat="1" applyFont="1" applyFill="1" applyBorder="1" applyAlignment="1">
      <alignment horizontal="center"/>
    </xf>
    <xf numFmtId="0" fontId="120"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73" fontId="19" fillId="0" borderId="0" xfId="60091" applyNumberFormat="1" applyFont="1" applyFill="1" applyBorder="1" applyAlignment="1">
      <alignment horizontal="center"/>
    </xf>
    <xf numFmtId="0" fontId="120"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73" fontId="19" fillId="0" borderId="0" xfId="60099" applyNumberFormat="1" applyFont="1" applyFill="1" applyBorder="1" applyAlignment="1">
      <alignment horizontal="center"/>
    </xf>
    <xf numFmtId="0" fontId="5" fillId="0" borderId="0" xfId="60099" applyFont="1" applyFill="1" applyBorder="1" applyAlignment="1"/>
    <xf numFmtId="169" fontId="0" fillId="0" borderId="0" xfId="0" applyNumberFormat="1" applyFont="1" applyAlignment="1">
      <alignment horizontal="center"/>
    </xf>
    <xf numFmtId="169" fontId="0" fillId="0" borderId="0" xfId="0" applyNumberFormat="1" applyFill="1" applyAlignment="1"/>
    <xf numFmtId="169" fontId="0" fillId="0" borderId="0" xfId="0" applyNumberFormat="1" applyFont="1" applyAlignment="1">
      <alignment horizontal="right"/>
    </xf>
    <xf numFmtId="169" fontId="0" fillId="0" borderId="0" xfId="0" applyNumberFormat="1" applyFont="1" applyFill="1" applyAlignment="1">
      <alignment horizontal="center"/>
    </xf>
    <xf numFmtId="0" fontId="0" fillId="0" borderId="0" xfId="0" applyFont="1" applyFill="1"/>
    <xf numFmtId="0" fontId="40" fillId="0" borderId="0" xfId="0" applyNumberFormat="1" applyFont="1" applyFill="1" applyAlignment="1">
      <alignment horizontal="center"/>
    </xf>
    <xf numFmtId="3" fontId="26" fillId="0" borderId="0" xfId="0" quotePrefix="1" applyNumberFormat="1" applyFont="1" applyFill="1" applyAlignment="1"/>
    <xf numFmtId="169" fontId="26" fillId="0" borderId="2" xfId="0" applyNumberFormat="1" applyFont="1" applyFill="1" applyBorder="1" applyAlignment="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72" fontId="5" fillId="0" borderId="0" xfId="60087" applyNumberFormat="1" applyFont="1" applyFill="1" applyAlignment="1" applyProtection="1">
      <protection locked="0"/>
    </xf>
    <xf numFmtId="0" fontId="72" fillId="0" borderId="0" xfId="0" applyNumberFormat="1" applyFont="1" applyFill="1" applyAlignment="1">
      <alignment horizontal="right"/>
    </xf>
    <xf numFmtId="0" fontId="69" fillId="0" borderId="0" xfId="0" applyNumberFormat="1" applyFont="1" applyFill="1" applyAlignment="1"/>
    <xf numFmtId="0" fontId="40" fillId="0" borderId="22" xfId="0" quotePrefix="1" applyNumberFormat="1" applyFont="1" applyFill="1" applyBorder="1" applyAlignment="1">
      <alignment horizontal="center"/>
    </xf>
    <xf numFmtId="169" fontId="26" fillId="0" borderId="0" xfId="0" applyNumberFormat="1" applyFont="1" applyFill="1" applyBorder="1" applyAlignment="1"/>
    <xf numFmtId="0" fontId="26" fillId="0" borderId="6" xfId="0" applyNumberFormat="1" applyFont="1" applyFill="1" applyBorder="1" applyAlignment="1"/>
    <xf numFmtId="181" fontId="26" fillId="0" borderId="0" xfId="60071" applyNumberFormat="1" applyFont="1" applyFill="1" applyAlignment="1"/>
    <xf numFmtId="172" fontId="10" fillId="0" borderId="0" xfId="60103" applyNumberFormat="1" applyFont="1" applyAlignment="1"/>
    <xf numFmtId="172" fontId="5" fillId="0" borderId="0" xfId="60103" applyNumberFormat="1" applyFont="1" applyAlignment="1"/>
    <xf numFmtId="0" fontId="10" fillId="0" borderId="0" xfId="60103" applyNumberFormat="1" applyFont="1" applyAlignment="1">
      <alignment horizontal="left"/>
    </xf>
    <xf numFmtId="185" fontId="123" fillId="0" borderId="0" xfId="60103" applyAlignment="1">
      <alignment horizontal="left"/>
    </xf>
    <xf numFmtId="0" fontId="10" fillId="0" borderId="0" xfId="60103" applyNumberFormat="1" applyFont="1" applyAlignment="1">
      <alignment horizontal="right"/>
    </xf>
    <xf numFmtId="172" fontId="8" fillId="0" borderId="0" xfId="60103" applyNumberFormat="1" applyFont="1" applyAlignment="1"/>
    <xf numFmtId="0" fontId="5" fillId="0" borderId="0" xfId="60103" applyNumberFormat="1" applyFont="1" applyAlignment="1" applyProtection="1">
      <protection locked="0"/>
    </xf>
    <xf numFmtId="172" fontId="8" fillId="0" borderId="0" xfId="60103" applyNumberFormat="1" applyFont="1"/>
    <xf numFmtId="172" fontId="10" fillId="0" borderId="0" xfId="60103" applyNumberFormat="1" applyFont="1" applyAlignment="1">
      <alignment horizontal="right"/>
    </xf>
    <xf numFmtId="172" fontId="6" fillId="0" borderId="0" xfId="60103" applyNumberFormat="1" applyFont="1" applyAlignment="1">
      <alignment horizontal="right"/>
    </xf>
    <xf numFmtId="172" fontId="10" fillId="0" borderId="0" xfId="60103" quotePrefix="1" applyNumberFormat="1" applyFont="1" applyAlignment="1">
      <alignment horizontal="left"/>
    </xf>
    <xf numFmtId="172" fontId="8" fillId="0" borderId="0" xfId="60103" quotePrefix="1" applyNumberFormat="1" applyFont="1" applyAlignment="1"/>
    <xf numFmtId="172" fontId="11" fillId="0" borderId="0" xfId="60103" applyNumberFormat="1" applyFont="1" applyAlignment="1"/>
    <xf numFmtId="172" fontId="34" fillId="0" borderId="0" xfId="60103" applyNumberFormat="1" applyFont="1" applyAlignment="1"/>
    <xf numFmtId="172" fontId="72" fillId="0" borderId="0" xfId="60103" applyNumberFormat="1" applyFont="1" applyAlignment="1">
      <alignment horizontal="center"/>
    </xf>
    <xf numFmtId="172" fontId="89" fillId="0" borderId="0" xfId="60103" quotePrefix="1" applyNumberFormat="1" applyFont="1" applyAlignment="1">
      <alignment horizontal="right"/>
    </xf>
    <xf numFmtId="0" fontId="89"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72" fontId="72" fillId="0" borderId="0" xfId="60103" applyNumberFormat="1" applyFont="1" applyAlignment="1"/>
    <xf numFmtId="172" fontId="34" fillId="0" borderId="0" xfId="60103" applyNumberFormat="1" applyFont="1"/>
    <xf numFmtId="172" fontId="8" fillId="0" borderId="0" xfId="60103" applyNumberFormat="1" applyFont="1" applyBorder="1"/>
    <xf numFmtId="175" fontId="34" fillId="0" borderId="0" xfId="60103" applyNumberFormat="1" applyFont="1" applyAlignment="1" applyProtection="1">
      <alignment horizontal="center" vertical="center"/>
      <protection locked="0"/>
    </xf>
    <xf numFmtId="175" fontId="34" fillId="0" borderId="0" xfId="60103" applyNumberFormat="1" applyFont="1" applyAlignment="1" applyProtection="1">
      <alignment vertical="center"/>
      <protection locked="0"/>
    </xf>
    <xf numFmtId="175" fontId="34" fillId="0" borderId="0" xfId="60103" applyNumberFormat="1" applyFont="1" applyAlignment="1" applyProtection="1">
      <alignment horizontal="center"/>
      <protection locked="0"/>
    </xf>
    <xf numFmtId="175"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86" fontId="34" fillId="0" borderId="0" xfId="60103" applyNumberFormat="1" applyFont="1" applyAlignment="1" applyProtection="1">
      <alignment vertical="center"/>
      <protection locked="0"/>
    </xf>
    <xf numFmtId="166" fontId="34" fillId="0" borderId="0" xfId="60103" applyNumberFormat="1" applyFont="1" applyAlignment="1" applyProtection="1">
      <alignment horizontal="center"/>
      <protection locked="0"/>
    </xf>
    <xf numFmtId="187" fontId="34" fillId="0" borderId="0" xfId="60103" applyNumberFormat="1" applyFont="1" applyAlignment="1" applyProtection="1">
      <alignment horizontal="center" vertical="center"/>
      <protection locked="0"/>
    </xf>
    <xf numFmtId="188" fontId="34" fillId="0" borderId="0" xfId="60103" applyNumberFormat="1" applyFont="1" applyAlignment="1" applyProtection="1">
      <alignment horizontal="center"/>
      <protection locked="0"/>
    </xf>
    <xf numFmtId="188" fontId="34" fillId="0" borderId="0" xfId="60103" applyNumberFormat="1" applyFont="1" applyAlignment="1" applyProtection="1">
      <protection locked="0"/>
    </xf>
    <xf numFmtId="188"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85" fontId="123" fillId="0" borderId="0" xfId="60103"/>
    <xf numFmtId="185" fontId="123" fillId="0" borderId="0" xfId="60103" applyAlignment="1"/>
    <xf numFmtId="185" fontId="34" fillId="0" borderId="0" xfId="60103" quotePrefix="1" applyFont="1" applyAlignment="1">
      <alignment horizontal="left"/>
    </xf>
    <xf numFmtId="0" fontId="124" fillId="0" borderId="0" xfId="60104"/>
    <xf numFmtId="37" fontId="21" fillId="0" borderId="0" xfId="60104" applyNumberFormat="1" applyFont="1" applyFill="1"/>
    <xf numFmtId="0" fontId="21" fillId="0" borderId="0" xfId="60104" applyFont="1" applyFill="1"/>
    <xf numFmtId="37" fontId="21" fillId="0" borderId="0" xfId="60104" applyNumberFormat="1" applyFont="1" applyFill="1" applyAlignment="1"/>
    <xf numFmtId="0" fontId="19" fillId="0" borderId="0" xfId="60104" applyNumberFormat="1" applyFont="1" applyFill="1" applyAlignment="1">
      <alignment horizontal="right"/>
    </xf>
    <xf numFmtId="169" fontId="21" fillId="0" borderId="0" xfId="60104" quotePrefix="1" applyNumberFormat="1" applyFont="1" applyFill="1" applyAlignment="1">
      <alignment horizontal="center"/>
    </xf>
    <xf numFmtId="0" fontId="21" fillId="0" borderId="0" xfId="60104" applyFont="1" applyFill="1" applyAlignment="1"/>
    <xf numFmtId="169" fontId="21" fillId="0" borderId="0" xfId="60104" quotePrefix="1" applyNumberFormat="1" applyFont="1" applyFill="1" applyAlignment="1"/>
    <xf numFmtId="168" fontId="21" fillId="0" borderId="0" xfId="60104" applyNumberFormat="1" applyFont="1" applyFill="1"/>
    <xf numFmtId="168" fontId="20" fillId="0" borderId="10" xfId="60104" applyNumberFormat="1" applyFont="1" applyFill="1" applyBorder="1"/>
    <xf numFmtId="168" fontId="21" fillId="0" borderId="0" xfId="60104" applyNumberFormat="1" applyFont="1" applyFill="1" applyAlignment="1"/>
    <xf numFmtId="0" fontId="19" fillId="0" borderId="0" xfId="60104" applyFont="1" applyFill="1" applyAlignment="1">
      <alignment horizontal="right"/>
    </xf>
    <xf numFmtId="37" fontId="21" fillId="0" borderId="0" xfId="60106" applyNumberFormat="1" applyFont="1" applyFill="1"/>
    <xf numFmtId="0" fontId="21" fillId="0" borderId="0" xfId="60106" applyFont="1" applyFill="1"/>
    <xf numFmtId="37" fontId="21" fillId="0" borderId="0" xfId="60106" applyNumberFormat="1" applyFont="1" applyFill="1" applyAlignment="1"/>
    <xf numFmtId="37" fontId="5" fillId="0" borderId="0" xfId="60106" applyNumberFormat="1" applyFont="1" applyFill="1"/>
    <xf numFmtId="0" fontId="19" fillId="0" borderId="0" xfId="60106" applyNumberFormat="1" applyFont="1" applyFill="1" applyAlignment="1">
      <alignment horizontal="right"/>
    </xf>
    <xf numFmtId="169" fontId="21" fillId="0" borderId="0" xfId="60106" quotePrefix="1" applyNumberFormat="1" applyFont="1" applyFill="1" applyAlignment="1">
      <alignment horizontal="center"/>
    </xf>
    <xf numFmtId="0" fontId="21" fillId="0" borderId="0" xfId="60106" applyFont="1" applyFill="1" applyAlignment="1"/>
    <xf numFmtId="169" fontId="21" fillId="0" borderId="0" xfId="60106" quotePrefix="1" applyNumberFormat="1" applyFont="1" applyFill="1" applyAlignment="1"/>
    <xf numFmtId="168" fontId="21" fillId="0" borderId="0" xfId="60106" applyNumberFormat="1" applyFont="1" applyFill="1"/>
    <xf numFmtId="168" fontId="20" fillId="0" borderId="10" xfId="60106" applyNumberFormat="1" applyFont="1" applyFill="1" applyBorder="1"/>
    <xf numFmtId="0" fontId="20" fillId="0" borderId="0" xfId="60106" applyNumberFormat="1" applyFont="1" applyFill="1" applyAlignment="1">
      <alignment horizontal="right"/>
    </xf>
    <xf numFmtId="168" fontId="21" fillId="0" borderId="0" xfId="60106" applyNumberFormat="1" applyFont="1" applyFill="1" applyAlignment="1"/>
    <xf numFmtId="169" fontId="8" fillId="0" borderId="0" xfId="0" applyNumberFormat="1" applyFont="1" applyAlignment="1" applyProtection="1">
      <protection locked="0"/>
    </xf>
    <xf numFmtId="169" fontId="9" fillId="0" borderId="0" xfId="0" applyNumberFormat="1" applyFont="1"/>
    <xf numFmtId="169" fontId="9" fillId="0" borderId="0" xfId="0" applyNumberFormat="1" applyFont="1" applyAlignment="1"/>
    <xf numFmtId="169" fontId="8" fillId="0" borderId="4" xfId="0" applyNumberFormat="1" applyFont="1" applyBorder="1" applyAlignment="1" applyProtection="1"/>
    <xf numFmtId="169" fontId="7" fillId="0" borderId="4" xfId="0" applyNumberFormat="1" applyFont="1" applyBorder="1" applyAlignment="1"/>
    <xf numFmtId="169" fontId="7" fillId="0" borderId="4" xfId="0" applyNumberFormat="1" applyFont="1" applyBorder="1" applyAlignment="1" applyProtection="1"/>
    <xf numFmtId="169" fontId="8" fillId="0" borderId="0" xfId="0" applyNumberFormat="1" applyFont="1" applyFill="1" applyAlignment="1" applyProtection="1">
      <protection locked="0"/>
    </xf>
    <xf numFmtId="172"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0" xfId="0" quotePrefix="1" applyNumberFormat="1" applyFont="1" applyAlignment="1">
      <alignment horizontal="left"/>
    </xf>
    <xf numFmtId="3" fontId="10" fillId="0" borderId="0" xfId="59955" quotePrefix="1" applyNumberFormat="1" applyFont="1" applyAlignment="1">
      <alignment horizontal="left"/>
    </xf>
    <xf numFmtId="169" fontId="10" fillId="0" borderId="0" xfId="59956" applyNumberFormat="1" applyFont="1" applyFill="1" applyAlignment="1">
      <alignment horizontal="right"/>
    </xf>
    <xf numFmtId="49" fontId="10" fillId="0" borderId="0" xfId="59955" applyNumberFormat="1" applyFont="1" applyFill="1" applyAlignment="1">
      <alignment horizontal="left"/>
    </xf>
    <xf numFmtId="0" fontId="21" fillId="0" borderId="0" xfId="59955" applyFont="1"/>
    <xf numFmtId="3" fontId="21" fillId="0" borderId="0" xfId="59955" applyNumberFormat="1" applyFont="1" applyFill="1"/>
    <xf numFmtId="169" fontId="19" fillId="0" borderId="0" xfId="59955" applyNumberFormat="1" applyFont="1" applyFill="1" applyAlignment="1">
      <alignment horizontal="center"/>
    </xf>
    <xf numFmtId="3" fontId="19" fillId="0" borderId="0" xfId="59955" quotePrefix="1" applyNumberFormat="1" applyFont="1" applyAlignment="1">
      <alignment horizontal="left"/>
    </xf>
    <xf numFmtId="169" fontId="19" fillId="0" borderId="0" xfId="59955" quotePrefix="1" applyNumberFormat="1" applyFont="1" applyFill="1" applyAlignment="1">
      <alignment horizontal="center"/>
    </xf>
    <xf numFmtId="0" fontId="20" fillId="0" borderId="0" xfId="59955" applyFont="1" applyAlignment="1">
      <alignment horizontal="right"/>
    </xf>
    <xf numFmtId="169" fontId="21" fillId="0" borderId="0" xfId="59955" applyNumberFormat="1" applyFont="1" applyFill="1" applyAlignment="1">
      <alignment horizontal="center"/>
    </xf>
    <xf numFmtId="0" fontId="21" fillId="0" borderId="0" xfId="59955" applyFont="1" applyAlignment="1">
      <alignment horizontal="right"/>
    </xf>
    <xf numFmtId="169" fontId="21" fillId="0" borderId="0" xfId="59956" applyNumberFormat="1" applyFont="1" applyFill="1" applyBorder="1" applyAlignment="1">
      <alignment horizontal="center"/>
    </xf>
    <xf numFmtId="49" fontId="21" fillId="0" borderId="0" xfId="59955" applyNumberFormat="1" applyFont="1"/>
    <xf numFmtId="169" fontId="21" fillId="0" borderId="0" xfId="59955" applyNumberFormat="1" applyFont="1" applyFill="1" applyBorder="1" applyAlignment="1">
      <alignment horizontal="center" vertical="top" wrapText="1"/>
    </xf>
    <xf numFmtId="169" fontId="21" fillId="0" borderId="0" xfId="59956" applyNumberFormat="1" applyFont="1" applyFill="1" applyAlignment="1">
      <alignment horizontal="center"/>
    </xf>
    <xf numFmtId="0" fontId="19" fillId="0" borderId="0" xfId="59955" applyFont="1" applyFill="1" applyAlignment="1">
      <alignment horizontal="right"/>
    </xf>
    <xf numFmtId="169" fontId="21" fillId="0" borderId="0" xfId="59956" quotePrefix="1" applyNumberFormat="1" applyFont="1" applyFill="1" applyBorder="1" applyAlignment="1">
      <alignment horizontal="center"/>
    </xf>
    <xf numFmtId="169" fontId="53" fillId="0" borderId="0" xfId="59956" applyNumberFormat="1" applyFont="1" applyFill="1" applyAlignment="1">
      <alignment horizontal="center"/>
    </xf>
    <xf numFmtId="169" fontId="54" fillId="0" borderId="0" xfId="59955" applyNumberFormat="1" applyFont="1" applyFill="1" applyAlignment="1">
      <alignment horizontal="center"/>
    </xf>
    <xf numFmtId="0" fontId="20" fillId="0" borderId="0" xfId="59955" applyFont="1" applyFill="1" applyAlignment="1">
      <alignment horizontal="right"/>
    </xf>
    <xf numFmtId="171" fontId="20" fillId="0" borderId="0" xfId="59956" applyFont="1" applyFill="1" applyBorder="1"/>
    <xf numFmtId="171" fontId="20" fillId="0" borderId="0" xfId="59956" applyFont="1" applyBorder="1"/>
    <xf numFmtId="3" fontId="20" fillId="0" borderId="0" xfId="59956" applyNumberFormat="1" applyFont="1" applyFill="1" applyBorder="1"/>
    <xf numFmtId="0" fontId="21" fillId="0" borderId="0" xfId="59955" applyNumberFormat="1" applyFont="1" applyAlignment="1"/>
    <xf numFmtId="0" fontId="21" fillId="0" borderId="0" xfId="59955" applyNumberFormat="1" applyFont="1" applyFill="1" applyAlignment="1"/>
    <xf numFmtId="3" fontId="21" fillId="0" borderId="0" xfId="59955" applyNumberFormat="1" applyFont="1" applyFill="1" applyAlignment="1"/>
    <xf numFmtId="0" fontId="55" fillId="0" borderId="0" xfId="59955" applyNumberFormat="1" applyFont="1" applyAlignment="1">
      <alignment horizontal="left" wrapText="1"/>
    </xf>
    <xf numFmtId="0" fontId="21" fillId="0" borderId="0" xfId="59955" applyNumberFormat="1" applyFont="1" applyAlignment="1">
      <alignment horizontal="left" wrapText="1"/>
    </xf>
    <xf numFmtId="0" fontId="21" fillId="0" borderId="0" xfId="59955" applyNumberFormat="1" applyFont="1" applyFill="1" applyAlignment="1">
      <alignment horizontal="left" wrapText="1"/>
    </xf>
    <xf numFmtId="4" fontId="21" fillId="0" borderId="0" xfId="59955" applyNumberFormat="1" applyFont="1" applyFill="1" applyAlignment="1">
      <alignment horizontal="left" wrapText="1"/>
    </xf>
    <xf numFmtId="3" fontId="21" fillId="0" borderId="0" xfId="59955" applyNumberFormat="1" applyFont="1" applyFill="1" applyAlignment="1">
      <alignment horizontal="left" wrapText="1"/>
    </xf>
    <xf numFmtId="4" fontId="21" fillId="0" borderId="0" xfId="59955" applyNumberFormat="1" applyFont="1" applyAlignment="1">
      <alignment horizontal="left" wrapText="1"/>
    </xf>
    <xf numFmtId="171" fontId="21" fillId="0" borderId="0" xfId="59955" applyNumberFormat="1" applyFont="1" applyFill="1" applyAlignment="1">
      <alignment horizontal="left" wrapText="1"/>
    </xf>
    <xf numFmtId="0" fontId="5" fillId="0" borderId="0" xfId="59955" applyNumberFormat="1" applyFont="1" applyAlignment="1">
      <alignment horizontal="left"/>
    </xf>
    <xf numFmtId="0" fontId="5" fillId="0" borderId="0" xfId="59955" applyNumberFormat="1" applyFont="1" applyAlignment="1">
      <alignment horizontal="left" wrapText="1"/>
    </xf>
    <xf numFmtId="0" fontId="5" fillId="0" borderId="0" xfId="59955" applyNumberFormat="1" applyFont="1" applyFill="1" applyAlignment="1">
      <alignment horizontal="left" wrapText="1"/>
    </xf>
    <xf numFmtId="3" fontId="5" fillId="0" borderId="0" xfId="59955" applyNumberFormat="1" applyFont="1" applyFill="1" applyAlignment="1">
      <alignment horizontal="left" wrapText="1"/>
    </xf>
    <xf numFmtId="182" fontId="20" fillId="0" borderId="0" xfId="59955" applyNumberFormat="1" applyFont="1" applyAlignment="1">
      <alignment horizontal="center"/>
    </xf>
    <xf numFmtId="182" fontId="21" fillId="0" borderId="0" xfId="59955" applyNumberFormat="1" applyFont="1" applyAlignment="1">
      <alignment horizontal="left" vertical="top" wrapText="1"/>
    </xf>
    <xf numFmtId="182" fontId="21" fillId="0" borderId="0" xfId="59955" applyNumberFormat="1" applyFont="1" applyAlignment="1">
      <alignment vertical="top" wrapText="1"/>
    </xf>
    <xf numFmtId="182" fontId="20" fillId="0" borderId="15" xfId="59955" applyNumberFormat="1" applyFont="1" applyBorder="1" applyAlignment="1">
      <alignment horizontal="center"/>
    </xf>
    <xf numFmtId="182" fontId="20" fillId="0" borderId="0" xfId="59955" applyNumberFormat="1" applyFont="1" applyBorder="1" applyAlignment="1">
      <alignment horizontal="center"/>
    </xf>
    <xf numFmtId="182" fontId="19" fillId="0" borderId="0" xfId="59955" quotePrefix="1" applyNumberFormat="1" applyFont="1" applyAlignment="1">
      <alignment horizontal="left"/>
    </xf>
    <xf numFmtId="182" fontId="50" fillId="0" borderId="0" xfId="59955" applyNumberFormat="1"/>
    <xf numFmtId="182" fontId="10" fillId="0" borderId="0" xfId="59955" applyNumberFormat="1" applyFont="1" applyFill="1" applyAlignment="1">
      <alignment horizontal="left"/>
    </xf>
    <xf numFmtId="182" fontId="21" fillId="0" borderId="0" xfId="59955" applyNumberFormat="1" applyFont="1"/>
    <xf numFmtId="182" fontId="52" fillId="0" borderId="0" xfId="59955" applyNumberFormat="1" applyFont="1" applyAlignment="1">
      <alignment vertical="top"/>
    </xf>
    <xf numFmtId="182" fontId="21" fillId="0" borderId="0" xfId="59955" applyNumberFormat="1" applyFont="1" applyAlignment="1">
      <alignment horizontal="center" vertical="top" wrapText="1"/>
    </xf>
    <xf numFmtId="182" fontId="10" fillId="0" borderId="0" xfId="59955" quotePrefix="1" applyNumberFormat="1" applyFont="1" applyAlignment="1">
      <alignment horizontal="left"/>
    </xf>
    <xf numFmtId="182" fontId="10" fillId="0" borderId="0" xfId="59955" applyNumberFormat="1" applyFont="1" applyAlignment="1">
      <alignment horizontal="left"/>
    </xf>
    <xf numFmtId="182" fontId="21" fillId="0" borderId="0" xfId="59955" applyNumberFormat="1" applyFont="1" applyAlignment="1">
      <alignment horizontal="left" vertical="top"/>
    </xf>
    <xf numFmtId="49" fontId="20" fillId="0" borderId="0" xfId="59955" applyNumberFormat="1" applyFont="1" applyAlignment="1">
      <alignment horizontal="center"/>
    </xf>
    <xf numFmtId="0" fontId="21" fillId="0" borderId="0" xfId="59955" applyFont="1" applyFill="1"/>
    <xf numFmtId="169" fontId="21" fillId="0" borderId="0" xfId="59955" applyNumberFormat="1" applyFont="1" applyFill="1" applyAlignment="1">
      <alignment horizontal="center"/>
    </xf>
    <xf numFmtId="49" fontId="20" fillId="0" borderId="15" xfId="59955" applyNumberFormat="1" applyFont="1" applyBorder="1" applyAlignment="1">
      <alignment horizontal="center"/>
    </xf>
    <xf numFmtId="49" fontId="20" fillId="0" borderId="0" xfId="59955" applyNumberFormat="1" applyFont="1" applyBorder="1" applyAlignment="1">
      <alignment horizontal="center"/>
    </xf>
    <xf numFmtId="0" fontId="21" fillId="0" borderId="0" xfId="59955" applyFont="1" applyAlignment="1">
      <alignment vertical="top"/>
    </xf>
    <xf numFmtId="168" fontId="21" fillId="0" borderId="0" xfId="59955" applyNumberFormat="1" applyFont="1" applyFill="1" applyAlignment="1">
      <alignment horizontal="center" vertical="top"/>
    </xf>
    <xf numFmtId="168" fontId="19" fillId="0" borderId="0" xfId="59955" applyNumberFormat="1" applyFont="1" applyFill="1" applyAlignment="1">
      <alignment horizontal="center" vertical="top"/>
    </xf>
    <xf numFmtId="168" fontId="21" fillId="0" borderId="0" xfId="59955" applyNumberFormat="1" applyFont="1" applyFill="1" applyAlignment="1">
      <alignment vertical="top"/>
    </xf>
    <xf numFmtId="168" fontId="21" fillId="0" borderId="0" xfId="59955" applyNumberFormat="1" applyFont="1" applyFill="1" applyAlignment="1">
      <alignment horizontal="center" vertical="top" wrapText="1"/>
    </xf>
    <xf numFmtId="168" fontId="21" fillId="0" borderId="0" xfId="59955" applyNumberFormat="1" applyFont="1" applyFill="1" applyAlignment="1">
      <alignment horizontal="center" wrapText="1"/>
    </xf>
    <xf numFmtId="168" fontId="19" fillId="0" borderId="0" xfId="59955" applyNumberFormat="1" applyFont="1" applyFill="1" applyBorder="1" applyAlignment="1">
      <alignment horizontal="center" vertical="top"/>
    </xf>
    <xf numFmtId="168" fontId="21" fillId="0" borderId="0" xfId="59956" applyNumberFormat="1" applyFont="1" applyFill="1" applyBorder="1" applyAlignment="1">
      <alignment horizontal="center"/>
    </xf>
    <xf numFmtId="181" fontId="21" fillId="0" borderId="0" xfId="59955" applyNumberFormat="1" applyFont="1" applyFill="1" applyAlignment="1">
      <alignment vertical="top"/>
    </xf>
    <xf numFmtId="169" fontId="21" fillId="0" borderId="22" xfId="59955" applyNumberFormat="1" applyFont="1" applyFill="1" applyBorder="1" applyAlignment="1">
      <alignment horizontal="center" vertical="top" wrapText="1"/>
    </xf>
    <xf numFmtId="181" fontId="21" fillId="0" borderId="0" xfId="59955" applyNumberFormat="1" applyFont="1" applyFill="1"/>
    <xf numFmtId="169" fontId="21" fillId="0" borderId="22" xfId="59955" applyNumberFormat="1" applyFont="1" applyFill="1" applyBorder="1" applyAlignment="1">
      <alignment horizontal="center"/>
    </xf>
    <xf numFmtId="181" fontId="21" fillId="0" borderId="22" xfId="59955" applyNumberFormat="1" applyFont="1" applyFill="1" applyBorder="1"/>
    <xf numFmtId="169" fontId="21" fillId="0" borderId="0" xfId="59955" applyNumberFormat="1" applyFont="1" applyFill="1" applyBorder="1" applyAlignment="1">
      <alignment horizontal="center" vertical="top" wrapText="1"/>
    </xf>
    <xf numFmtId="169" fontId="21" fillId="0" borderId="0" xfId="59956" applyNumberFormat="1" applyFont="1" applyFill="1" applyBorder="1" applyAlignment="1">
      <alignment horizontal="left" vertical="top"/>
    </xf>
    <xf numFmtId="169" fontId="21" fillId="0" borderId="0" xfId="59955" applyNumberFormat="1" applyFont="1" applyFill="1" applyAlignment="1">
      <alignment horizontal="left" vertical="top"/>
    </xf>
    <xf numFmtId="181" fontId="21" fillId="0" borderId="0" xfId="59956" applyNumberFormat="1" applyFont="1" applyFill="1" applyBorder="1" applyAlignment="1">
      <alignment horizontal="left" vertical="top"/>
    </xf>
    <xf numFmtId="169" fontId="21" fillId="0" borderId="0" xfId="59955" applyNumberFormat="1" applyFont="1" applyFill="1" applyAlignment="1">
      <alignment horizontal="left" vertical="top" wrapText="1"/>
    </xf>
    <xf numFmtId="0" fontId="21" fillId="0" borderId="0" xfId="59955" applyFont="1" applyAlignment="1">
      <alignment horizontal="left" vertical="top"/>
    </xf>
    <xf numFmtId="168" fontId="21" fillId="0" borderId="0" xfId="59957" applyNumberFormat="1" applyFont="1" applyFill="1" applyAlignment="1">
      <alignment horizontal="center" vertical="top"/>
    </xf>
    <xf numFmtId="0" fontId="50" fillId="0" borderId="0" xfId="59955"/>
    <xf numFmtId="0" fontId="21" fillId="0" borderId="0" xfId="59955" applyFont="1"/>
    <xf numFmtId="169" fontId="19" fillId="0" borderId="0" xfId="59955" applyNumberFormat="1" applyFont="1" applyFill="1" applyAlignment="1">
      <alignment horizontal="center"/>
    </xf>
    <xf numFmtId="0" fontId="20" fillId="0" borderId="0" xfId="59955" applyFont="1" applyAlignment="1">
      <alignment horizontal="center"/>
    </xf>
    <xf numFmtId="0" fontId="20" fillId="0" borderId="0" xfId="59955" applyFont="1" applyAlignment="1">
      <alignment horizontal="right"/>
    </xf>
    <xf numFmtId="0" fontId="20" fillId="0" borderId="15" xfId="59955" applyFont="1" applyBorder="1" applyAlignment="1">
      <alignment horizontal="center"/>
    </xf>
    <xf numFmtId="0" fontId="20" fillId="0" borderId="0" xfId="59955" applyFont="1" applyBorder="1" applyAlignment="1">
      <alignment horizontal="center"/>
    </xf>
    <xf numFmtId="0" fontId="20" fillId="0" borderId="0" xfId="59955" applyFont="1" applyBorder="1" applyAlignment="1">
      <alignment horizontal="right"/>
    </xf>
    <xf numFmtId="169" fontId="20" fillId="0" borderId="15" xfId="59955" applyNumberFormat="1" applyFont="1" applyFill="1" applyBorder="1" applyAlignment="1">
      <alignment horizontal="center"/>
    </xf>
    <xf numFmtId="169" fontId="20" fillId="0" borderId="0" xfId="59955" applyNumberFormat="1" applyFont="1" applyFill="1" applyAlignment="1">
      <alignment horizontal="center"/>
    </xf>
    <xf numFmtId="169" fontId="20" fillId="0" borderId="0" xfId="59955" applyNumberFormat="1" applyFont="1" applyFill="1" applyBorder="1" applyAlignment="1">
      <alignment horizontal="center"/>
    </xf>
    <xf numFmtId="0" fontId="21" fillId="0" borderId="0" xfId="59955" applyFont="1" applyAlignment="1">
      <alignment horizontal="right"/>
    </xf>
    <xf numFmtId="169" fontId="21" fillId="0" borderId="0" xfId="59956" applyNumberFormat="1" applyFont="1" applyFill="1" applyBorder="1" applyAlignment="1">
      <alignment horizontal="center"/>
    </xf>
    <xf numFmtId="169" fontId="19" fillId="0" borderId="0" xfId="59955" applyNumberFormat="1" applyFont="1" applyFill="1" applyAlignment="1">
      <alignment horizontal="center" vertical="top"/>
    </xf>
    <xf numFmtId="168" fontId="19" fillId="0" borderId="0" xfId="59955" applyNumberFormat="1" applyFont="1" applyFill="1" applyAlignment="1">
      <alignment horizontal="center"/>
    </xf>
    <xf numFmtId="169" fontId="21" fillId="0" borderId="0" xfId="59955" applyNumberFormat="1" applyFont="1" applyFill="1" applyAlignment="1">
      <alignment horizontal="center" vertical="top"/>
    </xf>
    <xf numFmtId="169" fontId="21" fillId="0" borderId="0" xfId="59955" applyNumberFormat="1" applyFont="1" applyFill="1" applyAlignment="1">
      <alignment horizontal="center" vertical="top" wrapText="1"/>
    </xf>
    <xf numFmtId="169" fontId="19" fillId="0" borderId="0" xfId="59955" applyNumberFormat="1" applyFont="1" applyFill="1" applyBorder="1" applyAlignment="1">
      <alignment horizontal="center" vertical="top"/>
    </xf>
    <xf numFmtId="181" fontId="21" fillId="0" borderId="0" xfId="59956" applyNumberFormat="1" applyFont="1" applyFill="1" applyBorder="1"/>
    <xf numFmtId="169" fontId="21" fillId="0" borderId="0" xfId="59955" applyNumberFormat="1" applyFont="1" applyFill="1" applyAlignment="1">
      <alignment horizontal="center" wrapText="1"/>
    </xf>
    <xf numFmtId="182" fontId="21" fillId="0" borderId="0" xfId="59955" applyNumberFormat="1" applyFont="1" applyAlignment="1">
      <alignment horizontal="center" vertical="top"/>
    </xf>
    <xf numFmtId="0" fontId="21" fillId="0" borderId="0" xfId="59955" applyFont="1" applyAlignment="1">
      <alignment wrapText="1"/>
    </xf>
    <xf numFmtId="169" fontId="21" fillId="0" borderId="22" xfId="59956" applyNumberFormat="1" applyFont="1" applyFill="1" applyBorder="1" applyAlignment="1">
      <alignment horizontal="center"/>
    </xf>
    <xf numFmtId="49" fontId="21" fillId="0" borderId="0" xfId="59955" applyNumberFormat="1" applyFont="1" applyAlignment="1">
      <alignment horizontal="center"/>
    </xf>
    <xf numFmtId="169" fontId="20" fillId="0" borderId="25" xfId="59956" applyNumberFormat="1" applyFont="1" applyFill="1" applyBorder="1" applyAlignment="1">
      <alignment horizontal="center"/>
    </xf>
    <xf numFmtId="169" fontId="20" fillId="0" borderId="0" xfId="59956" applyNumberFormat="1" applyFont="1" applyFill="1" applyBorder="1" applyAlignment="1">
      <alignment horizontal="center"/>
    </xf>
    <xf numFmtId="0" fontId="21" fillId="0" borderId="0" xfId="59955" applyFont="1" applyAlignment="1"/>
    <xf numFmtId="181" fontId="21" fillId="0" borderId="0" xfId="59956" applyNumberFormat="1" applyFont="1" applyFill="1" applyBorder="1" applyAlignment="1">
      <alignment horizontal="center"/>
    </xf>
    <xf numFmtId="169" fontId="21" fillId="0" borderId="0" xfId="59955" applyNumberFormat="1" applyFont="1" applyFill="1" applyBorder="1" applyAlignment="1">
      <alignment horizontal="center"/>
    </xf>
    <xf numFmtId="169" fontId="21" fillId="0" borderId="22" xfId="59956" applyNumberFormat="1" applyFont="1" applyFill="1" applyBorder="1" applyAlignment="1">
      <alignment horizontal="center" vertical="top"/>
    </xf>
    <xf numFmtId="169" fontId="21" fillId="0" borderId="0" xfId="59956" applyNumberFormat="1" applyFont="1" applyFill="1" applyBorder="1" applyAlignment="1">
      <alignment horizontal="center" vertical="top"/>
    </xf>
    <xf numFmtId="181" fontId="21" fillId="0" borderId="0" xfId="59956" applyNumberFormat="1" applyFont="1" applyFill="1" applyBorder="1" applyAlignment="1">
      <alignment horizontal="center" vertical="top"/>
    </xf>
    <xf numFmtId="181" fontId="21" fillId="0" borderId="0" xfId="59956" applyNumberFormat="1" applyFont="1" applyFill="1" applyBorder="1" applyAlignment="1">
      <alignment vertical="top"/>
    </xf>
    <xf numFmtId="169" fontId="20" fillId="0" borderId="0" xfId="59956" applyNumberFormat="1" applyFont="1" applyFill="1" applyAlignment="1">
      <alignment horizontal="center"/>
    </xf>
    <xf numFmtId="169" fontId="19" fillId="0" borderId="0" xfId="59955" applyNumberFormat="1" applyFont="1" applyFill="1" applyAlignment="1">
      <alignment horizontal="right"/>
    </xf>
    <xf numFmtId="169" fontId="21" fillId="0" borderId="0" xfId="59956" applyNumberFormat="1" applyFont="1" applyFill="1" applyBorder="1"/>
    <xf numFmtId="169" fontId="20" fillId="0" borderId="0" xfId="59956" quotePrefix="1" applyNumberFormat="1" applyFont="1" applyFill="1" applyBorder="1" applyAlignment="1">
      <alignment horizontal="center"/>
    </xf>
    <xf numFmtId="168" fontId="20" fillId="0" borderId="9" xfId="59956" applyNumberFormat="1" applyFont="1" applyFill="1" applyBorder="1" applyAlignment="1">
      <alignment horizontal="center"/>
    </xf>
    <xf numFmtId="169" fontId="21" fillId="0" borderId="22" xfId="59955" applyNumberFormat="1" applyFont="1" applyFill="1" applyBorder="1" applyAlignment="1">
      <alignment horizontal="center" wrapText="1"/>
    </xf>
    <xf numFmtId="169" fontId="21" fillId="0" borderId="22" xfId="59955" applyNumberFormat="1" applyFont="1" applyFill="1" applyBorder="1" applyAlignment="1">
      <alignment horizontal="center" vertical="top"/>
    </xf>
    <xf numFmtId="3" fontId="19" fillId="0" borderId="22" xfId="0" quotePrefix="1" applyNumberFormat="1" applyFont="1" applyFill="1" applyBorder="1" applyAlignment="1">
      <alignment horizontal="center"/>
    </xf>
    <xf numFmtId="197" fontId="5" fillId="0" borderId="0" xfId="18" applyNumberFormat="1" applyFont="1" applyFill="1" applyBorder="1" applyAlignment="1">
      <alignment horizontal="right"/>
    </xf>
    <xf numFmtId="49" fontId="10" fillId="0" borderId="0" xfId="59955" applyNumberFormat="1" applyFont="1" applyFill="1" applyAlignment="1">
      <alignment horizontal="left"/>
    </xf>
    <xf numFmtId="37" fontId="0" fillId="0" borderId="0" xfId="0" applyNumberFormat="1" applyAlignment="1"/>
    <xf numFmtId="169" fontId="5" fillId="0" borderId="0" xfId="59990" applyNumberFormat="1" applyFont="1" applyAlignment="1">
      <alignment horizontal="right"/>
    </xf>
    <xf numFmtId="4" fontId="0" fillId="0" borderId="0" xfId="0" quotePrefix="1" applyNumberFormat="1" applyFont="1" applyFill="1" applyAlignment="1">
      <alignment horizontal="left"/>
    </xf>
    <xf numFmtId="4" fontId="0" fillId="0" borderId="0" xfId="0" applyNumberFormat="1" applyFont="1" applyFill="1" applyAlignment="1">
      <alignment horizontal="left"/>
    </xf>
    <xf numFmtId="4" fontId="0" fillId="0" borderId="0" xfId="0" applyNumberFormat="1" applyFont="1" applyFill="1" applyAlignment="1">
      <alignment vertical="center"/>
    </xf>
    <xf numFmtId="4" fontId="0" fillId="0" borderId="0" xfId="0" applyNumberFormat="1" applyFont="1" applyFill="1" applyAlignment="1">
      <alignment vertical="top"/>
    </xf>
    <xf numFmtId="0" fontId="50" fillId="0" borderId="0" xfId="59955" applyAlignment="1"/>
    <xf numFmtId="0" fontId="20" fillId="0" borderId="0" xfId="59955" applyFont="1" applyAlignment="1">
      <alignment horizontal="left"/>
    </xf>
    <xf numFmtId="0" fontId="0" fillId="0" borderId="0" xfId="59955" applyFont="1" applyAlignment="1"/>
    <xf numFmtId="0" fontId="21" fillId="0" borderId="0" xfId="59955" applyNumberFormat="1" applyFont="1" applyFill="1" applyBorder="1" applyAlignment="1" applyProtection="1"/>
    <xf numFmtId="0" fontId="21" fillId="0" borderId="0" xfId="59955" applyNumberFormat="1" applyFont="1" applyFill="1" applyBorder="1" applyAlignment="1" applyProtection="1">
      <alignment vertical="top"/>
    </xf>
    <xf numFmtId="169" fontId="10" fillId="0" borderId="0" xfId="59956" applyNumberFormat="1" applyFont="1" applyFill="1" applyAlignment="1">
      <alignment horizontal="right"/>
    </xf>
    <xf numFmtId="0" fontId="19" fillId="0" borderId="0" xfId="0" applyFont="1" applyAlignment="1">
      <alignment horizontal="center"/>
    </xf>
    <xf numFmtId="3" fontId="0" fillId="0" borderId="0" xfId="0" applyNumberFormat="1" applyFill="1" applyAlignment="1"/>
    <xf numFmtId="4" fontId="0" fillId="0" borderId="0" xfId="0" quotePrefix="1" applyNumberFormat="1" applyFill="1" applyAlignment="1">
      <alignment horizontal="left"/>
    </xf>
    <xf numFmtId="4" fontId="0" fillId="0" borderId="0" xfId="0" applyNumberFormat="1" applyFill="1" applyAlignment="1"/>
    <xf numFmtId="0" fontId="0" fillId="0" borderId="0" xfId="0" applyFill="1"/>
    <xf numFmtId="0" fontId="19" fillId="0" borderId="0" xfId="0" quotePrefix="1" applyFont="1" applyFill="1" applyAlignment="1">
      <alignment horizontal="left"/>
    </xf>
    <xf numFmtId="173" fontId="19" fillId="0" borderId="0" xfId="0" applyNumberFormat="1" applyFont="1" applyFill="1" applyAlignment="1"/>
    <xf numFmtId="0" fontId="95" fillId="0" borderId="0" xfId="0" applyFont="1" applyFill="1" applyAlignment="1">
      <alignment horizontal="center"/>
    </xf>
    <xf numFmtId="0" fontId="95"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6"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35" fillId="0" borderId="0" xfId="0" applyFont="1" applyFill="1"/>
    <xf numFmtId="0" fontId="35" fillId="0" borderId="0" xfId="0" quotePrefix="1" applyFont="1" applyFill="1" applyAlignment="1">
      <alignment horizontal="center"/>
    </xf>
    <xf numFmtId="0" fontId="35" fillId="0" borderId="0" xfId="0" applyFont="1" applyFill="1" applyAlignment="1">
      <alignment horizontal="center"/>
    </xf>
    <xf numFmtId="0" fontId="35" fillId="0" borderId="0" xfId="0" quotePrefix="1" applyFont="1" applyFill="1"/>
    <xf numFmtId="0" fontId="19" fillId="0" borderId="0" xfId="0" applyFont="1" applyFill="1" applyBorder="1" applyAlignment="1">
      <alignment horizontal="centerContinuous"/>
    </xf>
    <xf numFmtId="0" fontId="96" fillId="0" borderId="0" xfId="0" applyFont="1" applyFill="1" applyBorder="1" applyAlignment="1">
      <alignment horizontal="centerContinuous"/>
    </xf>
    <xf numFmtId="0" fontId="142" fillId="0" borderId="0" xfId="0" applyFont="1" applyFill="1"/>
    <xf numFmtId="169" fontId="35" fillId="0" borderId="0" xfId="0" applyNumberFormat="1" applyFont="1" applyFill="1"/>
    <xf numFmtId="0" fontId="95" fillId="0" borderId="0" xfId="0" applyFont="1" applyFill="1"/>
    <xf numFmtId="170" fontId="19" fillId="0" borderId="0" xfId="0" applyNumberFormat="1" applyFont="1" applyFill="1" applyAlignment="1">
      <alignment horizontal="right"/>
    </xf>
    <xf numFmtId="168" fontId="19" fillId="0" borderId="10" xfId="0" applyNumberFormat="1" applyFont="1" applyFill="1" applyBorder="1"/>
    <xf numFmtId="168"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169" fontId="5" fillId="0" borderId="0" xfId="59989" applyNumberFormat="1" applyFont="1" applyAlignment="1"/>
    <xf numFmtId="169" fontId="5" fillId="0" borderId="0" xfId="59989" applyNumberFormat="1" applyFont="1" applyAlignment="1">
      <alignment horizontal="right"/>
    </xf>
    <xf numFmtId="0" fontId="19" fillId="0" borderId="0" xfId="59989" quotePrefix="1" applyNumberFormat="1" applyFont="1" applyAlignment="1">
      <alignment horizontal="left" indent="4"/>
    </xf>
    <xf numFmtId="169" fontId="19" fillId="0" borderId="4" xfId="59989" applyNumberFormat="1" applyFont="1" applyBorder="1" applyAlignment="1"/>
    <xf numFmtId="169" fontId="5" fillId="0" borderId="4" xfId="59989" applyNumberFormat="1" applyFont="1" applyBorder="1" applyAlignment="1"/>
    <xf numFmtId="169"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169" fontId="21" fillId="0" borderId="0" xfId="60104" applyNumberFormat="1" applyFont="1" applyFill="1"/>
    <xf numFmtId="169" fontId="5" fillId="0" borderId="0" xfId="60104" applyNumberFormat="1" applyFont="1" applyFill="1"/>
    <xf numFmtId="169" fontId="21" fillId="0" borderId="0" xfId="60104" applyNumberFormat="1" applyFont="1" applyFill="1" applyAlignment="1"/>
    <xf numFmtId="169" fontId="56" fillId="0" borderId="0" xfId="60104" applyNumberFormat="1" applyFont="1" applyFill="1"/>
    <xf numFmtId="169" fontId="124" fillId="0" borderId="0" xfId="60104" applyNumberFormat="1"/>
    <xf numFmtId="169" fontId="5" fillId="0" borderId="0" xfId="60104" applyNumberFormat="1" applyFont="1" applyFill="1" applyAlignment="1"/>
    <xf numFmtId="169" fontId="21" fillId="0" borderId="0" xfId="60104" applyNumberFormat="1" applyFont="1" applyFill="1" applyAlignment="1">
      <alignment horizontal="right"/>
    </xf>
    <xf numFmtId="169" fontId="21" fillId="0" borderId="0" xfId="60104" quotePrefix="1" applyNumberFormat="1" applyFont="1" applyFill="1" applyAlignment="1">
      <alignment horizontal="right"/>
    </xf>
    <xf numFmtId="169" fontId="21" fillId="0" borderId="0" xfId="60106" applyNumberFormat="1" applyFont="1" applyFill="1"/>
    <xf numFmtId="169" fontId="21" fillId="0" borderId="0" xfId="60106" applyNumberFormat="1" applyFont="1" applyFill="1" applyAlignment="1"/>
    <xf numFmtId="169" fontId="56" fillId="0" borderId="0" xfId="60106" applyNumberFormat="1" applyFont="1" applyFill="1"/>
    <xf numFmtId="169" fontId="21" fillId="0" borderId="0" xfId="60106" applyNumberFormat="1" applyFont="1" applyFill="1" applyAlignment="1">
      <alignment horizontal="right"/>
    </xf>
    <xf numFmtId="169" fontId="21" fillId="0" borderId="0" xfId="60106" quotePrefix="1" applyNumberFormat="1" applyFont="1" applyFill="1" applyAlignment="1">
      <alignment horizontal="right"/>
    </xf>
    <xf numFmtId="169" fontId="56" fillId="0" borderId="0" xfId="60106" quotePrefix="1" applyNumberFormat="1" applyFont="1" applyFill="1" applyAlignment="1">
      <alignment horizontal="right"/>
    </xf>
    <xf numFmtId="3" fontId="76" fillId="0" borderId="0" xfId="0" applyNumberFormat="1" applyFont="1" applyAlignment="1">
      <alignment horizontal="center"/>
    </xf>
    <xf numFmtId="0" fontId="76" fillId="0" borderId="0" xfId="0" applyNumberFormat="1" applyFont="1" applyAlignment="1"/>
    <xf numFmtId="0" fontId="119" fillId="0" borderId="0" xfId="0" applyNumberFormat="1" applyFont="1" applyAlignment="1">
      <alignment horizontal="center"/>
    </xf>
    <xf numFmtId="0" fontId="119" fillId="0" borderId="0" xfId="0" applyNumberFormat="1" applyFont="1" applyAlignment="1"/>
    <xf numFmtId="0" fontId="76" fillId="0" borderId="0" xfId="0" applyNumberFormat="1" applyFont="1" applyAlignment="1">
      <alignment horizontal="center"/>
    </xf>
    <xf numFmtId="0" fontId="76" fillId="0" borderId="0" xfId="0" quotePrefix="1" applyNumberFormat="1" applyFont="1" applyAlignment="1">
      <alignment horizontal="left"/>
    </xf>
    <xf numFmtId="0" fontId="76" fillId="0" borderId="0" xfId="0" applyNumberFormat="1" applyFont="1" applyAlignment="1">
      <alignment horizontal="left"/>
    </xf>
    <xf numFmtId="4" fontId="0" fillId="0" borderId="0" xfId="0" applyNumberFormat="1" applyFill="1" applyAlignment="1">
      <alignment horizontal="left"/>
    </xf>
    <xf numFmtId="169" fontId="19" fillId="0" borderId="7" xfId="0" applyNumberFormat="1" applyFont="1" applyFill="1" applyBorder="1" applyAlignment="1" applyProtection="1">
      <alignment horizontal="right"/>
    </xf>
    <xf numFmtId="169" fontId="16" fillId="0" borderId="22" xfId="60077" applyNumberFormat="1" applyFont="1" applyFill="1" applyBorder="1" applyAlignment="1" applyProtection="1">
      <alignment horizontal="right"/>
    </xf>
    <xf numFmtId="169" fontId="16" fillId="0" borderId="0" xfId="60077" applyNumberFormat="1" applyFont="1" applyFill="1" applyAlignment="1" applyProtection="1">
      <alignment horizontal="right"/>
    </xf>
    <xf numFmtId="169" fontId="105" fillId="0" borderId="22" xfId="0" applyNumberFormat="1" applyFont="1" applyBorder="1" applyAlignment="1" applyProtection="1">
      <alignment horizontal="right"/>
    </xf>
    <xf numFmtId="169" fontId="16" fillId="0" borderId="22" xfId="0" applyNumberFormat="1" applyFont="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168" fontId="10" fillId="0" borderId="10" xfId="60912" applyNumberFormat="1" applyFont="1" applyFill="1" applyBorder="1" applyAlignment="1"/>
    <xf numFmtId="168" fontId="19" fillId="0" borderId="0" xfId="60912" applyNumberFormat="1" applyFont="1" applyFill="1" applyAlignment="1"/>
    <xf numFmtId="168"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169" fontId="11" fillId="0" borderId="22" xfId="60076" applyNumberFormat="1" applyFont="1" applyFill="1" applyBorder="1" applyAlignment="1"/>
    <xf numFmtId="169" fontId="5" fillId="0" borderId="0" xfId="60912" applyNumberFormat="1" applyFont="1" applyFill="1" applyAlignment="1"/>
    <xf numFmtId="169" fontId="11" fillId="0" borderId="0" xfId="60076" applyNumberFormat="1" applyFont="1" applyFill="1"/>
    <xf numFmtId="169" fontId="11" fillId="0" borderId="0" xfId="60076" applyNumberFormat="1" applyFont="1" applyFill="1" applyAlignment="1"/>
    <xf numFmtId="0" fontId="143" fillId="0" borderId="0" xfId="60912" applyNumberFormat="1" applyFont="1" applyFill="1" applyAlignment="1"/>
    <xf numFmtId="169" fontId="10" fillId="0" borderId="0" xfId="60912" applyNumberFormat="1" applyFont="1" applyFill="1" applyAlignment="1"/>
    <xf numFmtId="169" fontId="19" fillId="0" borderId="0" xfId="60912" applyNumberFormat="1" applyFont="1" applyFill="1" applyAlignment="1"/>
    <xf numFmtId="0" fontId="11" fillId="0" borderId="0" xfId="60912" applyNumberFormat="1" applyFont="1" applyFill="1" applyBorder="1" applyAlignment="1"/>
    <xf numFmtId="169" fontId="11" fillId="0" borderId="22" xfId="60912" applyNumberFormat="1" applyFont="1" applyFill="1" applyBorder="1" applyAlignment="1">
      <alignment horizontal="center"/>
    </xf>
    <xf numFmtId="169" fontId="11" fillId="0" borderId="0" xfId="60912" applyNumberFormat="1" applyFont="1" applyFill="1" applyBorder="1" applyAlignment="1"/>
    <xf numFmtId="169" fontId="11" fillId="0" borderId="0" xfId="60912" applyNumberFormat="1" applyFont="1" applyFill="1" applyBorder="1"/>
    <xf numFmtId="169" fontId="11" fillId="0" borderId="0" xfId="60912" applyNumberFormat="1" applyFont="1" applyFill="1" applyBorder="1" applyAlignment="1">
      <alignment horizontal="center"/>
    </xf>
    <xf numFmtId="169" fontId="11" fillId="0" borderId="0" xfId="60912" quotePrefix="1" applyNumberFormat="1" applyFont="1" applyFill="1" applyBorder="1" applyAlignment="1"/>
    <xf numFmtId="169" fontId="11" fillId="0" borderId="0" xfId="60912" applyNumberFormat="1" applyFont="1" applyFill="1" applyBorder="1" applyAlignment="1">
      <alignment horizontal="right"/>
    </xf>
    <xf numFmtId="169"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169"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169" fontId="11" fillId="0" borderId="22" xfId="60912" applyNumberFormat="1" applyFont="1" applyFill="1" applyBorder="1" applyAlignment="1"/>
    <xf numFmtId="169" fontId="11" fillId="0" borderId="0" xfId="60912" applyNumberFormat="1" applyFont="1" applyFill="1" applyAlignment="1"/>
    <xf numFmtId="169" fontId="11" fillId="0" borderId="0" xfId="60912" applyNumberFormat="1" applyFont="1" applyAlignment="1"/>
    <xf numFmtId="169" fontId="11" fillId="0" borderId="0" xfId="60912" applyNumberFormat="1" applyFont="1" applyFill="1"/>
    <xf numFmtId="1" fontId="11" fillId="0" borderId="0" xfId="60076" applyNumberFormat="1" applyFont="1" applyAlignment="1"/>
    <xf numFmtId="1" fontId="19" fillId="0" borderId="0" xfId="60076" applyNumberFormat="1" applyFont="1" applyAlignment="1"/>
    <xf numFmtId="1" fontId="11" fillId="0" borderId="0" xfId="60076" quotePrefix="1" applyNumberFormat="1" applyFont="1" applyFill="1" applyAlignment="1">
      <alignment horizontal="left"/>
    </xf>
    <xf numFmtId="168"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43"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11" fillId="0" borderId="22" xfId="60912" applyNumberFormat="1" applyFont="1" applyFill="1" applyBorder="1" applyAlignment="1">
      <alignment horizontal="center"/>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168" fontId="19" fillId="0" borderId="0" xfId="19" applyNumberFormat="1" applyFont="1" applyFill="1" applyAlignment="1"/>
    <xf numFmtId="168"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169" fontId="19" fillId="0" borderId="0" xfId="19" applyNumberFormat="1" applyFont="1" applyFill="1" applyAlignment="1"/>
    <xf numFmtId="0" fontId="64"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169" fontId="5" fillId="0" borderId="0" xfId="19" applyNumberFormat="1" applyFont="1" applyFill="1" applyAlignment="1"/>
    <xf numFmtId="168" fontId="5" fillId="0" borderId="0" xfId="19" applyNumberFormat="1" applyFont="1" applyFill="1" applyAlignment="1"/>
    <xf numFmtId="168" fontId="5" fillId="0" borderId="0" xfId="19" applyNumberFormat="1" applyFont="1" applyFill="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74" fontId="5" fillId="0" borderId="0" xfId="60912" applyNumberFormat="1" applyFont="1" applyFill="1" applyAlignment="1"/>
    <xf numFmtId="168" fontId="5" fillId="0" borderId="0" xfId="60912" applyNumberFormat="1" applyFont="1" applyFill="1" applyAlignment="1"/>
    <xf numFmtId="168"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22" xfId="19"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10" fontId="5" fillId="0" borderId="0" xfId="19" quotePrefix="1" applyNumberFormat="1" applyFont="1" applyBorder="1" applyAlignment="1"/>
    <xf numFmtId="169"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168" fontId="0" fillId="0" borderId="0" xfId="60912" applyNumberFormat="1" applyFont="1" applyFill="1" applyAlignment="1"/>
    <xf numFmtId="0" fontId="64"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74"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0" fontId="5" fillId="0" borderId="0" xfId="19" applyNumberFormat="1" applyFont="1" applyAlignment="1"/>
    <xf numFmtId="0" fontId="5" fillId="0" borderId="0" xfId="60912" quotePrefix="1" applyNumberFormat="1" applyFont="1" applyAlignment="1">
      <alignment horizontal="left"/>
    </xf>
    <xf numFmtId="10" fontId="5" fillId="0" borderId="0" xfId="59993" applyNumberFormat="1" applyFont="1" applyFill="1" applyAlignment="1"/>
    <xf numFmtId="168" fontId="5" fillId="0" borderId="0" xfId="60912" applyNumberFormat="1" applyFont="1" applyFill="1" applyBorder="1" applyAlignment="1"/>
    <xf numFmtId="168"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6" fillId="0" borderId="0" xfId="0" applyNumberFormat="1" applyFont="1" applyFill="1" applyAlignment="1">
      <alignment horizontal="left"/>
    </xf>
    <xf numFmtId="169" fontId="5" fillId="0" borderId="0" xfId="0" applyNumberFormat="1" applyFont="1" applyFill="1" applyAlignment="1"/>
    <xf numFmtId="3" fontId="38" fillId="0" borderId="0" xfId="14" applyNumberFormat="1" applyFont="1" applyAlignment="1">
      <alignment horizontal="right"/>
    </xf>
    <xf numFmtId="0" fontId="38" fillId="0" borderId="0" xfId="14" applyFont="1" applyBorder="1" applyAlignment="1"/>
    <xf numFmtId="3" fontId="5" fillId="38" borderId="0" xfId="0" applyNumberFormat="1" applyFont="1" applyFill="1" applyAlignment="1">
      <alignment horizontal="right"/>
    </xf>
    <xf numFmtId="3" fontId="19" fillId="0" borderId="0" xfId="0" applyNumberFormat="1" applyFont="1" applyAlignment="1">
      <alignment horizontal="center"/>
    </xf>
    <xf numFmtId="0" fontId="144"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168" fontId="5" fillId="38" borderId="0" xfId="0" quotePrefix="1" applyNumberFormat="1" applyFont="1" applyFill="1" applyBorder="1" applyAlignment="1">
      <alignment horizontal="right"/>
    </xf>
    <xf numFmtId="171" fontId="19" fillId="0" borderId="22" xfId="0" applyNumberFormat="1" applyFont="1" applyFill="1" applyBorder="1" applyAlignment="1">
      <alignment horizontal="center"/>
    </xf>
    <xf numFmtId="169" fontId="5" fillId="38" borderId="0" xfId="0" applyNumberFormat="1" applyFont="1" applyFill="1" applyBorder="1" applyAlignment="1">
      <alignment horizontal="right"/>
    </xf>
    <xf numFmtId="169" fontId="19" fillId="38" borderId="0" xfId="0" applyNumberFormat="1" applyFont="1" applyFill="1" applyBorder="1" applyAlignment="1">
      <alignment horizontal="right"/>
    </xf>
    <xf numFmtId="169" fontId="5" fillId="38" borderId="0" xfId="0" quotePrefix="1" applyNumberFormat="1" applyFont="1" applyFill="1" applyBorder="1" applyAlignment="1"/>
    <xf numFmtId="169" fontId="19" fillId="38" borderId="0" xfId="0" applyNumberFormat="1" applyFont="1" applyFill="1" applyBorder="1" applyAlignment="1" applyProtection="1">
      <protection locked="0"/>
    </xf>
    <xf numFmtId="169" fontId="19" fillId="38" borderId="0" xfId="0" applyNumberFormat="1" applyFont="1" applyFill="1" applyBorder="1" applyAlignment="1">
      <alignment horizontal="left"/>
    </xf>
    <xf numFmtId="169" fontId="5" fillId="38" borderId="0" xfId="0" applyNumberFormat="1" applyFont="1" applyFill="1" applyBorder="1"/>
    <xf numFmtId="169" fontId="5" fillId="38" borderId="0" xfId="0" applyNumberFormat="1" applyFont="1" applyFill="1" applyAlignment="1">
      <alignment horizontal="right"/>
    </xf>
    <xf numFmtId="169" fontId="5" fillId="38" borderId="0" xfId="0" quotePrefix="1" applyNumberFormat="1" applyFont="1" applyFill="1" applyBorder="1" applyAlignment="1">
      <alignment horizontal="right"/>
    </xf>
    <xf numFmtId="169" fontId="11" fillId="38" borderId="0" xfId="0" applyNumberFormat="1" applyFont="1" applyFill="1" applyAlignment="1">
      <alignment horizontal="right"/>
    </xf>
    <xf numFmtId="169" fontId="5" fillId="0" borderId="22" xfId="0" applyNumberFormat="1" applyFont="1" applyFill="1" applyBorder="1" applyAlignment="1">
      <alignment horizontal="right"/>
    </xf>
    <xf numFmtId="169" fontId="19" fillId="38" borderId="0" xfId="0" quotePrefix="1" applyNumberFormat="1" applyFont="1" applyFill="1" applyBorder="1" applyAlignment="1"/>
    <xf numFmtId="169" fontId="5" fillId="0" borderId="22" xfId="18" applyNumberFormat="1" applyFont="1" applyFill="1" applyBorder="1" applyAlignment="1"/>
    <xf numFmtId="169" fontId="5" fillId="0" borderId="22" xfId="0" applyNumberFormat="1" applyFont="1" applyFill="1" applyBorder="1" applyAlignment="1"/>
    <xf numFmtId="169" fontId="5" fillId="38" borderId="0" xfId="0" applyNumberFormat="1" applyFont="1" applyFill="1" applyBorder="1" applyAlignment="1"/>
    <xf numFmtId="169" fontId="5" fillId="0" borderId="22" xfId="0" quotePrefix="1" applyNumberFormat="1" applyFont="1" applyFill="1" applyBorder="1" applyAlignment="1"/>
    <xf numFmtId="169" fontId="0" fillId="0" borderId="0" xfId="0" applyNumberFormat="1" applyAlignment="1"/>
    <xf numFmtId="49" fontId="0" fillId="0" borderId="0" xfId="7" applyNumberFormat="1" applyFont="1" applyAlignment="1"/>
    <xf numFmtId="169" fontId="5" fillId="0" borderId="0" xfId="0" applyNumberFormat="1" applyFont="1" applyAlignment="1"/>
    <xf numFmtId="169" fontId="5" fillId="0" borderId="0" xfId="0" applyNumberFormat="1" applyFont="1" applyFill="1" applyAlignment="1"/>
    <xf numFmtId="169" fontId="5" fillId="0" borderId="0" xfId="0" applyNumberFormat="1" applyFont="1" applyAlignment="1"/>
    <xf numFmtId="171" fontId="0" fillId="0" borderId="0" xfId="36083" applyNumberFormat="1" applyFont="1" applyBorder="1"/>
    <xf numFmtId="0" fontId="0" fillId="0" borderId="22" xfId="19" applyNumberFormat="1" applyFont="1" applyFill="1" applyBorder="1" applyAlignment="1">
      <alignment horizontal="center"/>
    </xf>
    <xf numFmtId="0" fontId="0" fillId="0" borderId="0" xfId="36083" applyFont="1"/>
    <xf numFmtId="169" fontId="10" fillId="0" borderId="4" xfId="0" applyNumberFormat="1" applyFont="1" applyBorder="1" applyAlignment="1"/>
    <xf numFmtId="169" fontId="11" fillId="0" borderId="4" xfId="0" applyNumberFormat="1" applyFont="1" applyBorder="1" applyAlignment="1"/>
    <xf numFmtId="172" fontId="0" fillId="0" borderId="0" xfId="0" applyNumberFormat="1" applyFont="1" applyAlignment="1" applyProtection="1">
      <protection locked="0"/>
    </xf>
    <xf numFmtId="172" fontId="0" fillId="0" borderId="0" xfId="0" applyNumberFormat="1" applyFont="1" applyAlignment="1"/>
    <xf numFmtId="0" fontId="0" fillId="0" borderId="0" xfId="0" applyFont="1"/>
    <xf numFmtId="168" fontId="19" fillId="0" borderId="0" xfId="59991" applyNumberFormat="1" applyFont="1" applyFill="1" applyBorder="1"/>
    <xf numFmtId="168" fontId="20" fillId="0" borderId="0" xfId="60104" applyNumberFormat="1" applyFont="1" applyFill="1" applyBorder="1"/>
    <xf numFmtId="172" fontId="145" fillId="0" borderId="0" xfId="0" applyNumberFormat="1" applyFont="1" applyAlignment="1">
      <alignment horizontal="fill"/>
    </xf>
    <xf numFmtId="49" fontId="145" fillId="0" borderId="0" xfId="7" applyNumberFormat="1" applyFont="1" applyAlignment="1"/>
    <xf numFmtId="49" fontId="145" fillId="0" borderId="0" xfId="11" applyNumberFormat="1" applyFont="1" applyAlignment="1"/>
    <xf numFmtId="172" fontId="145" fillId="0" borderId="0" xfId="11"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172"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72"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73" fontId="10" fillId="0" borderId="22" xfId="0" applyNumberFormat="1" applyFont="1" applyBorder="1" applyAlignment="1">
      <alignment horizontal="center" wrapText="1"/>
    </xf>
    <xf numFmtId="168" fontId="29" fillId="0" borderId="22" xfId="0" quotePrefix="1" applyNumberFormat="1" applyFont="1" applyBorder="1" applyAlignment="1" applyProtection="1">
      <alignment horizontal="center"/>
    </xf>
    <xf numFmtId="168" fontId="29" fillId="0" borderId="22" xfId="0" applyNumberFormat="1" applyFont="1" applyBorder="1" applyAlignment="1" applyProtection="1"/>
    <xf numFmtId="169" fontId="28" fillId="0" borderId="22" xfId="0" quotePrefix="1" applyNumberFormat="1" applyFont="1" applyBorder="1" applyAlignment="1" applyProtection="1">
      <alignment horizontal="center"/>
    </xf>
    <xf numFmtId="169" fontId="28" fillId="0" borderId="22" xfId="0" applyNumberFormat="1" applyFont="1" applyBorder="1" applyAlignment="1" applyProtection="1"/>
    <xf numFmtId="169" fontId="29" fillId="0" borderId="22" xfId="0" applyNumberFormat="1" applyFont="1" applyBorder="1" applyAlignment="1" applyProtection="1"/>
    <xf numFmtId="171" fontId="5" fillId="0" borderId="0" xfId="60076" applyFont="1" applyFill="1" applyAlignment="1" applyProtection="1">
      <alignment horizontal="right"/>
      <protection locked="0"/>
    </xf>
    <xf numFmtId="3" fontId="76" fillId="0" borderId="0" xfId="0" applyNumberFormat="1" applyFont="1" applyFill="1" applyAlignment="1">
      <alignment horizontal="center"/>
    </xf>
    <xf numFmtId="0" fontId="19" fillId="0" borderId="22" xfId="0" applyFont="1" applyFill="1" applyBorder="1" applyAlignment="1">
      <alignment horizontal="center"/>
    </xf>
    <xf numFmtId="0" fontId="64"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0" fontId="0" fillId="0" borderId="0" xfId="0" applyFont="1" applyFill="1" applyAlignment="1">
      <alignment horizontal="right"/>
    </xf>
    <xf numFmtId="168" fontId="0" fillId="0" borderId="0" xfId="20" applyNumberFormat="1" applyFont="1" applyFill="1"/>
    <xf numFmtId="168" fontId="0" fillId="0" borderId="0" xfId="20" quotePrefix="1" applyNumberFormat="1" applyFont="1" applyFill="1" applyAlignment="1">
      <alignment horizontal="center"/>
    </xf>
    <xf numFmtId="168" fontId="0" fillId="0" borderId="0" xfId="0" applyNumberFormat="1" applyFont="1" applyFill="1"/>
    <xf numFmtId="169" fontId="0" fillId="0" borderId="0" xfId="0" applyNumberFormat="1" applyFont="1" applyFill="1"/>
    <xf numFmtId="169" fontId="0" fillId="0" borderId="0" xfId="0" quotePrefix="1" applyNumberFormat="1" applyFont="1" applyFill="1" applyAlignment="1">
      <alignment horizontal="center"/>
    </xf>
    <xf numFmtId="169" fontId="0" fillId="0" borderId="0" xfId="20" quotePrefix="1" applyNumberFormat="1" applyFont="1" applyFill="1" applyAlignment="1">
      <alignment horizontal="center"/>
    </xf>
    <xf numFmtId="0" fontId="0" fillId="0" borderId="0" xfId="0" applyFont="1" applyFill="1" applyAlignment="1">
      <alignment horizontal="left"/>
    </xf>
    <xf numFmtId="169" fontId="0" fillId="0" borderId="0" xfId="0" applyNumberFormat="1" applyFont="1" applyFill="1" applyBorder="1"/>
    <xf numFmtId="169" fontId="0" fillId="0" borderId="0" xfId="0" applyNumberFormat="1" applyFont="1" applyFill="1" applyAlignment="1">
      <alignment horizontal="right"/>
    </xf>
    <xf numFmtId="171" fontId="0" fillId="0" borderId="0" xfId="0" applyNumberFormat="1" applyFont="1" applyFill="1"/>
    <xf numFmtId="0" fontId="0" fillId="0" borderId="0" xfId="0" quotePrefix="1" applyFont="1" applyFill="1" applyAlignment="1">
      <alignment horizontal="center"/>
    </xf>
    <xf numFmtId="169" fontId="0" fillId="0" borderId="0" xfId="20" applyNumberFormat="1" applyFont="1" applyFill="1"/>
    <xf numFmtId="0" fontId="0" fillId="16" borderId="0" xfId="0" applyFont="1" applyFill="1"/>
    <xf numFmtId="0" fontId="75" fillId="0" borderId="0" xfId="0" applyFont="1" applyFill="1" applyAlignment="1">
      <alignment horizontal="center"/>
    </xf>
    <xf numFmtId="0" fontId="75" fillId="0" borderId="0" xfId="0" applyFont="1" applyFill="1"/>
    <xf numFmtId="169" fontId="0" fillId="0" borderId="0" xfId="20" quotePrefix="1" applyNumberFormat="1" applyFont="1" applyFill="1" applyBorder="1" applyAlignment="1">
      <alignment horizontal="center"/>
    </xf>
    <xf numFmtId="37" fontId="0" fillId="0" borderId="0" xfId="0" applyNumberFormat="1" applyFont="1" applyFill="1"/>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171" fontId="0" fillId="0" borderId="0" xfId="36083" applyNumberFormat="1" applyFont="1" applyFill="1"/>
    <xf numFmtId="168"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81" fontId="19" fillId="0" borderId="0" xfId="60076" applyNumberFormat="1" applyFont="1" applyAlignment="1"/>
    <xf numFmtId="181" fontId="19" fillId="0" borderId="0" xfId="60076" applyNumberFormat="1" applyFont="1" applyAlignment="1">
      <alignment horizontal="center"/>
    </xf>
    <xf numFmtId="181" fontId="5" fillId="0" borderId="4" xfId="60076" applyNumberFormat="1" applyFont="1" applyBorder="1" applyAlignment="1"/>
    <xf numFmtId="181" fontId="5" fillId="0" borderId="0" xfId="60076" applyNumberFormat="1" applyFont="1"/>
    <xf numFmtId="168" fontId="5" fillId="0" borderId="22" xfId="60076" applyNumberFormat="1" applyFont="1" applyBorder="1" applyAlignment="1">
      <alignment horizontal="right"/>
    </xf>
    <xf numFmtId="181" fontId="19" fillId="0" borderId="4" xfId="60076" applyNumberFormat="1" applyFont="1" applyBorder="1"/>
    <xf numFmtId="169" fontId="5" fillId="0" borderId="22" xfId="0" applyNumberFormat="1" applyFont="1" applyBorder="1" applyAlignment="1">
      <alignment horizontal="right"/>
    </xf>
    <xf numFmtId="169" fontId="5" fillId="0" borderId="0" xfId="60076" applyNumberFormat="1" applyFont="1" applyAlignment="1">
      <alignment horizontal="center"/>
    </xf>
    <xf numFmtId="169" fontId="19" fillId="0" borderId="3" xfId="60076" applyNumberFormat="1" applyFont="1" applyBorder="1"/>
    <xf numFmtId="181" fontId="5" fillId="0" borderId="0" xfId="60076" applyNumberFormat="1" applyFont="1" applyBorder="1" applyAlignment="1"/>
    <xf numFmtId="181" fontId="5" fillId="0" borderId="0" xfId="60076" applyNumberFormat="1" applyFont="1" applyAlignment="1">
      <alignment horizontal="right"/>
    </xf>
    <xf numFmtId="169" fontId="0" fillId="0" borderId="22" xfId="60076" applyNumberFormat="1" applyFont="1" applyFill="1" applyBorder="1" applyAlignment="1">
      <alignment horizontal="right"/>
    </xf>
    <xf numFmtId="169" fontId="19" fillId="0" borderId="4" xfId="0" applyNumberFormat="1" applyFont="1" applyBorder="1" applyAlignment="1"/>
    <xf numFmtId="168" fontId="19" fillId="0" borderId="14" xfId="60076" applyNumberFormat="1" applyFont="1" applyBorder="1" applyAlignment="1"/>
    <xf numFmtId="172" fontId="0" fillId="0" borderId="0" xfId="60087" applyNumberFormat="1" applyFont="1" applyAlignment="1" applyProtection="1">
      <protection locked="0"/>
    </xf>
    <xf numFmtId="171" fontId="5" fillId="0" borderId="0" xfId="60076" applyFont="1" applyAlignment="1">
      <alignment horizontal="right"/>
    </xf>
    <xf numFmtId="172" fontId="19" fillId="0" borderId="0" xfId="59990" quotePrefix="1" applyNumberFormat="1" applyFont="1" applyAlignment="1">
      <alignment horizontal="left"/>
    </xf>
    <xf numFmtId="171" fontId="19" fillId="0" borderId="0" xfId="60076" applyFont="1" applyAlignment="1">
      <alignment horizontal="right"/>
    </xf>
    <xf numFmtId="171"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171" fontId="5" fillId="0" borderId="4" xfId="60076" applyFont="1" applyBorder="1" applyAlignment="1">
      <alignment horizontal="right"/>
    </xf>
    <xf numFmtId="0" fontId="5" fillId="0" borderId="0" xfId="59990" applyNumberFormat="1" applyFont="1" applyBorder="1"/>
    <xf numFmtId="171" fontId="5" fillId="0" borderId="0" xfId="60076" applyFont="1" applyBorder="1" applyAlignment="1">
      <alignment horizontal="right"/>
    </xf>
    <xf numFmtId="168" fontId="5" fillId="0" borderId="0" xfId="60076" applyNumberFormat="1" applyFont="1" applyFill="1" applyAlignment="1">
      <alignment horizontal="center"/>
    </xf>
    <xf numFmtId="169" fontId="5" fillId="0" borderId="0" xfId="60076" applyNumberFormat="1" applyFont="1" applyBorder="1" applyAlignment="1">
      <alignment horizontal="right"/>
    </xf>
    <xf numFmtId="0" fontId="5" fillId="0" borderId="0" xfId="59990" applyNumberFormat="1" applyFont="1" applyFill="1" applyBorder="1"/>
    <xf numFmtId="169" fontId="5" fillId="0" borderId="0" xfId="60076" applyNumberFormat="1" applyFont="1" applyFill="1" applyAlignment="1">
      <alignment horizontal="center"/>
    </xf>
    <xf numFmtId="169" fontId="5" fillId="0" borderId="0" xfId="60076" applyNumberFormat="1" applyFont="1" applyAlignment="1">
      <alignment horizontal="right"/>
    </xf>
    <xf numFmtId="169" fontId="19" fillId="0" borderId="8" xfId="60076" applyNumberFormat="1" applyFont="1" applyBorder="1" applyAlignment="1"/>
    <xf numFmtId="171" fontId="5" fillId="0" borderId="0" xfId="60076" applyFont="1" applyFill="1" applyAlignment="1">
      <alignment horizontal="center"/>
    </xf>
    <xf numFmtId="169" fontId="5" fillId="0" borderId="22" xfId="59990" applyNumberFormat="1" applyFont="1" applyBorder="1" applyAlignment="1"/>
    <xf numFmtId="171" fontId="19" fillId="0" borderId="0" xfId="60076" applyFont="1" applyBorder="1" applyAlignment="1">
      <alignment horizontal="right"/>
    </xf>
    <xf numFmtId="168" fontId="19" fillId="0" borderId="9" xfId="59990" applyNumberFormat="1" applyFont="1" applyBorder="1"/>
    <xf numFmtId="0" fontId="5" fillId="0" borderId="0" xfId="0" applyNumberFormat="1" applyFont="1" applyFill="1" applyAlignment="1"/>
    <xf numFmtId="0" fontId="52" fillId="0" borderId="0" xfId="59955" applyFont="1"/>
    <xf numFmtId="182" fontId="52" fillId="0" borderId="0" xfId="59955" applyNumberFormat="1" applyFont="1"/>
    <xf numFmtId="182" fontId="52" fillId="0" borderId="0" xfId="59955" applyNumberFormat="1" applyFont="1" applyAlignment="1"/>
    <xf numFmtId="182" fontId="21" fillId="0" borderId="0" xfId="59955" applyNumberFormat="1" applyFont="1" applyAlignment="1"/>
    <xf numFmtId="169" fontId="5" fillId="0" borderId="0" xfId="0" applyNumberFormat="1" applyFont="1" applyFill="1" applyAlignment="1"/>
    <xf numFmtId="3" fontId="5" fillId="16" borderId="0" xfId="0" applyNumberFormat="1" applyFont="1" applyFill="1" applyAlignment="1"/>
    <xf numFmtId="3" fontId="5" fillId="16" borderId="0" xfId="0" applyNumberFormat="1" applyFont="1" applyFill="1" applyAlignment="1">
      <alignment horizontal="right"/>
    </xf>
    <xf numFmtId="0" fontId="0" fillId="16" borderId="0" xfId="0" applyFill="1"/>
    <xf numFmtId="3" fontId="19" fillId="16" borderId="0" xfId="0" applyNumberFormat="1" applyFont="1" applyFill="1" applyAlignment="1">
      <alignment horizontal="center"/>
    </xf>
    <xf numFmtId="0" fontId="5" fillId="16" borderId="0" xfId="0" applyNumberFormat="1" applyFont="1" applyFill="1" applyAlignment="1"/>
    <xf numFmtId="3" fontId="19" fillId="16" borderId="0" xfId="0" applyNumberFormat="1" applyFont="1" applyFill="1" applyAlignment="1">
      <alignment horizontal="right"/>
    </xf>
    <xf numFmtId="171" fontId="19" fillId="16" borderId="0" xfId="0" applyNumberFormat="1" applyFont="1" applyFill="1" applyAlignment="1">
      <alignment horizontal="center"/>
    </xf>
    <xf numFmtId="0" fontId="144" fillId="16" borderId="0" xfId="0" applyFont="1" applyFill="1" applyAlignment="1">
      <alignment horizontal="center"/>
    </xf>
    <xf numFmtId="0" fontId="19" fillId="16" borderId="0" xfId="0" applyNumberFormat="1" applyFont="1" applyFill="1" applyBorder="1" applyAlignment="1"/>
    <xf numFmtId="3" fontId="5" fillId="16" borderId="0" xfId="0" applyNumberFormat="1" applyFont="1" applyFill="1" applyBorder="1" applyAlignment="1">
      <alignment horizontal="right"/>
    </xf>
    <xf numFmtId="3" fontId="19" fillId="16" borderId="22" xfId="0" quotePrefix="1" applyNumberFormat="1" applyFont="1" applyFill="1" applyBorder="1" applyAlignment="1">
      <alignment horizontal="center"/>
    </xf>
    <xf numFmtId="3" fontId="19" fillId="16" borderId="22" xfId="0" applyNumberFormat="1" applyFont="1" applyFill="1" applyBorder="1" applyAlignment="1">
      <alignment horizontal="center"/>
    </xf>
    <xf numFmtId="3" fontId="19" fillId="16" borderId="0" xfId="0" applyNumberFormat="1" applyFont="1" applyFill="1" applyBorder="1" applyAlignment="1">
      <alignment horizontal="right"/>
    </xf>
    <xf numFmtId="171" fontId="19" fillId="16" borderId="22" xfId="0" applyNumberFormat="1" applyFont="1" applyFill="1" applyBorder="1" applyAlignment="1">
      <alignment horizontal="center"/>
    </xf>
    <xf numFmtId="3" fontId="19" fillId="16" borderId="0" xfId="0" quotePrefix="1" applyNumberFormat="1" applyFont="1" applyFill="1" applyBorder="1" applyAlignment="1">
      <alignment horizontal="center"/>
    </xf>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168" fontId="5" fillId="16" borderId="0" xfId="0" quotePrefix="1" applyNumberFormat="1" applyFont="1" applyFill="1" applyBorder="1" applyAlignment="1">
      <alignment horizontal="right"/>
    </xf>
    <xf numFmtId="168" fontId="5" fillId="16" borderId="0" xfId="0" applyNumberFormat="1" applyFont="1" applyFill="1" applyBorder="1" applyAlignment="1"/>
    <xf numFmtId="168" fontId="5" fillId="16" borderId="0" xfId="46100" applyNumberFormat="1" applyFont="1" applyFill="1" applyBorder="1" applyAlignment="1"/>
    <xf numFmtId="168" fontId="5" fillId="16" borderId="0" xfId="44020" applyNumberFormat="1" applyFont="1" applyFill="1" applyBorder="1" applyAlignment="1"/>
    <xf numFmtId="168" fontId="5" fillId="16" borderId="0" xfId="0" applyNumberFormat="1" applyFont="1" applyFill="1" applyBorder="1" applyAlignment="1">
      <alignment horizontal="right"/>
    </xf>
    <xf numFmtId="169" fontId="5" fillId="16" borderId="0" xfId="44020" applyNumberFormat="1" applyFont="1" applyFill="1" applyBorder="1" applyAlignment="1"/>
    <xf numFmtId="169" fontId="5" fillId="16" borderId="0" xfId="14" applyNumberFormat="1" applyFont="1" applyFill="1" applyAlignment="1">
      <alignment horizontal="right"/>
    </xf>
    <xf numFmtId="169" fontId="5" fillId="16" borderId="0" xfId="46100" applyNumberFormat="1" applyFont="1" applyFill="1" applyBorder="1" applyAlignment="1"/>
    <xf numFmtId="169" fontId="5" fillId="16" borderId="0" xfId="18" applyNumberFormat="1" applyFont="1" applyFill="1" applyAlignment="1">
      <alignment horizontal="center"/>
    </xf>
    <xf numFmtId="169" fontId="5" fillId="16" borderId="0" xfId="0" applyNumberFormat="1" applyFont="1" applyFill="1" applyBorder="1" applyAlignment="1">
      <alignment horizontal="right"/>
    </xf>
    <xf numFmtId="169" fontId="5" fillId="16" borderId="0" xfId="19" applyNumberFormat="1" applyFont="1" applyFill="1" applyBorder="1" applyAlignment="1"/>
    <xf numFmtId="169" fontId="5" fillId="16" borderId="0" xfId="18" applyNumberFormat="1" applyFont="1" applyFill="1" applyBorder="1" applyAlignment="1"/>
    <xf numFmtId="169" fontId="5" fillId="16" borderId="0" xfId="46100" quotePrefix="1" applyNumberFormat="1" applyFont="1" applyFill="1" applyBorder="1" applyAlignment="1"/>
    <xf numFmtId="169" fontId="5" fillId="16" borderId="0" xfId="18" quotePrefix="1" applyNumberFormat="1" applyFont="1" applyFill="1" applyBorder="1" applyAlignment="1">
      <alignment horizontal="right"/>
    </xf>
    <xf numFmtId="169" fontId="5" fillId="16" borderId="0" xfId="14" applyNumberFormat="1" applyFont="1" applyFill="1" applyBorder="1" applyAlignment="1">
      <alignment horizontal="center"/>
    </xf>
    <xf numFmtId="169" fontId="5" fillId="16" borderId="0" xfId="14" applyNumberFormat="1" applyFont="1" applyFill="1" applyAlignment="1"/>
    <xf numFmtId="169" fontId="5" fillId="16" borderId="0" xfId="14" applyNumberFormat="1" applyFont="1" applyFill="1" applyAlignment="1">
      <alignment horizontal="center"/>
    </xf>
    <xf numFmtId="0" fontId="19" fillId="16" borderId="0" xfId="14" applyNumberFormat="1" applyFont="1" applyFill="1" applyAlignment="1"/>
    <xf numFmtId="169" fontId="19" fillId="16" borderId="3" xfId="14" applyNumberFormat="1" applyFont="1" applyFill="1" applyBorder="1" applyAlignment="1"/>
    <xf numFmtId="169" fontId="19" fillId="16" borderId="0" xfId="14" applyNumberFormat="1" applyFont="1" applyFill="1" applyBorder="1" applyAlignment="1"/>
    <xf numFmtId="169" fontId="5" fillId="16" borderId="0" xfId="14" applyNumberFormat="1" applyFont="1" applyFill="1" applyBorder="1" applyAlignment="1">
      <alignment horizontal="right"/>
    </xf>
    <xf numFmtId="179" fontId="5" fillId="16" borderId="0" xfId="14" applyNumberFormat="1" applyFont="1" applyFill="1" applyAlignment="1"/>
    <xf numFmtId="168" fontId="19" fillId="16" borderId="10" xfId="14" applyNumberFormat="1" applyFont="1" applyFill="1" applyBorder="1" applyAlignment="1"/>
    <xf numFmtId="168" fontId="5" fillId="16" borderId="0" xfId="14" applyNumberFormat="1" applyFont="1" applyFill="1" applyAlignment="1">
      <alignment horizontal="right"/>
    </xf>
    <xf numFmtId="168" fontId="19" fillId="16" borderId="0" xfId="14" applyNumberFormat="1" applyFont="1" applyFill="1" applyBorder="1" applyAlignment="1"/>
    <xf numFmtId="179" fontId="19" fillId="16" borderId="10" xfId="14" applyNumberFormat="1" applyFont="1" applyFill="1" applyBorder="1" applyAlignment="1"/>
    <xf numFmtId="3" fontId="19" fillId="16" borderId="0" xfId="0" quotePrefix="1" applyNumberFormat="1" applyFont="1" applyFill="1" applyAlignment="1">
      <alignment horizontal="center"/>
    </xf>
    <xf numFmtId="169" fontId="19" fillId="16" borderId="3" xfId="0" applyNumberFormat="1" applyFont="1" applyFill="1" applyBorder="1" applyAlignment="1">
      <alignment horizontal="right"/>
    </xf>
    <xf numFmtId="171" fontId="0" fillId="0" borderId="0" xfId="0" applyNumberFormat="1" applyFont="1" applyFill="1" applyAlignment="1"/>
    <xf numFmtId="0" fontId="21" fillId="0" borderId="0" xfId="59955" applyFont="1" applyFill="1" applyBorder="1"/>
    <xf numFmtId="168" fontId="21" fillId="0" borderId="0" xfId="59955" applyNumberFormat="1" applyFont="1" applyFill="1" applyBorder="1" applyAlignment="1">
      <alignment horizontal="center" wrapText="1"/>
    </xf>
    <xf numFmtId="169" fontId="21" fillId="0" borderId="0" xfId="59955" applyNumberFormat="1" applyFont="1" applyFill="1" applyBorder="1" applyAlignment="1">
      <alignment horizontal="center" wrapText="1"/>
    </xf>
    <xf numFmtId="0" fontId="50" fillId="0" borderId="0" xfId="59955" applyBorder="1"/>
    <xf numFmtId="0" fontId="50" fillId="0" borderId="0" xfId="59955" applyFill="1"/>
    <xf numFmtId="169" fontId="21" fillId="0" borderId="0" xfId="59955" applyNumberFormat="1" applyFont="1" applyFill="1" applyBorder="1" applyAlignment="1">
      <alignment horizontal="left" vertical="top" wrapText="1"/>
    </xf>
    <xf numFmtId="49" fontId="21" fillId="0" borderId="0" xfId="59955" applyNumberFormat="1" applyFont="1" applyAlignment="1"/>
    <xf numFmtId="0" fontId="50" fillId="0" borderId="0" xfId="59955" applyAlignment="1">
      <alignment horizontal="center"/>
    </xf>
    <xf numFmtId="0" fontId="50" fillId="0" borderId="0" xfId="59955" applyBorder="1" applyAlignment="1">
      <alignment horizontal="center"/>
    </xf>
    <xf numFmtId="0" fontId="50" fillId="0" borderId="0" xfId="59955" applyFill="1" applyAlignment="1">
      <alignment horizontal="center"/>
    </xf>
    <xf numFmtId="168" fontId="20" fillId="0" borderId="0" xfId="59956" applyNumberFormat="1" applyFont="1" applyFill="1" applyBorder="1" applyAlignment="1">
      <alignment horizontal="center"/>
    </xf>
    <xf numFmtId="3" fontId="19" fillId="0" borderId="0" xfId="0" quotePrefix="1" applyNumberFormat="1" applyFont="1" applyBorder="1" applyAlignment="1">
      <alignment horizontal="center"/>
    </xf>
    <xf numFmtId="169" fontId="19" fillId="0" borderId="25" xfId="0" applyNumberFormat="1" applyFont="1" applyFill="1" applyBorder="1" applyAlignment="1"/>
    <xf numFmtId="169" fontId="5" fillId="0" borderId="0" xfId="0" applyNumberFormat="1" applyFont="1" applyAlignment="1"/>
    <xf numFmtId="0" fontId="5" fillId="0" borderId="0" xfId="0" applyNumberFormat="1" applyFont="1" applyFill="1" applyAlignment="1"/>
    <xf numFmtId="0" fontId="5" fillId="0" borderId="0" xfId="0" applyNumberFormat="1" applyFont="1" applyFill="1" applyAlignment="1">
      <alignment horizontal="left"/>
    </xf>
    <xf numFmtId="0" fontId="0" fillId="0" borderId="0" xfId="0" quotePrefix="1" applyNumberFormat="1" applyFont="1" applyFill="1" applyAlignment="1">
      <alignment horizontal="left"/>
    </xf>
    <xf numFmtId="182" fontId="5" fillId="0" borderId="0" xfId="0" applyNumberFormat="1" applyFont="1" applyFill="1" applyAlignment="1"/>
    <xf numFmtId="189" fontId="5" fillId="0" borderId="0" xfId="0" applyNumberFormat="1" applyFont="1" applyFill="1" applyAlignment="1"/>
    <xf numFmtId="190" fontId="5" fillId="0" borderId="0" xfId="0" applyNumberFormat="1" applyFont="1" applyFill="1" applyAlignment="1"/>
    <xf numFmtId="189" fontId="5" fillId="0" borderId="0" xfId="0" quotePrefix="1" applyNumberFormat="1" applyFont="1" applyFill="1" applyAlignment="1">
      <alignment horizontal="center"/>
    </xf>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182" fontId="0" fillId="0" borderId="0" xfId="0" applyNumberFormat="1" applyFill="1" applyAlignment="1"/>
    <xf numFmtId="0" fontId="5" fillId="0" borderId="0" xfId="0" quotePrefix="1" applyFont="1" applyFill="1" applyAlignment="1">
      <alignment horizontal="left"/>
    </xf>
    <xf numFmtId="0" fontId="0" fillId="0" borderId="0" xfId="0" quotePrefix="1" applyFill="1" applyAlignment="1">
      <alignment horizontal="left"/>
    </xf>
    <xf numFmtId="0" fontId="0" fillId="0" borderId="0" xfId="0" applyFill="1" applyAlignment="1">
      <alignment horizontal="left"/>
    </xf>
    <xf numFmtId="4" fontId="0" fillId="0" borderId="0" xfId="60074" quotePrefix="1" applyNumberFormat="1" applyFont="1" applyAlignment="1">
      <alignment horizontal="left"/>
    </xf>
    <xf numFmtId="0" fontId="5" fillId="0" borderId="0" xfId="0" applyFont="1" applyFill="1" applyBorder="1" applyAlignment="1">
      <alignment horizontal="center"/>
    </xf>
    <xf numFmtId="169" fontId="5" fillId="0" borderId="0" xfId="0" applyNumberFormat="1" applyFont="1" applyAlignment="1"/>
    <xf numFmtId="185" fontId="0" fillId="0" borderId="0" xfId="0" applyNumberFormat="1" applyFont="1" applyFill="1" applyAlignment="1"/>
    <xf numFmtId="168" fontId="26" fillId="0" borderId="0" xfId="0" quotePrefix="1" applyNumberFormat="1" applyFont="1" applyFill="1" applyAlignment="1">
      <alignment horizontal="right"/>
    </xf>
    <xf numFmtId="172" fontId="146" fillId="0" borderId="0" xfId="0" applyNumberFormat="1" applyFont="1" applyAlignment="1"/>
    <xf numFmtId="171" fontId="5" fillId="0" borderId="22" xfId="60076" applyFont="1" applyFill="1" applyBorder="1" applyAlignment="1" applyProtection="1">
      <alignment horizontal="right"/>
      <protection locked="0"/>
    </xf>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0" fontId="0" fillId="0" borderId="0" xfId="9" applyFont="1" applyAlignment="1">
      <alignment horizontal="center"/>
    </xf>
    <xf numFmtId="0" fontId="10" fillId="0" borderId="2" xfId="0" applyNumberFormat="1" applyFont="1" applyBorder="1" applyAlignment="1">
      <alignment horizontal="center"/>
    </xf>
    <xf numFmtId="172" fontId="10" fillId="0" borderId="22" xfId="0" applyNumberFormat="1" applyFont="1" applyBorder="1" applyAlignment="1">
      <alignment horizontal="center"/>
    </xf>
    <xf numFmtId="172" fontId="10" fillId="0" borderId="0" xfId="0" applyNumberFormat="1" applyFont="1" applyBorder="1" applyAlignment="1">
      <alignment horizontal="center"/>
    </xf>
    <xf numFmtId="172" fontId="10" fillId="0" borderId="0" xfId="0" applyNumberFormat="1" applyFont="1" applyAlignment="1">
      <alignment horizontal="center"/>
    </xf>
    <xf numFmtId="0" fontId="5" fillId="0" borderId="0" xfId="0" applyNumberFormat="1" applyFont="1" applyFill="1" applyAlignment="1"/>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ill="1" applyAlignment="1"/>
    <xf numFmtId="3" fontId="10"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169" fontId="10" fillId="0" borderId="0" xfId="59956" applyNumberFormat="1" applyFont="1" applyFill="1" applyAlignment="1">
      <alignment horizontal="left"/>
    </xf>
    <xf numFmtId="169" fontId="10" fillId="0" borderId="0" xfId="59955" applyNumberFormat="1" applyFont="1" applyFill="1" applyAlignment="1">
      <alignment horizontal="left"/>
    </xf>
    <xf numFmtId="3" fontId="10" fillId="0" borderId="0" xfId="59955" applyNumberFormat="1" applyFont="1" applyAlignment="1">
      <alignment horizontal="left"/>
    </xf>
    <xf numFmtId="49" fontId="10" fillId="0" borderId="0" xfId="59955" applyNumberFormat="1" applyFont="1" applyFill="1" applyAlignment="1">
      <alignment horizontal="left"/>
    </xf>
    <xf numFmtId="37" fontId="10" fillId="0" borderId="0" xfId="0" applyNumberFormat="1" applyFont="1" applyAlignment="1">
      <alignment horizontal="left"/>
    </xf>
    <xf numFmtId="0" fontId="0" fillId="0" borderId="0" xfId="0" applyAlignment="1"/>
    <xf numFmtId="49" fontId="5" fillId="0" borderId="0" xfId="0" applyNumberFormat="1" applyFont="1" applyAlignment="1"/>
    <xf numFmtId="49" fontId="0" fillId="0" borderId="0" xfId="0" applyNumberFormat="1" applyAlignment="1"/>
    <xf numFmtId="0" fontId="58" fillId="0" borderId="0" xfId="59989" applyNumberFormat="1" applyFont="1" applyAlignment="1">
      <alignment wrapText="1"/>
    </xf>
    <xf numFmtId="0" fontId="0" fillId="0" borderId="0" xfId="0" applyAlignment="1">
      <alignment wrapText="1"/>
    </xf>
    <xf numFmtId="0" fontId="10" fillId="0" borderId="2" xfId="36083" applyFont="1" applyBorder="1" applyAlignment="1">
      <alignment horizontal="center"/>
    </xf>
    <xf numFmtId="0" fontId="11" fillId="0" borderId="2" xfId="36083" applyFont="1" applyBorder="1" applyAlignment="1">
      <alignment horizontal="center"/>
    </xf>
    <xf numFmtId="173" fontId="64" fillId="0" borderId="0" xfId="0" applyNumberFormat="1" applyFont="1" applyAlignment="1">
      <alignment horizontal="center"/>
    </xf>
    <xf numFmtId="173" fontId="64" fillId="0" borderId="0" xfId="9" applyNumberFormat="1" applyFont="1" applyAlignment="1">
      <alignment horizontal="center"/>
    </xf>
    <xf numFmtId="173" fontId="19" fillId="0" borderId="22" xfId="60091" applyNumberFormat="1" applyFont="1" applyFill="1" applyBorder="1" applyAlignment="1">
      <alignment horizontal="center"/>
    </xf>
    <xf numFmtId="173" fontId="19" fillId="0" borderId="22" xfId="60099" applyNumberFormat="1" applyFont="1" applyFill="1" applyBorder="1" applyAlignment="1">
      <alignment horizontal="center"/>
    </xf>
    <xf numFmtId="15" fontId="19" fillId="0" borderId="22" xfId="0" quotePrefix="1" applyNumberFormat="1" applyFont="1" applyFill="1" applyBorder="1" applyAlignment="1">
      <alignment horizontal="center"/>
    </xf>
    <xf numFmtId="0" fontId="19" fillId="0" borderId="22" xfId="0" applyFont="1" applyFill="1" applyBorder="1" applyAlignment="1">
      <alignment horizontal="center"/>
    </xf>
    <xf numFmtId="15" fontId="19" fillId="0" borderId="22" xfId="0" applyNumberFormat="1" applyFont="1" applyFill="1" applyBorder="1" applyAlignment="1">
      <alignment horizontal="center"/>
    </xf>
    <xf numFmtId="15" fontId="19" fillId="0" borderId="22" xfId="60086" quotePrefix="1" applyNumberFormat="1" applyFont="1" applyFill="1" applyBorder="1" applyAlignment="1">
      <alignment horizontal="center"/>
    </xf>
    <xf numFmtId="0" fontId="19" fillId="0" borderId="22" xfId="60086"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6" fillId="0" borderId="0" xfId="0" applyNumberFormat="1" applyFont="1" applyFill="1" applyAlignment="1">
      <alignment horizontal="center"/>
    </xf>
    <xf numFmtId="169" fontId="5" fillId="0" borderId="0" xfId="0" applyNumberFormat="1" applyFont="1" applyFill="1" applyAlignment="1"/>
    <xf numFmtId="169" fontId="5" fillId="0" borderId="0" xfId="0" applyNumberFormat="1" applyFont="1" applyAlignment="1"/>
    <xf numFmtId="169" fontId="19" fillId="0" borderId="0" xfId="0" quotePrefix="1" applyNumberFormat="1" applyFont="1" applyAlignment="1">
      <alignment horizontal="right"/>
    </xf>
    <xf numFmtId="169" fontId="19" fillId="0" borderId="0" xfId="0" applyNumberFormat="1" applyFont="1" applyAlignment="1">
      <alignment horizontal="right"/>
    </xf>
    <xf numFmtId="169" fontId="0" fillId="0" borderId="0" xfId="0" applyNumberFormat="1" applyBorder="1" applyAlignment="1">
      <alignment horizontal="right"/>
    </xf>
    <xf numFmtId="169" fontId="40" fillId="0" borderId="2" xfId="0" applyNumberFormat="1" applyFont="1" applyBorder="1" applyAlignment="1">
      <alignment horizontal="center"/>
    </xf>
    <xf numFmtId="169" fontId="0" fillId="0" borderId="2" xfId="0" applyNumberFormat="1" applyBorder="1" applyAlignment="1">
      <alignment horizontal="center"/>
    </xf>
    <xf numFmtId="0" fontId="19" fillId="0" borderId="0" xfId="0" quotePrefix="1" applyNumberFormat="1" applyFont="1" applyAlignment="1">
      <alignment horizontal="right"/>
    </xf>
    <xf numFmtId="0" fontId="19" fillId="0" borderId="0" xfId="0" applyNumberFormat="1" applyFont="1" applyAlignment="1">
      <alignment horizontal="right"/>
    </xf>
    <xf numFmtId="0" fontId="0" fillId="0" borderId="0" xfId="0" applyBorder="1" applyAlignment="1">
      <alignment horizontal="right"/>
    </xf>
    <xf numFmtId="0" fontId="40" fillId="0" borderId="2" xfId="0" applyNumberFormat="1" applyFont="1" applyBorder="1" applyAlignment="1">
      <alignment horizontal="center"/>
    </xf>
    <xf numFmtId="0" fontId="0" fillId="0" borderId="2" xfId="0" applyBorder="1" applyAlignment="1">
      <alignment horizontal="center"/>
    </xf>
    <xf numFmtId="0" fontId="16" fillId="0" borderId="0" xfId="0" applyNumberFormat="1" applyFont="1" applyAlignment="1">
      <alignment horizontal="center"/>
    </xf>
    <xf numFmtId="0" fontId="113" fillId="0" borderId="0" xfId="0" applyNumberFormat="1" applyFont="1" applyBorder="1" applyAlignment="1">
      <alignment horizontal="center"/>
    </xf>
    <xf numFmtId="0" fontId="0" fillId="0" borderId="0" xfId="0" applyNumberFormat="1" applyFont="1" applyAlignment="1">
      <alignment horizontal="justify" vertical="top" wrapText="1"/>
    </xf>
    <xf numFmtId="0" fontId="0" fillId="0" borderId="0" xfId="0" quotePrefix="1" applyNumberFormat="1" applyFont="1" applyFill="1" applyAlignment="1">
      <alignment horizontal="justify" vertical="top" wrapText="1"/>
    </xf>
    <xf numFmtId="0" fontId="5" fillId="0" borderId="0" xfId="0" applyNumberFormat="1" applyFont="1" applyFill="1" applyAlignment="1">
      <alignment horizontal="justify" vertical="top"/>
    </xf>
  </cellXfs>
  <cellStyles count="60913">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10" xfId="26656"/>
    <cellStyle name="Currency 10 2" xfId="26657"/>
    <cellStyle name="Currency 10 2 2" xfId="26658"/>
    <cellStyle name="Currency 10 2 3" xfId="55287"/>
    <cellStyle name="Currency 10 3" xfId="26659"/>
    <cellStyle name="Currency 10 4" xfId="26660"/>
    <cellStyle name="Currency 11" xfId="26661"/>
    <cellStyle name="Currency 11 2" xfId="26662"/>
    <cellStyle name="Currency 11 3" xfId="55288"/>
    <cellStyle name="Currency 12" xfId="49925"/>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theme" Target="theme/theme1.xml"/><Relationship Id="rId44" Type="http://schemas.openxmlformats.org/officeDocument/2006/relationships/styles" Target="styles.xml"/><Relationship Id="rId4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
          <c:y val="0.0291777188328912"/>
        </c:manualLayout>
      </c:layout>
      <c:overlay val="0"/>
      <c:spPr>
        <a:noFill/>
        <a:ln w="25400">
          <a:noFill/>
        </a:ln>
      </c:spPr>
    </c:title>
    <c:autoTitleDeleted val="0"/>
    <c:plotArea>
      <c:layout>
        <c:manualLayout>
          <c:layoutTarget val="inner"/>
          <c:xMode val="edge"/>
          <c:yMode val="edge"/>
          <c:x val="0.109903511265278"/>
          <c:y val="0.181255526083112"/>
          <c:w val="0.789153589843822"/>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29'!$C$8:$L$8</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'SCH 29'!$C$14:$L$14</c:f>
              <c:numCache>
                <c:formatCode>_("$"* #,##0.000_);_("$"* \(#,##0.000\);_("$"* "-"???_);_(@_)</c:formatCode>
                <c:ptCount val="10"/>
                <c:pt idx="0">
                  <c:v>631.998</c:v>
                </c:pt>
                <c:pt idx="1">
                  <c:v>526.6660000000001</c:v>
                </c:pt>
                <c:pt idx="2">
                  <c:v>168.296</c:v>
                </c:pt>
                <c:pt idx="3">
                  <c:v>22.359</c:v>
                </c:pt>
                <c:pt idx="4">
                  <c:v>18.223</c:v>
                </c:pt>
                <c:pt idx="5">
                  <c:v>11.452</c:v>
                </c:pt>
                <c:pt idx="6">
                  <c:v>10.852</c:v>
                </c:pt>
                <c:pt idx="7">
                  <c:v>9.978</c:v>
                </c:pt>
                <c:pt idx="8">
                  <c:v>9.288</c:v>
                </c:pt>
                <c:pt idx="9">
                  <c:v>34.283</c:v>
                </c:pt>
              </c:numCache>
            </c:numRef>
          </c:val>
          <c:smooth val="0"/>
        </c:ser>
        <c:dLbls>
          <c:showLegendKey val="0"/>
          <c:showVal val="0"/>
          <c:showCatName val="0"/>
          <c:showSerName val="0"/>
          <c:showPercent val="0"/>
          <c:showBubbleSize val="0"/>
        </c:dLbls>
        <c:marker val="1"/>
        <c:smooth val="0"/>
        <c:axId val="-2127162392"/>
        <c:axId val="-2127154296"/>
      </c:lineChart>
      <c:catAx>
        <c:axId val="-212716239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
              <c:y val="0.9425287356321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2127154296"/>
        <c:crossesAt val="0.0"/>
        <c:auto val="1"/>
        <c:lblAlgn val="ctr"/>
        <c:lblOffset val="100"/>
        <c:tickLblSkip val="1"/>
        <c:tickMarkSkip val="1"/>
        <c:noMultiLvlLbl val="0"/>
      </c:catAx>
      <c:valAx>
        <c:axId val="-2127154296"/>
        <c:scaling>
          <c:orientation val="minMax"/>
          <c:max val="730.0"/>
          <c:min val="0.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0.024625751568288"/>
              <c:y val="0.3633952254641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127162392"/>
        <c:crosses val="autoZero"/>
        <c:crossBetween val="between"/>
        <c:majorUnit val="50.0"/>
        <c:minorUnit val="50.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0" l="0.750000000000015" r="0.750000000000015" t="1.0"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6"/>
          <c:y val="0.0191749200761277"/>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5"/>
          <c:y val="0.108076822247265"/>
          <c:w val="0.82138794084183"/>
          <c:h val="0.655433631693141"/>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dPt>
          <c:dPt>
            <c:idx val="1"/>
            <c:invertIfNegative val="0"/>
            <c:bubble3D val="0"/>
            <c:spPr>
              <a:solidFill>
                <a:schemeClr val="tx2">
                  <a:lumMod val="60000"/>
                  <a:lumOff val="40000"/>
                </a:schemeClr>
              </a:solidFill>
              <a:scene3d>
                <a:camera prst="orthographicFront"/>
                <a:lightRig rig="threePt" dir="t"/>
              </a:scene3d>
              <a:sp3d>
                <a:bevelT/>
                <a:bevelB/>
              </a:sp3d>
            </c:spPr>
          </c:dPt>
          <c:dPt>
            <c:idx val="2"/>
            <c:invertIfNegative val="0"/>
            <c:bubble3D val="0"/>
            <c:spPr>
              <a:solidFill>
                <a:schemeClr val="tx2">
                  <a:lumMod val="60000"/>
                  <a:lumOff val="40000"/>
                </a:schemeClr>
              </a:solidFill>
              <a:scene3d>
                <a:camera prst="orthographicFront"/>
                <a:lightRig rig="threePt" dir="t"/>
              </a:scene3d>
              <a:sp3d>
                <a:bevelT/>
                <a:bevelB/>
              </a:sp3d>
            </c:spPr>
          </c:dPt>
          <c:dPt>
            <c:idx val="3"/>
            <c:invertIfNegative val="0"/>
            <c:bubble3D val="0"/>
            <c:spPr>
              <a:solidFill>
                <a:schemeClr val="tx2">
                  <a:lumMod val="60000"/>
                  <a:lumOff val="40000"/>
                </a:schemeClr>
              </a:solidFill>
              <a:scene3d>
                <a:camera prst="orthographicFront"/>
                <a:lightRig rig="threePt" dir="t"/>
              </a:scene3d>
              <a:sp3d>
                <a:bevelT/>
                <a:bevelB/>
              </a:sp3d>
            </c:spPr>
          </c:dPt>
          <c:dPt>
            <c:idx val="4"/>
            <c:invertIfNegative val="0"/>
            <c:bubble3D val="0"/>
            <c:spPr>
              <a:solidFill>
                <a:schemeClr val="tx2">
                  <a:lumMod val="60000"/>
                  <a:lumOff val="40000"/>
                </a:schemeClr>
              </a:solidFill>
              <a:scene3d>
                <a:camera prst="orthographicFront"/>
                <a:lightRig rig="threePt" dir="t"/>
              </a:scene3d>
              <a:sp3d>
                <a:bevelT/>
                <a:bevelB/>
              </a:sp3d>
            </c:spPr>
          </c:dPt>
          <c:dPt>
            <c:idx val="5"/>
            <c:invertIfNegative val="0"/>
            <c:bubble3D val="0"/>
            <c:spPr>
              <a:solidFill>
                <a:schemeClr val="tx2">
                  <a:lumMod val="60000"/>
                  <a:lumOff val="40000"/>
                </a:schemeClr>
              </a:solidFill>
              <a:scene3d>
                <a:camera prst="orthographicFront"/>
                <a:lightRig rig="threePt" dir="t"/>
              </a:scene3d>
              <a:sp3d>
                <a:bevelT/>
                <a:bevelB/>
              </a:sp3d>
            </c:spPr>
          </c:dPt>
          <c:dPt>
            <c:idx val="6"/>
            <c:invertIfNegative val="0"/>
            <c:bubble3D val="0"/>
            <c:spPr>
              <a:solidFill>
                <a:schemeClr val="tx2">
                  <a:lumMod val="60000"/>
                  <a:lumOff val="40000"/>
                </a:schemeClr>
              </a:solidFill>
              <a:scene3d>
                <a:camera prst="orthographicFront"/>
                <a:lightRig rig="threePt" dir="t"/>
              </a:scene3d>
              <a:sp3d>
                <a:bevelT/>
                <a:bevelB/>
              </a:sp3d>
            </c:spPr>
          </c:dPt>
          <c:dPt>
            <c:idx val="7"/>
            <c:invertIfNegative val="0"/>
            <c:bubble3D val="0"/>
            <c:spPr>
              <a:solidFill>
                <a:schemeClr val="tx2">
                  <a:lumMod val="60000"/>
                  <a:lumOff val="40000"/>
                </a:schemeClr>
              </a:solidFill>
              <a:scene3d>
                <a:camera prst="orthographicFront"/>
                <a:lightRig rig="threePt" dir="t"/>
              </a:scene3d>
              <a:sp3d>
                <a:bevelT/>
                <a:bevelB/>
              </a:sp3d>
            </c:spPr>
          </c:dPt>
          <c:dPt>
            <c:idx val="8"/>
            <c:invertIfNegative val="0"/>
            <c:bubble3D val="0"/>
            <c:spPr>
              <a:solidFill>
                <a:schemeClr val="tx2">
                  <a:lumMod val="60000"/>
                  <a:lumOff val="40000"/>
                </a:schemeClr>
              </a:solidFill>
              <a:scene3d>
                <a:camera prst="orthographicFront"/>
                <a:lightRig rig="threePt" dir="t"/>
              </a:scene3d>
              <a:sp3d>
                <a:bevelT/>
                <a:bevelB/>
              </a:sp3d>
            </c:spPr>
          </c:dPt>
          <c:dPt>
            <c:idx val="9"/>
            <c:invertIfNegative val="0"/>
            <c:bubble3D val="0"/>
            <c:spPr>
              <a:solidFill>
                <a:schemeClr val="tx2">
                  <a:lumMod val="60000"/>
                  <a:lumOff val="40000"/>
                </a:schemeClr>
              </a:solidFill>
              <a:scene3d>
                <a:camera prst="orthographicFront"/>
                <a:lightRig rig="threePt" dir="t"/>
              </a:scene3d>
              <a:sp3d>
                <a:bevelT/>
                <a:bevelB/>
              </a:sp3d>
            </c:spPr>
          </c:dPt>
          <c:cat>
            <c:strRef>
              <c:f>'SCH 32'!$E$11:$N$11</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'SCH 32'!$E$19:$N$19</c:f>
              <c:numCache>
                <c:formatCode>_("$"* #,##0.00_);_("$"* \(#,##0.00\);_("$"* "-"??_);_(@_)</c:formatCode>
                <c:ptCount val="10"/>
                <c:pt idx="0">
                  <c:v>1.39084382053E9</c:v>
                </c:pt>
                <c:pt idx="1">
                  <c:v>1.53061887715E9</c:v>
                </c:pt>
                <c:pt idx="2">
                  <c:v>1.55627727219E9</c:v>
                </c:pt>
                <c:pt idx="3">
                  <c:v>1.48557753104E9</c:v>
                </c:pt>
                <c:pt idx="4">
                  <c:v>1.65617082134E9</c:v>
                </c:pt>
                <c:pt idx="5">
                  <c:v>1.76503914986E9</c:v>
                </c:pt>
                <c:pt idx="6">
                  <c:v>1.7939237882E9</c:v>
                </c:pt>
                <c:pt idx="7">
                  <c:v>2.24358428316E9</c:v>
                </c:pt>
                <c:pt idx="8">
                  <c:v>2.30476416318E9</c:v>
                </c:pt>
                <c:pt idx="9">
                  <c:v>2.74914383427E9</c:v>
                </c:pt>
              </c:numCache>
            </c:numRef>
          </c:val>
        </c:ser>
        <c:dLbls>
          <c:showLegendKey val="0"/>
          <c:showVal val="0"/>
          <c:showCatName val="0"/>
          <c:showSerName val="0"/>
          <c:showPercent val="0"/>
          <c:showBubbleSize val="0"/>
        </c:dLbls>
        <c:gapWidth val="107"/>
        <c:shape val="box"/>
        <c:axId val="-2104218632"/>
        <c:axId val="-2104212456"/>
        <c:axId val="0"/>
      </c:bar3DChart>
      <c:catAx>
        <c:axId val="-2104218632"/>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
              <c:y val="0.8803031489494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2104212456"/>
        <c:crosses val="autoZero"/>
        <c:auto val="1"/>
        <c:lblAlgn val="ctr"/>
        <c:lblOffset val="100"/>
        <c:noMultiLvlLbl val="0"/>
      </c:catAx>
      <c:valAx>
        <c:axId val="-210421245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0.0255930302565253"/>
              <c:y val="0.343405365995917"/>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2104218632"/>
        <c:crosses val="autoZero"/>
        <c:crossBetween val="between"/>
        <c:majorUnit val="2.0E8"/>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25</xdr:row>
      <xdr:rowOff>63500</xdr:rowOff>
    </xdr:from>
    <xdr:to>
      <xdr:col>10</xdr:col>
      <xdr:colOff>1193800</xdr:colOff>
      <xdr:row>58</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U74"/>
  <sheetViews>
    <sheetView showGridLines="0" tabSelected="1" showOutlineSymbols="0" zoomScaleSheetLayoutView="100" workbookViewId="0"/>
  </sheetViews>
  <sheetFormatPr baseColWidth="10" defaultColWidth="8.85546875" defaultRowHeight="12" x14ac:dyDescent="0"/>
  <cols>
    <col min="1" max="1" width="10" style="1605" customWidth="1"/>
    <col min="2" max="2" width="20.5703125" style="1605" customWidth="1"/>
    <col min="3" max="3" width="2.5703125" style="1605" customWidth="1"/>
    <col min="4" max="4" width="18.5703125" style="1605" customWidth="1"/>
    <col min="5" max="7" width="9.5703125" style="1605" customWidth="1"/>
    <col min="8" max="8" width="15.5703125" style="1605" customWidth="1"/>
    <col min="9" max="9" width="12" style="1605" customWidth="1"/>
    <col min="10" max="10" width="6.5703125" style="1605" customWidth="1"/>
    <col min="11" max="11" width="13.5703125" style="1605" customWidth="1"/>
    <col min="12" max="256" width="8.85546875" style="1605"/>
    <col min="257" max="257" width="10" style="1605" customWidth="1"/>
    <col min="258" max="258" width="20.5703125" style="1605" customWidth="1"/>
    <col min="259" max="259" width="2.5703125" style="1605" customWidth="1"/>
    <col min="260" max="260" width="18.5703125" style="1605" customWidth="1"/>
    <col min="261" max="263" width="9.5703125" style="1605" customWidth="1"/>
    <col min="264" max="264" width="15.5703125" style="1605" customWidth="1"/>
    <col min="265" max="265" width="12" style="1605" customWidth="1"/>
    <col min="266" max="266" width="6.5703125" style="1605" customWidth="1"/>
    <col min="267" max="267" width="13.5703125" style="1605" customWidth="1"/>
    <col min="268" max="512" width="8.85546875" style="1605"/>
    <col min="513" max="513" width="10" style="1605" customWidth="1"/>
    <col min="514" max="514" width="20.5703125" style="1605" customWidth="1"/>
    <col min="515" max="515" width="2.5703125" style="1605" customWidth="1"/>
    <col min="516" max="516" width="18.5703125" style="1605" customWidth="1"/>
    <col min="517" max="519" width="9.5703125" style="1605" customWidth="1"/>
    <col min="520" max="520" width="15.5703125" style="1605" customWidth="1"/>
    <col min="521" max="521" width="12" style="1605" customWidth="1"/>
    <col min="522" max="522" width="6.5703125" style="1605" customWidth="1"/>
    <col min="523" max="523" width="13.5703125" style="1605" customWidth="1"/>
    <col min="524" max="768" width="8.85546875" style="1605"/>
    <col min="769" max="769" width="10" style="1605" customWidth="1"/>
    <col min="770" max="770" width="20.5703125" style="1605" customWidth="1"/>
    <col min="771" max="771" width="2.5703125" style="1605" customWidth="1"/>
    <col min="772" max="772" width="18.5703125" style="1605" customWidth="1"/>
    <col min="773" max="775" width="9.5703125" style="1605" customWidth="1"/>
    <col min="776" max="776" width="15.5703125" style="1605" customWidth="1"/>
    <col min="777" max="777" width="12" style="1605" customWidth="1"/>
    <col min="778" max="778" width="6.5703125" style="1605" customWidth="1"/>
    <col min="779" max="779" width="13.5703125" style="1605" customWidth="1"/>
    <col min="780" max="1024" width="8.85546875" style="1605"/>
    <col min="1025" max="1025" width="10" style="1605" customWidth="1"/>
    <col min="1026" max="1026" width="20.5703125" style="1605" customWidth="1"/>
    <col min="1027" max="1027" width="2.5703125" style="1605" customWidth="1"/>
    <col min="1028" max="1028" width="18.5703125" style="1605" customWidth="1"/>
    <col min="1029" max="1031" width="9.5703125" style="1605" customWidth="1"/>
    <col min="1032" max="1032" width="15.5703125" style="1605" customWidth="1"/>
    <col min="1033" max="1033" width="12" style="1605" customWidth="1"/>
    <col min="1034" max="1034" width="6.5703125" style="1605" customWidth="1"/>
    <col min="1035" max="1035" width="13.5703125" style="1605" customWidth="1"/>
    <col min="1036" max="1280" width="8.85546875" style="1605"/>
    <col min="1281" max="1281" width="10" style="1605" customWidth="1"/>
    <col min="1282" max="1282" width="20.5703125" style="1605" customWidth="1"/>
    <col min="1283" max="1283" width="2.5703125" style="1605" customWidth="1"/>
    <col min="1284" max="1284" width="18.5703125" style="1605" customWidth="1"/>
    <col min="1285" max="1287" width="9.5703125" style="1605" customWidth="1"/>
    <col min="1288" max="1288" width="15.5703125" style="1605" customWidth="1"/>
    <col min="1289" max="1289" width="12" style="1605" customWidth="1"/>
    <col min="1290" max="1290" width="6.5703125" style="1605" customWidth="1"/>
    <col min="1291" max="1291" width="13.5703125" style="1605" customWidth="1"/>
    <col min="1292" max="1536" width="8.85546875" style="1605"/>
    <col min="1537" max="1537" width="10" style="1605" customWidth="1"/>
    <col min="1538" max="1538" width="20.5703125" style="1605" customWidth="1"/>
    <col min="1539" max="1539" width="2.5703125" style="1605" customWidth="1"/>
    <col min="1540" max="1540" width="18.5703125" style="1605" customWidth="1"/>
    <col min="1541" max="1543" width="9.5703125" style="1605" customWidth="1"/>
    <col min="1544" max="1544" width="15.5703125" style="1605" customWidth="1"/>
    <col min="1545" max="1545" width="12" style="1605" customWidth="1"/>
    <col min="1546" max="1546" width="6.5703125" style="1605" customWidth="1"/>
    <col min="1547" max="1547" width="13.5703125" style="1605" customWidth="1"/>
    <col min="1548" max="1792" width="8.85546875" style="1605"/>
    <col min="1793" max="1793" width="10" style="1605" customWidth="1"/>
    <col min="1794" max="1794" width="20.5703125" style="1605" customWidth="1"/>
    <col min="1795" max="1795" width="2.5703125" style="1605" customWidth="1"/>
    <col min="1796" max="1796" width="18.5703125" style="1605" customWidth="1"/>
    <col min="1797" max="1799" width="9.5703125" style="1605" customWidth="1"/>
    <col min="1800" max="1800" width="15.5703125" style="1605" customWidth="1"/>
    <col min="1801" max="1801" width="12" style="1605" customWidth="1"/>
    <col min="1802" max="1802" width="6.5703125" style="1605" customWidth="1"/>
    <col min="1803" max="1803" width="13.5703125" style="1605" customWidth="1"/>
    <col min="1804" max="2048" width="8.85546875" style="1605"/>
    <col min="2049" max="2049" width="10" style="1605" customWidth="1"/>
    <col min="2050" max="2050" width="20.5703125" style="1605" customWidth="1"/>
    <col min="2051" max="2051" width="2.5703125" style="1605" customWidth="1"/>
    <col min="2052" max="2052" width="18.5703125" style="1605" customWidth="1"/>
    <col min="2053" max="2055" width="9.5703125" style="1605" customWidth="1"/>
    <col min="2056" max="2056" width="15.5703125" style="1605" customWidth="1"/>
    <col min="2057" max="2057" width="12" style="1605" customWidth="1"/>
    <col min="2058" max="2058" width="6.5703125" style="1605" customWidth="1"/>
    <col min="2059" max="2059" width="13.5703125" style="1605" customWidth="1"/>
    <col min="2060" max="2304" width="8.85546875" style="1605"/>
    <col min="2305" max="2305" width="10" style="1605" customWidth="1"/>
    <col min="2306" max="2306" width="20.5703125" style="1605" customWidth="1"/>
    <col min="2307" max="2307" width="2.5703125" style="1605" customWidth="1"/>
    <col min="2308" max="2308" width="18.5703125" style="1605" customWidth="1"/>
    <col min="2309" max="2311" width="9.5703125" style="1605" customWidth="1"/>
    <col min="2312" max="2312" width="15.5703125" style="1605" customWidth="1"/>
    <col min="2313" max="2313" width="12" style="1605" customWidth="1"/>
    <col min="2314" max="2314" width="6.5703125" style="1605" customWidth="1"/>
    <col min="2315" max="2315" width="13.5703125" style="1605" customWidth="1"/>
    <col min="2316" max="2560" width="8.85546875" style="1605"/>
    <col min="2561" max="2561" width="10" style="1605" customWidth="1"/>
    <col min="2562" max="2562" width="20.5703125" style="1605" customWidth="1"/>
    <col min="2563" max="2563" width="2.5703125" style="1605" customWidth="1"/>
    <col min="2564" max="2564" width="18.5703125" style="1605" customWidth="1"/>
    <col min="2565" max="2567" width="9.5703125" style="1605" customWidth="1"/>
    <col min="2568" max="2568" width="15.5703125" style="1605" customWidth="1"/>
    <col min="2569" max="2569" width="12" style="1605" customWidth="1"/>
    <col min="2570" max="2570" width="6.5703125" style="1605" customWidth="1"/>
    <col min="2571" max="2571" width="13.5703125" style="1605" customWidth="1"/>
    <col min="2572" max="2816" width="8.85546875" style="1605"/>
    <col min="2817" max="2817" width="10" style="1605" customWidth="1"/>
    <col min="2818" max="2818" width="20.5703125" style="1605" customWidth="1"/>
    <col min="2819" max="2819" width="2.5703125" style="1605" customWidth="1"/>
    <col min="2820" max="2820" width="18.5703125" style="1605" customWidth="1"/>
    <col min="2821" max="2823" width="9.5703125" style="1605" customWidth="1"/>
    <col min="2824" max="2824" width="15.5703125" style="1605" customWidth="1"/>
    <col min="2825" max="2825" width="12" style="1605" customWidth="1"/>
    <col min="2826" max="2826" width="6.5703125" style="1605" customWidth="1"/>
    <col min="2827" max="2827" width="13.5703125" style="1605" customWidth="1"/>
    <col min="2828" max="3072" width="8.85546875" style="1605"/>
    <col min="3073" max="3073" width="10" style="1605" customWidth="1"/>
    <col min="3074" max="3074" width="20.5703125" style="1605" customWidth="1"/>
    <col min="3075" max="3075" width="2.5703125" style="1605" customWidth="1"/>
    <col min="3076" max="3076" width="18.5703125" style="1605" customWidth="1"/>
    <col min="3077" max="3079" width="9.5703125" style="1605" customWidth="1"/>
    <col min="3080" max="3080" width="15.5703125" style="1605" customWidth="1"/>
    <col min="3081" max="3081" width="12" style="1605" customWidth="1"/>
    <col min="3082" max="3082" width="6.5703125" style="1605" customWidth="1"/>
    <col min="3083" max="3083" width="13.5703125" style="1605" customWidth="1"/>
    <col min="3084" max="3328" width="8.85546875" style="1605"/>
    <col min="3329" max="3329" width="10" style="1605" customWidth="1"/>
    <col min="3330" max="3330" width="20.5703125" style="1605" customWidth="1"/>
    <col min="3331" max="3331" width="2.5703125" style="1605" customWidth="1"/>
    <col min="3332" max="3332" width="18.5703125" style="1605" customWidth="1"/>
    <col min="3333" max="3335" width="9.5703125" style="1605" customWidth="1"/>
    <col min="3336" max="3336" width="15.5703125" style="1605" customWidth="1"/>
    <col min="3337" max="3337" width="12" style="1605" customWidth="1"/>
    <col min="3338" max="3338" width="6.5703125" style="1605" customWidth="1"/>
    <col min="3339" max="3339" width="13.5703125" style="1605" customWidth="1"/>
    <col min="3340" max="3584" width="8.85546875" style="1605"/>
    <col min="3585" max="3585" width="10" style="1605" customWidth="1"/>
    <col min="3586" max="3586" width="20.5703125" style="1605" customWidth="1"/>
    <col min="3587" max="3587" width="2.5703125" style="1605" customWidth="1"/>
    <col min="3588" max="3588" width="18.5703125" style="1605" customWidth="1"/>
    <col min="3589" max="3591" width="9.5703125" style="1605" customWidth="1"/>
    <col min="3592" max="3592" width="15.5703125" style="1605" customWidth="1"/>
    <col min="3593" max="3593" width="12" style="1605" customWidth="1"/>
    <col min="3594" max="3594" width="6.5703125" style="1605" customWidth="1"/>
    <col min="3595" max="3595" width="13.5703125" style="1605" customWidth="1"/>
    <col min="3596" max="3840" width="8.85546875" style="1605"/>
    <col min="3841" max="3841" width="10" style="1605" customWidth="1"/>
    <col min="3842" max="3842" width="20.5703125" style="1605" customWidth="1"/>
    <col min="3843" max="3843" width="2.5703125" style="1605" customWidth="1"/>
    <col min="3844" max="3844" width="18.5703125" style="1605" customWidth="1"/>
    <col min="3845" max="3847" width="9.5703125" style="1605" customWidth="1"/>
    <col min="3848" max="3848" width="15.5703125" style="1605" customWidth="1"/>
    <col min="3849" max="3849" width="12" style="1605" customWidth="1"/>
    <col min="3850" max="3850" width="6.5703125" style="1605" customWidth="1"/>
    <col min="3851" max="3851" width="13.5703125" style="1605" customWidth="1"/>
    <col min="3852" max="4096" width="8.85546875" style="1605"/>
    <col min="4097" max="4097" width="10" style="1605" customWidth="1"/>
    <col min="4098" max="4098" width="20.5703125" style="1605" customWidth="1"/>
    <col min="4099" max="4099" width="2.5703125" style="1605" customWidth="1"/>
    <col min="4100" max="4100" width="18.5703125" style="1605" customWidth="1"/>
    <col min="4101" max="4103" width="9.5703125" style="1605" customWidth="1"/>
    <col min="4104" max="4104" width="15.5703125" style="1605" customWidth="1"/>
    <col min="4105" max="4105" width="12" style="1605" customWidth="1"/>
    <col min="4106" max="4106" width="6.5703125" style="1605" customWidth="1"/>
    <col min="4107" max="4107" width="13.5703125" style="1605" customWidth="1"/>
    <col min="4108" max="4352" width="8.85546875" style="1605"/>
    <col min="4353" max="4353" width="10" style="1605" customWidth="1"/>
    <col min="4354" max="4354" width="20.5703125" style="1605" customWidth="1"/>
    <col min="4355" max="4355" width="2.5703125" style="1605" customWidth="1"/>
    <col min="4356" max="4356" width="18.5703125" style="1605" customWidth="1"/>
    <col min="4357" max="4359" width="9.5703125" style="1605" customWidth="1"/>
    <col min="4360" max="4360" width="15.5703125" style="1605" customWidth="1"/>
    <col min="4361" max="4361" width="12" style="1605" customWidth="1"/>
    <col min="4362" max="4362" width="6.5703125" style="1605" customWidth="1"/>
    <col min="4363" max="4363" width="13.5703125" style="1605" customWidth="1"/>
    <col min="4364" max="4608" width="8.85546875" style="1605"/>
    <col min="4609" max="4609" width="10" style="1605" customWidth="1"/>
    <col min="4610" max="4610" width="20.5703125" style="1605" customWidth="1"/>
    <col min="4611" max="4611" width="2.5703125" style="1605" customWidth="1"/>
    <col min="4612" max="4612" width="18.5703125" style="1605" customWidth="1"/>
    <col min="4613" max="4615" width="9.5703125" style="1605" customWidth="1"/>
    <col min="4616" max="4616" width="15.5703125" style="1605" customWidth="1"/>
    <col min="4617" max="4617" width="12" style="1605" customWidth="1"/>
    <col min="4618" max="4618" width="6.5703125" style="1605" customWidth="1"/>
    <col min="4619" max="4619" width="13.5703125" style="1605" customWidth="1"/>
    <col min="4620" max="4864" width="8.85546875" style="1605"/>
    <col min="4865" max="4865" width="10" style="1605" customWidth="1"/>
    <col min="4866" max="4866" width="20.5703125" style="1605" customWidth="1"/>
    <col min="4867" max="4867" width="2.5703125" style="1605" customWidth="1"/>
    <col min="4868" max="4868" width="18.5703125" style="1605" customWidth="1"/>
    <col min="4869" max="4871" width="9.5703125" style="1605" customWidth="1"/>
    <col min="4872" max="4872" width="15.5703125" style="1605" customWidth="1"/>
    <col min="4873" max="4873" width="12" style="1605" customWidth="1"/>
    <col min="4874" max="4874" width="6.5703125" style="1605" customWidth="1"/>
    <col min="4875" max="4875" width="13.5703125" style="1605" customWidth="1"/>
    <col min="4876" max="5120" width="8.85546875" style="1605"/>
    <col min="5121" max="5121" width="10" style="1605" customWidth="1"/>
    <col min="5122" max="5122" width="20.5703125" style="1605" customWidth="1"/>
    <col min="5123" max="5123" width="2.5703125" style="1605" customWidth="1"/>
    <col min="5124" max="5124" width="18.5703125" style="1605" customWidth="1"/>
    <col min="5125" max="5127" width="9.5703125" style="1605" customWidth="1"/>
    <col min="5128" max="5128" width="15.5703125" style="1605" customWidth="1"/>
    <col min="5129" max="5129" width="12" style="1605" customWidth="1"/>
    <col min="5130" max="5130" width="6.5703125" style="1605" customWidth="1"/>
    <col min="5131" max="5131" width="13.5703125" style="1605" customWidth="1"/>
    <col min="5132" max="5376" width="8.85546875" style="1605"/>
    <col min="5377" max="5377" width="10" style="1605" customWidth="1"/>
    <col min="5378" max="5378" width="20.5703125" style="1605" customWidth="1"/>
    <col min="5379" max="5379" width="2.5703125" style="1605" customWidth="1"/>
    <col min="5380" max="5380" width="18.5703125" style="1605" customWidth="1"/>
    <col min="5381" max="5383" width="9.5703125" style="1605" customWidth="1"/>
    <col min="5384" max="5384" width="15.5703125" style="1605" customWidth="1"/>
    <col min="5385" max="5385" width="12" style="1605" customWidth="1"/>
    <col min="5386" max="5386" width="6.5703125" style="1605" customWidth="1"/>
    <col min="5387" max="5387" width="13.5703125" style="1605" customWidth="1"/>
    <col min="5388" max="5632" width="8.85546875" style="1605"/>
    <col min="5633" max="5633" width="10" style="1605" customWidth="1"/>
    <col min="5634" max="5634" width="20.5703125" style="1605" customWidth="1"/>
    <col min="5635" max="5635" width="2.5703125" style="1605" customWidth="1"/>
    <col min="5636" max="5636" width="18.5703125" style="1605" customWidth="1"/>
    <col min="5637" max="5639" width="9.5703125" style="1605" customWidth="1"/>
    <col min="5640" max="5640" width="15.5703125" style="1605" customWidth="1"/>
    <col min="5641" max="5641" width="12" style="1605" customWidth="1"/>
    <col min="5642" max="5642" width="6.5703125" style="1605" customWidth="1"/>
    <col min="5643" max="5643" width="13.5703125" style="1605" customWidth="1"/>
    <col min="5644" max="5888" width="8.85546875" style="1605"/>
    <col min="5889" max="5889" width="10" style="1605" customWidth="1"/>
    <col min="5890" max="5890" width="20.5703125" style="1605" customWidth="1"/>
    <col min="5891" max="5891" width="2.5703125" style="1605" customWidth="1"/>
    <col min="5892" max="5892" width="18.5703125" style="1605" customWidth="1"/>
    <col min="5893" max="5895" width="9.5703125" style="1605" customWidth="1"/>
    <col min="5896" max="5896" width="15.5703125" style="1605" customWidth="1"/>
    <col min="5897" max="5897" width="12" style="1605" customWidth="1"/>
    <col min="5898" max="5898" width="6.5703125" style="1605" customWidth="1"/>
    <col min="5899" max="5899" width="13.5703125" style="1605" customWidth="1"/>
    <col min="5900" max="6144" width="8.85546875" style="1605"/>
    <col min="6145" max="6145" width="10" style="1605" customWidth="1"/>
    <col min="6146" max="6146" width="20.5703125" style="1605" customWidth="1"/>
    <col min="6147" max="6147" width="2.5703125" style="1605" customWidth="1"/>
    <col min="6148" max="6148" width="18.5703125" style="1605" customWidth="1"/>
    <col min="6149" max="6151" width="9.5703125" style="1605" customWidth="1"/>
    <col min="6152" max="6152" width="15.5703125" style="1605" customWidth="1"/>
    <col min="6153" max="6153" width="12" style="1605" customWidth="1"/>
    <col min="6154" max="6154" width="6.5703125" style="1605" customWidth="1"/>
    <col min="6155" max="6155" width="13.5703125" style="1605" customWidth="1"/>
    <col min="6156" max="6400" width="8.85546875" style="1605"/>
    <col min="6401" max="6401" width="10" style="1605" customWidth="1"/>
    <col min="6402" max="6402" width="20.5703125" style="1605" customWidth="1"/>
    <col min="6403" max="6403" width="2.5703125" style="1605" customWidth="1"/>
    <col min="6404" max="6404" width="18.5703125" style="1605" customWidth="1"/>
    <col min="6405" max="6407" width="9.5703125" style="1605" customWidth="1"/>
    <col min="6408" max="6408" width="15.5703125" style="1605" customWidth="1"/>
    <col min="6409" max="6409" width="12" style="1605" customWidth="1"/>
    <col min="6410" max="6410" width="6.5703125" style="1605" customWidth="1"/>
    <col min="6411" max="6411" width="13.5703125" style="1605" customWidth="1"/>
    <col min="6412" max="6656" width="8.85546875" style="1605"/>
    <col min="6657" max="6657" width="10" style="1605" customWidth="1"/>
    <col min="6658" max="6658" width="20.5703125" style="1605" customWidth="1"/>
    <col min="6659" max="6659" width="2.5703125" style="1605" customWidth="1"/>
    <col min="6660" max="6660" width="18.5703125" style="1605" customWidth="1"/>
    <col min="6661" max="6663" width="9.5703125" style="1605" customWidth="1"/>
    <col min="6664" max="6664" width="15.5703125" style="1605" customWidth="1"/>
    <col min="6665" max="6665" width="12" style="1605" customWidth="1"/>
    <col min="6666" max="6666" width="6.5703125" style="1605" customWidth="1"/>
    <col min="6667" max="6667" width="13.5703125" style="1605" customWidth="1"/>
    <col min="6668" max="6912" width="8.85546875" style="1605"/>
    <col min="6913" max="6913" width="10" style="1605" customWidth="1"/>
    <col min="6914" max="6914" width="20.5703125" style="1605" customWidth="1"/>
    <col min="6915" max="6915" width="2.5703125" style="1605" customWidth="1"/>
    <col min="6916" max="6916" width="18.5703125" style="1605" customWidth="1"/>
    <col min="6917" max="6919" width="9.5703125" style="1605" customWidth="1"/>
    <col min="6920" max="6920" width="15.5703125" style="1605" customWidth="1"/>
    <col min="6921" max="6921" width="12" style="1605" customWidth="1"/>
    <col min="6922" max="6922" width="6.5703125" style="1605" customWidth="1"/>
    <col min="6923" max="6923" width="13.5703125" style="1605" customWidth="1"/>
    <col min="6924" max="7168" width="8.85546875" style="1605"/>
    <col min="7169" max="7169" width="10" style="1605" customWidth="1"/>
    <col min="7170" max="7170" width="20.5703125" style="1605" customWidth="1"/>
    <col min="7171" max="7171" width="2.5703125" style="1605" customWidth="1"/>
    <col min="7172" max="7172" width="18.5703125" style="1605" customWidth="1"/>
    <col min="7173" max="7175" width="9.5703125" style="1605" customWidth="1"/>
    <col min="7176" max="7176" width="15.5703125" style="1605" customWidth="1"/>
    <col min="7177" max="7177" width="12" style="1605" customWidth="1"/>
    <col min="7178" max="7178" width="6.5703125" style="1605" customWidth="1"/>
    <col min="7179" max="7179" width="13.5703125" style="1605" customWidth="1"/>
    <col min="7180" max="7424" width="8.85546875" style="1605"/>
    <col min="7425" max="7425" width="10" style="1605" customWidth="1"/>
    <col min="7426" max="7426" width="20.5703125" style="1605" customWidth="1"/>
    <col min="7427" max="7427" width="2.5703125" style="1605" customWidth="1"/>
    <col min="7428" max="7428" width="18.5703125" style="1605" customWidth="1"/>
    <col min="7429" max="7431" width="9.5703125" style="1605" customWidth="1"/>
    <col min="7432" max="7432" width="15.5703125" style="1605" customWidth="1"/>
    <col min="7433" max="7433" width="12" style="1605" customWidth="1"/>
    <col min="7434" max="7434" width="6.5703125" style="1605" customWidth="1"/>
    <col min="7435" max="7435" width="13.5703125" style="1605" customWidth="1"/>
    <col min="7436" max="7680" width="8.85546875" style="1605"/>
    <col min="7681" max="7681" width="10" style="1605" customWidth="1"/>
    <col min="7682" max="7682" width="20.5703125" style="1605" customWidth="1"/>
    <col min="7683" max="7683" width="2.5703125" style="1605" customWidth="1"/>
    <col min="7684" max="7684" width="18.5703125" style="1605" customWidth="1"/>
    <col min="7685" max="7687" width="9.5703125" style="1605" customWidth="1"/>
    <col min="7688" max="7688" width="15.5703125" style="1605" customWidth="1"/>
    <col min="7689" max="7689" width="12" style="1605" customWidth="1"/>
    <col min="7690" max="7690" width="6.5703125" style="1605" customWidth="1"/>
    <col min="7691" max="7691" width="13.5703125" style="1605" customWidth="1"/>
    <col min="7692" max="7936" width="8.85546875" style="1605"/>
    <col min="7937" max="7937" width="10" style="1605" customWidth="1"/>
    <col min="7938" max="7938" width="20.5703125" style="1605" customWidth="1"/>
    <col min="7939" max="7939" width="2.5703125" style="1605" customWidth="1"/>
    <col min="7940" max="7940" width="18.5703125" style="1605" customWidth="1"/>
    <col min="7941" max="7943" width="9.5703125" style="1605" customWidth="1"/>
    <col min="7944" max="7944" width="15.5703125" style="1605" customWidth="1"/>
    <col min="7945" max="7945" width="12" style="1605" customWidth="1"/>
    <col min="7946" max="7946" width="6.5703125" style="1605" customWidth="1"/>
    <col min="7947" max="7947" width="13.5703125" style="1605" customWidth="1"/>
    <col min="7948" max="8192" width="8.85546875" style="1605"/>
    <col min="8193" max="8193" width="10" style="1605" customWidth="1"/>
    <col min="8194" max="8194" width="20.5703125" style="1605" customWidth="1"/>
    <col min="8195" max="8195" width="2.5703125" style="1605" customWidth="1"/>
    <col min="8196" max="8196" width="18.5703125" style="1605" customWidth="1"/>
    <col min="8197" max="8199" width="9.5703125" style="1605" customWidth="1"/>
    <col min="8200" max="8200" width="15.5703125" style="1605" customWidth="1"/>
    <col min="8201" max="8201" width="12" style="1605" customWidth="1"/>
    <col min="8202" max="8202" width="6.5703125" style="1605" customWidth="1"/>
    <col min="8203" max="8203" width="13.5703125" style="1605" customWidth="1"/>
    <col min="8204" max="8448" width="8.85546875" style="1605"/>
    <col min="8449" max="8449" width="10" style="1605" customWidth="1"/>
    <col min="8450" max="8450" width="20.5703125" style="1605" customWidth="1"/>
    <col min="8451" max="8451" width="2.5703125" style="1605" customWidth="1"/>
    <col min="8452" max="8452" width="18.5703125" style="1605" customWidth="1"/>
    <col min="8453" max="8455" width="9.5703125" style="1605" customWidth="1"/>
    <col min="8456" max="8456" width="15.5703125" style="1605" customWidth="1"/>
    <col min="8457" max="8457" width="12" style="1605" customWidth="1"/>
    <col min="8458" max="8458" width="6.5703125" style="1605" customWidth="1"/>
    <col min="8459" max="8459" width="13.5703125" style="1605" customWidth="1"/>
    <col min="8460" max="8704" width="8.85546875" style="1605"/>
    <col min="8705" max="8705" width="10" style="1605" customWidth="1"/>
    <col min="8706" max="8706" width="20.5703125" style="1605" customWidth="1"/>
    <col min="8707" max="8707" width="2.5703125" style="1605" customWidth="1"/>
    <col min="8708" max="8708" width="18.5703125" style="1605" customWidth="1"/>
    <col min="8709" max="8711" width="9.5703125" style="1605" customWidth="1"/>
    <col min="8712" max="8712" width="15.5703125" style="1605" customWidth="1"/>
    <col min="8713" max="8713" width="12" style="1605" customWidth="1"/>
    <col min="8714" max="8714" width="6.5703125" style="1605" customWidth="1"/>
    <col min="8715" max="8715" width="13.5703125" style="1605" customWidth="1"/>
    <col min="8716" max="8960" width="8.85546875" style="1605"/>
    <col min="8961" max="8961" width="10" style="1605" customWidth="1"/>
    <col min="8962" max="8962" width="20.5703125" style="1605" customWidth="1"/>
    <col min="8963" max="8963" width="2.5703125" style="1605" customWidth="1"/>
    <col min="8964" max="8964" width="18.5703125" style="1605" customWidth="1"/>
    <col min="8965" max="8967" width="9.5703125" style="1605" customWidth="1"/>
    <col min="8968" max="8968" width="15.5703125" style="1605" customWidth="1"/>
    <col min="8969" max="8969" width="12" style="1605" customWidth="1"/>
    <col min="8970" max="8970" width="6.5703125" style="1605" customWidth="1"/>
    <col min="8971" max="8971" width="13.5703125" style="1605" customWidth="1"/>
    <col min="8972" max="9216" width="8.85546875" style="1605"/>
    <col min="9217" max="9217" width="10" style="1605" customWidth="1"/>
    <col min="9218" max="9218" width="20.5703125" style="1605" customWidth="1"/>
    <col min="9219" max="9219" width="2.5703125" style="1605" customWidth="1"/>
    <col min="9220" max="9220" width="18.5703125" style="1605" customWidth="1"/>
    <col min="9221" max="9223" width="9.5703125" style="1605" customWidth="1"/>
    <col min="9224" max="9224" width="15.5703125" style="1605" customWidth="1"/>
    <col min="9225" max="9225" width="12" style="1605" customWidth="1"/>
    <col min="9226" max="9226" width="6.5703125" style="1605" customWidth="1"/>
    <col min="9227" max="9227" width="13.5703125" style="1605" customWidth="1"/>
    <col min="9228" max="9472" width="8.85546875" style="1605"/>
    <col min="9473" max="9473" width="10" style="1605" customWidth="1"/>
    <col min="9474" max="9474" width="20.5703125" style="1605" customWidth="1"/>
    <col min="9475" max="9475" width="2.5703125" style="1605" customWidth="1"/>
    <col min="9476" max="9476" width="18.5703125" style="1605" customWidth="1"/>
    <col min="9477" max="9479" width="9.5703125" style="1605" customWidth="1"/>
    <col min="9480" max="9480" width="15.5703125" style="1605" customWidth="1"/>
    <col min="9481" max="9481" width="12" style="1605" customWidth="1"/>
    <col min="9482" max="9482" width="6.5703125" style="1605" customWidth="1"/>
    <col min="9483" max="9483" width="13.5703125" style="1605" customWidth="1"/>
    <col min="9484" max="9728" width="8.85546875" style="1605"/>
    <col min="9729" max="9729" width="10" style="1605" customWidth="1"/>
    <col min="9730" max="9730" width="20.5703125" style="1605" customWidth="1"/>
    <col min="9731" max="9731" width="2.5703125" style="1605" customWidth="1"/>
    <col min="9732" max="9732" width="18.5703125" style="1605" customWidth="1"/>
    <col min="9733" max="9735" width="9.5703125" style="1605" customWidth="1"/>
    <col min="9736" max="9736" width="15.5703125" style="1605" customWidth="1"/>
    <col min="9737" max="9737" width="12" style="1605" customWidth="1"/>
    <col min="9738" max="9738" width="6.5703125" style="1605" customWidth="1"/>
    <col min="9739" max="9739" width="13.5703125" style="1605" customWidth="1"/>
    <col min="9740" max="9984" width="8.85546875" style="1605"/>
    <col min="9985" max="9985" width="10" style="1605" customWidth="1"/>
    <col min="9986" max="9986" width="20.5703125" style="1605" customWidth="1"/>
    <col min="9987" max="9987" width="2.5703125" style="1605" customWidth="1"/>
    <col min="9988" max="9988" width="18.5703125" style="1605" customWidth="1"/>
    <col min="9989" max="9991" width="9.5703125" style="1605" customWidth="1"/>
    <col min="9992" max="9992" width="15.5703125" style="1605" customWidth="1"/>
    <col min="9993" max="9993" width="12" style="1605" customWidth="1"/>
    <col min="9994" max="9994" width="6.5703125" style="1605" customWidth="1"/>
    <col min="9995" max="9995" width="13.5703125" style="1605" customWidth="1"/>
    <col min="9996" max="10240" width="8.85546875" style="1605"/>
    <col min="10241" max="10241" width="10" style="1605" customWidth="1"/>
    <col min="10242" max="10242" width="20.5703125" style="1605" customWidth="1"/>
    <col min="10243" max="10243" width="2.5703125" style="1605" customWidth="1"/>
    <col min="10244" max="10244" width="18.5703125" style="1605" customWidth="1"/>
    <col min="10245" max="10247" width="9.5703125" style="1605" customWidth="1"/>
    <col min="10248" max="10248" width="15.5703125" style="1605" customWidth="1"/>
    <col min="10249" max="10249" width="12" style="1605" customWidth="1"/>
    <col min="10250" max="10250" width="6.5703125" style="1605" customWidth="1"/>
    <col min="10251" max="10251" width="13.5703125" style="1605" customWidth="1"/>
    <col min="10252" max="10496" width="8.85546875" style="1605"/>
    <col min="10497" max="10497" width="10" style="1605" customWidth="1"/>
    <col min="10498" max="10498" width="20.5703125" style="1605" customWidth="1"/>
    <col min="10499" max="10499" width="2.5703125" style="1605" customWidth="1"/>
    <col min="10500" max="10500" width="18.5703125" style="1605" customWidth="1"/>
    <col min="10501" max="10503" width="9.5703125" style="1605" customWidth="1"/>
    <col min="10504" max="10504" width="15.5703125" style="1605" customWidth="1"/>
    <col min="10505" max="10505" width="12" style="1605" customWidth="1"/>
    <col min="10506" max="10506" width="6.5703125" style="1605" customWidth="1"/>
    <col min="10507" max="10507" width="13.5703125" style="1605" customWidth="1"/>
    <col min="10508" max="10752" width="8.85546875" style="1605"/>
    <col min="10753" max="10753" width="10" style="1605" customWidth="1"/>
    <col min="10754" max="10754" width="20.5703125" style="1605" customWidth="1"/>
    <col min="10755" max="10755" width="2.5703125" style="1605" customWidth="1"/>
    <col min="10756" max="10756" width="18.5703125" style="1605" customWidth="1"/>
    <col min="10757" max="10759" width="9.5703125" style="1605" customWidth="1"/>
    <col min="10760" max="10760" width="15.5703125" style="1605" customWidth="1"/>
    <col min="10761" max="10761" width="12" style="1605" customWidth="1"/>
    <col min="10762" max="10762" width="6.5703125" style="1605" customWidth="1"/>
    <col min="10763" max="10763" width="13.5703125" style="1605" customWidth="1"/>
    <col min="10764" max="11008" width="8.85546875" style="1605"/>
    <col min="11009" max="11009" width="10" style="1605" customWidth="1"/>
    <col min="11010" max="11010" width="20.5703125" style="1605" customWidth="1"/>
    <col min="11011" max="11011" width="2.5703125" style="1605" customWidth="1"/>
    <col min="11012" max="11012" width="18.5703125" style="1605" customWidth="1"/>
    <col min="11013" max="11015" width="9.5703125" style="1605" customWidth="1"/>
    <col min="11016" max="11016" width="15.5703125" style="1605" customWidth="1"/>
    <col min="11017" max="11017" width="12" style="1605" customWidth="1"/>
    <col min="11018" max="11018" width="6.5703125" style="1605" customWidth="1"/>
    <col min="11019" max="11019" width="13.5703125" style="1605" customWidth="1"/>
    <col min="11020" max="11264" width="8.85546875" style="1605"/>
    <col min="11265" max="11265" width="10" style="1605" customWidth="1"/>
    <col min="11266" max="11266" width="20.5703125" style="1605" customWidth="1"/>
    <col min="11267" max="11267" width="2.5703125" style="1605" customWidth="1"/>
    <col min="11268" max="11268" width="18.5703125" style="1605" customWidth="1"/>
    <col min="11269" max="11271" width="9.5703125" style="1605" customWidth="1"/>
    <col min="11272" max="11272" width="15.5703125" style="1605" customWidth="1"/>
    <col min="11273" max="11273" width="12" style="1605" customWidth="1"/>
    <col min="11274" max="11274" width="6.5703125" style="1605" customWidth="1"/>
    <col min="11275" max="11275" width="13.5703125" style="1605" customWidth="1"/>
    <col min="11276" max="11520" width="8.85546875" style="1605"/>
    <col min="11521" max="11521" width="10" style="1605" customWidth="1"/>
    <col min="11522" max="11522" width="20.5703125" style="1605" customWidth="1"/>
    <col min="11523" max="11523" width="2.5703125" style="1605" customWidth="1"/>
    <col min="11524" max="11524" width="18.5703125" style="1605" customWidth="1"/>
    <col min="11525" max="11527" width="9.5703125" style="1605" customWidth="1"/>
    <col min="11528" max="11528" width="15.5703125" style="1605" customWidth="1"/>
    <col min="11529" max="11529" width="12" style="1605" customWidth="1"/>
    <col min="11530" max="11530" width="6.5703125" style="1605" customWidth="1"/>
    <col min="11531" max="11531" width="13.5703125" style="1605" customWidth="1"/>
    <col min="11532" max="11776" width="8.85546875" style="1605"/>
    <col min="11777" max="11777" width="10" style="1605" customWidth="1"/>
    <col min="11778" max="11778" width="20.5703125" style="1605" customWidth="1"/>
    <col min="11779" max="11779" width="2.5703125" style="1605" customWidth="1"/>
    <col min="11780" max="11780" width="18.5703125" style="1605" customWidth="1"/>
    <col min="11781" max="11783" width="9.5703125" style="1605" customWidth="1"/>
    <col min="11784" max="11784" width="15.5703125" style="1605" customWidth="1"/>
    <col min="11785" max="11785" width="12" style="1605" customWidth="1"/>
    <col min="11786" max="11786" width="6.5703125" style="1605" customWidth="1"/>
    <col min="11787" max="11787" width="13.5703125" style="1605" customWidth="1"/>
    <col min="11788" max="12032" width="8.85546875" style="1605"/>
    <col min="12033" max="12033" width="10" style="1605" customWidth="1"/>
    <col min="12034" max="12034" width="20.5703125" style="1605" customWidth="1"/>
    <col min="12035" max="12035" width="2.5703125" style="1605" customWidth="1"/>
    <col min="12036" max="12036" width="18.5703125" style="1605" customWidth="1"/>
    <col min="12037" max="12039" width="9.5703125" style="1605" customWidth="1"/>
    <col min="12040" max="12040" width="15.5703125" style="1605" customWidth="1"/>
    <col min="12041" max="12041" width="12" style="1605" customWidth="1"/>
    <col min="12042" max="12042" width="6.5703125" style="1605" customWidth="1"/>
    <col min="12043" max="12043" width="13.5703125" style="1605" customWidth="1"/>
    <col min="12044" max="12288" width="8.85546875" style="1605"/>
    <col min="12289" max="12289" width="10" style="1605" customWidth="1"/>
    <col min="12290" max="12290" width="20.5703125" style="1605" customWidth="1"/>
    <col min="12291" max="12291" width="2.5703125" style="1605" customWidth="1"/>
    <col min="12292" max="12292" width="18.5703125" style="1605" customWidth="1"/>
    <col min="12293" max="12295" width="9.5703125" style="1605" customWidth="1"/>
    <col min="12296" max="12296" width="15.5703125" style="1605" customWidth="1"/>
    <col min="12297" max="12297" width="12" style="1605" customWidth="1"/>
    <col min="12298" max="12298" width="6.5703125" style="1605" customWidth="1"/>
    <col min="12299" max="12299" width="13.5703125" style="1605" customWidth="1"/>
    <col min="12300" max="12544" width="8.85546875" style="1605"/>
    <col min="12545" max="12545" width="10" style="1605" customWidth="1"/>
    <col min="12546" max="12546" width="20.5703125" style="1605" customWidth="1"/>
    <col min="12547" max="12547" width="2.5703125" style="1605" customWidth="1"/>
    <col min="12548" max="12548" width="18.5703125" style="1605" customWidth="1"/>
    <col min="12549" max="12551" width="9.5703125" style="1605" customWidth="1"/>
    <col min="12552" max="12552" width="15.5703125" style="1605" customWidth="1"/>
    <col min="12553" max="12553" width="12" style="1605" customWidth="1"/>
    <col min="12554" max="12554" width="6.5703125" style="1605" customWidth="1"/>
    <col min="12555" max="12555" width="13.5703125" style="1605" customWidth="1"/>
    <col min="12556" max="12800" width="8.85546875" style="1605"/>
    <col min="12801" max="12801" width="10" style="1605" customWidth="1"/>
    <col min="12802" max="12802" width="20.5703125" style="1605" customWidth="1"/>
    <col min="12803" max="12803" width="2.5703125" style="1605" customWidth="1"/>
    <col min="12804" max="12804" width="18.5703125" style="1605" customWidth="1"/>
    <col min="12805" max="12807" width="9.5703125" style="1605" customWidth="1"/>
    <col min="12808" max="12808" width="15.5703125" style="1605" customWidth="1"/>
    <col min="12809" max="12809" width="12" style="1605" customWidth="1"/>
    <col min="12810" max="12810" width="6.5703125" style="1605" customWidth="1"/>
    <col min="12811" max="12811" width="13.5703125" style="1605" customWidth="1"/>
    <col min="12812" max="13056" width="8.85546875" style="1605"/>
    <col min="13057" max="13057" width="10" style="1605" customWidth="1"/>
    <col min="13058" max="13058" width="20.5703125" style="1605" customWidth="1"/>
    <col min="13059" max="13059" width="2.5703125" style="1605" customWidth="1"/>
    <col min="13060" max="13060" width="18.5703125" style="1605" customWidth="1"/>
    <col min="13061" max="13063" width="9.5703125" style="1605" customWidth="1"/>
    <col min="13064" max="13064" width="15.5703125" style="1605" customWidth="1"/>
    <col min="13065" max="13065" width="12" style="1605" customWidth="1"/>
    <col min="13066" max="13066" width="6.5703125" style="1605" customWidth="1"/>
    <col min="13067" max="13067" width="13.5703125" style="1605" customWidth="1"/>
    <col min="13068" max="13312" width="8.85546875" style="1605"/>
    <col min="13313" max="13313" width="10" style="1605" customWidth="1"/>
    <col min="13314" max="13314" width="20.5703125" style="1605" customWidth="1"/>
    <col min="13315" max="13315" width="2.5703125" style="1605" customWidth="1"/>
    <col min="13316" max="13316" width="18.5703125" style="1605" customWidth="1"/>
    <col min="13317" max="13319" width="9.5703125" style="1605" customWidth="1"/>
    <col min="13320" max="13320" width="15.5703125" style="1605" customWidth="1"/>
    <col min="13321" max="13321" width="12" style="1605" customWidth="1"/>
    <col min="13322" max="13322" width="6.5703125" style="1605" customWidth="1"/>
    <col min="13323" max="13323" width="13.5703125" style="1605" customWidth="1"/>
    <col min="13324" max="13568" width="8.85546875" style="1605"/>
    <col min="13569" max="13569" width="10" style="1605" customWidth="1"/>
    <col min="13570" max="13570" width="20.5703125" style="1605" customWidth="1"/>
    <col min="13571" max="13571" width="2.5703125" style="1605" customWidth="1"/>
    <col min="13572" max="13572" width="18.5703125" style="1605" customWidth="1"/>
    <col min="13573" max="13575" width="9.5703125" style="1605" customWidth="1"/>
    <col min="13576" max="13576" width="15.5703125" style="1605" customWidth="1"/>
    <col min="13577" max="13577" width="12" style="1605" customWidth="1"/>
    <col min="13578" max="13578" width="6.5703125" style="1605" customWidth="1"/>
    <col min="13579" max="13579" width="13.5703125" style="1605" customWidth="1"/>
    <col min="13580" max="13824" width="8.85546875" style="1605"/>
    <col min="13825" max="13825" width="10" style="1605" customWidth="1"/>
    <col min="13826" max="13826" width="20.5703125" style="1605" customWidth="1"/>
    <col min="13827" max="13827" width="2.5703125" style="1605" customWidth="1"/>
    <col min="13828" max="13828" width="18.5703125" style="1605" customWidth="1"/>
    <col min="13829" max="13831" width="9.5703125" style="1605" customWidth="1"/>
    <col min="13832" max="13832" width="15.5703125" style="1605" customWidth="1"/>
    <col min="13833" max="13833" width="12" style="1605" customWidth="1"/>
    <col min="13834" max="13834" width="6.5703125" style="1605" customWidth="1"/>
    <col min="13835" max="13835" width="13.5703125" style="1605" customWidth="1"/>
    <col min="13836" max="14080" width="8.85546875" style="1605"/>
    <col min="14081" max="14081" width="10" style="1605" customWidth="1"/>
    <col min="14082" max="14082" width="20.5703125" style="1605" customWidth="1"/>
    <col min="14083" max="14083" width="2.5703125" style="1605" customWidth="1"/>
    <col min="14084" max="14084" width="18.5703125" style="1605" customWidth="1"/>
    <col min="14085" max="14087" width="9.5703125" style="1605" customWidth="1"/>
    <col min="14088" max="14088" width="15.5703125" style="1605" customWidth="1"/>
    <col min="14089" max="14089" width="12" style="1605" customWidth="1"/>
    <col min="14090" max="14090" width="6.5703125" style="1605" customWidth="1"/>
    <col min="14091" max="14091" width="13.5703125" style="1605" customWidth="1"/>
    <col min="14092" max="14336" width="8.85546875" style="1605"/>
    <col min="14337" max="14337" width="10" style="1605" customWidth="1"/>
    <col min="14338" max="14338" width="20.5703125" style="1605" customWidth="1"/>
    <col min="14339" max="14339" width="2.5703125" style="1605" customWidth="1"/>
    <col min="14340" max="14340" width="18.5703125" style="1605" customWidth="1"/>
    <col min="14341" max="14343" width="9.5703125" style="1605" customWidth="1"/>
    <col min="14344" max="14344" width="15.5703125" style="1605" customWidth="1"/>
    <col min="14345" max="14345" width="12" style="1605" customWidth="1"/>
    <col min="14346" max="14346" width="6.5703125" style="1605" customWidth="1"/>
    <col min="14347" max="14347" width="13.5703125" style="1605" customWidth="1"/>
    <col min="14348" max="14592" width="8.85546875" style="1605"/>
    <col min="14593" max="14593" width="10" style="1605" customWidth="1"/>
    <col min="14594" max="14594" width="20.5703125" style="1605" customWidth="1"/>
    <col min="14595" max="14595" width="2.5703125" style="1605" customWidth="1"/>
    <col min="14596" max="14596" width="18.5703125" style="1605" customWidth="1"/>
    <col min="14597" max="14599" width="9.5703125" style="1605" customWidth="1"/>
    <col min="14600" max="14600" width="15.5703125" style="1605" customWidth="1"/>
    <col min="14601" max="14601" width="12" style="1605" customWidth="1"/>
    <col min="14602" max="14602" width="6.5703125" style="1605" customWidth="1"/>
    <col min="14603" max="14603" width="13.5703125" style="1605" customWidth="1"/>
    <col min="14604" max="14848" width="8.85546875" style="1605"/>
    <col min="14849" max="14849" width="10" style="1605" customWidth="1"/>
    <col min="14850" max="14850" width="20.5703125" style="1605" customWidth="1"/>
    <col min="14851" max="14851" width="2.5703125" style="1605" customWidth="1"/>
    <col min="14852" max="14852" width="18.5703125" style="1605" customWidth="1"/>
    <col min="14853" max="14855" width="9.5703125" style="1605" customWidth="1"/>
    <col min="14856" max="14856" width="15.5703125" style="1605" customWidth="1"/>
    <col min="14857" max="14857" width="12" style="1605" customWidth="1"/>
    <col min="14858" max="14858" width="6.5703125" style="1605" customWidth="1"/>
    <col min="14859" max="14859" width="13.5703125" style="1605" customWidth="1"/>
    <col min="14860" max="15104" width="8.85546875" style="1605"/>
    <col min="15105" max="15105" width="10" style="1605" customWidth="1"/>
    <col min="15106" max="15106" width="20.5703125" style="1605" customWidth="1"/>
    <col min="15107" max="15107" width="2.5703125" style="1605" customWidth="1"/>
    <col min="15108" max="15108" width="18.5703125" style="1605" customWidth="1"/>
    <col min="15109" max="15111" width="9.5703125" style="1605" customWidth="1"/>
    <col min="15112" max="15112" width="15.5703125" style="1605" customWidth="1"/>
    <col min="15113" max="15113" width="12" style="1605" customWidth="1"/>
    <col min="15114" max="15114" width="6.5703125" style="1605" customWidth="1"/>
    <col min="15115" max="15115" width="13.5703125" style="1605" customWidth="1"/>
    <col min="15116" max="15360" width="8.85546875" style="1605"/>
    <col min="15361" max="15361" width="10" style="1605" customWidth="1"/>
    <col min="15362" max="15362" width="20.5703125" style="1605" customWidth="1"/>
    <col min="15363" max="15363" width="2.5703125" style="1605" customWidth="1"/>
    <col min="15364" max="15364" width="18.5703125" style="1605" customWidth="1"/>
    <col min="15365" max="15367" width="9.5703125" style="1605" customWidth="1"/>
    <col min="15368" max="15368" width="15.5703125" style="1605" customWidth="1"/>
    <col min="15369" max="15369" width="12" style="1605" customWidth="1"/>
    <col min="15370" max="15370" width="6.5703125" style="1605" customWidth="1"/>
    <col min="15371" max="15371" width="13.5703125" style="1605" customWidth="1"/>
    <col min="15372" max="15616" width="8.85546875" style="1605"/>
    <col min="15617" max="15617" width="10" style="1605" customWidth="1"/>
    <col min="15618" max="15618" width="20.5703125" style="1605" customWidth="1"/>
    <col min="15619" max="15619" width="2.5703125" style="1605" customWidth="1"/>
    <col min="15620" max="15620" width="18.5703125" style="1605" customWidth="1"/>
    <col min="15621" max="15623" width="9.5703125" style="1605" customWidth="1"/>
    <col min="15624" max="15624" width="15.5703125" style="1605" customWidth="1"/>
    <col min="15625" max="15625" width="12" style="1605" customWidth="1"/>
    <col min="15626" max="15626" width="6.5703125" style="1605" customWidth="1"/>
    <col min="15627" max="15627" width="13.5703125" style="1605" customWidth="1"/>
    <col min="15628" max="15872" width="8.85546875" style="1605"/>
    <col min="15873" max="15873" width="10" style="1605" customWidth="1"/>
    <col min="15874" max="15874" width="20.5703125" style="1605" customWidth="1"/>
    <col min="15875" max="15875" width="2.5703125" style="1605" customWidth="1"/>
    <col min="15876" max="15876" width="18.5703125" style="1605" customWidth="1"/>
    <col min="15877" max="15879" width="9.5703125" style="1605" customWidth="1"/>
    <col min="15880" max="15880" width="15.5703125" style="1605" customWidth="1"/>
    <col min="15881" max="15881" width="12" style="1605" customWidth="1"/>
    <col min="15882" max="15882" width="6.5703125" style="1605" customWidth="1"/>
    <col min="15883" max="15883" width="13.5703125" style="1605" customWidth="1"/>
    <col min="15884" max="16128" width="8.85546875" style="1605"/>
    <col min="16129" max="16129" width="10" style="1605" customWidth="1"/>
    <col min="16130" max="16130" width="20.5703125" style="1605" customWidth="1"/>
    <col min="16131" max="16131" width="2.5703125" style="1605" customWidth="1"/>
    <col min="16132" max="16132" width="18.5703125" style="1605" customWidth="1"/>
    <col min="16133" max="16135" width="9.5703125" style="1605" customWidth="1"/>
    <col min="16136" max="16136" width="15.5703125" style="1605" customWidth="1"/>
    <col min="16137" max="16137" width="12" style="1605" customWidth="1"/>
    <col min="16138" max="16138" width="6.5703125" style="1605" customWidth="1"/>
    <col min="16139" max="16139" width="13.5703125" style="1605" customWidth="1"/>
    <col min="16140" max="16384" width="8.85546875" style="1605"/>
  </cols>
  <sheetData>
    <row r="6" spans="1:11">
      <c r="A6" s="1653" t="s">
        <v>1919</v>
      </c>
      <c r="B6" s="1653"/>
      <c r="C6" s="1653"/>
      <c r="D6" s="1653"/>
      <c r="E6" s="1653"/>
      <c r="F6" s="1653"/>
      <c r="G6" s="1653"/>
      <c r="H6" s="1653"/>
      <c r="I6" s="1654" t="s">
        <v>1920</v>
      </c>
      <c r="J6" s="1604"/>
    </row>
    <row r="7" spans="1:11">
      <c r="A7" s="1653" t="s">
        <v>1921</v>
      </c>
      <c r="B7" s="1655"/>
      <c r="C7" s="1655"/>
      <c r="D7" s="1655"/>
      <c r="E7" s="1655"/>
      <c r="F7" s="1655"/>
      <c r="G7" s="1655"/>
      <c r="H7" s="1655"/>
      <c r="I7" s="1654" t="s">
        <v>1922</v>
      </c>
      <c r="J7" s="1604"/>
    </row>
    <row r="8" spans="1:11">
      <c r="A8" s="1653" t="s">
        <v>1923</v>
      </c>
      <c r="B8" s="1655"/>
      <c r="C8" s="1655"/>
      <c r="D8" s="1655"/>
      <c r="E8" s="1655"/>
      <c r="F8" s="1655"/>
      <c r="G8" s="1655"/>
      <c r="H8" s="1655"/>
      <c r="I8" s="1655"/>
      <c r="J8" s="1604"/>
    </row>
    <row r="9" spans="1:11">
      <c r="A9" s="1653" t="s">
        <v>1924</v>
      </c>
      <c r="B9" s="1655"/>
      <c r="C9" s="1655"/>
      <c r="D9" s="1655"/>
      <c r="E9" s="1655"/>
      <c r="F9" s="1655"/>
      <c r="G9" s="1655"/>
      <c r="H9" s="1655"/>
      <c r="I9" s="1655"/>
      <c r="J9" s="1604"/>
    </row>
    <row r="10" spans="1:11" ht="13" customHeight="1" thickBot="1">
      <c r="A10" s="1602"/>
      <c r="B10" s="1602"/>
      <c r="C10" s="1602"/>
      <c r="D10" s="1602"/>
      <c r="E10" s="1602"/>
      <c r="F10" s="1602"/>
      <c r="G10" s="1602"/>
      <c r="H10" s="1602"/>
      <c r="I10" s="1602"/>
      <c r="J10" s="1606"/>
    </row>
    <row r="11" spans="1:11" ht="16" customHeight="1" thickTop="1">
      <c r="A11" s="1607" t="s">
        <v>1450</v>
      </c>
      <c r="B11" s="1608"/>
      <c r="C11" s="1608"/>
      <c r="D11" s="1608"/>
      <c r="E11" s="1608"/>
      <c r="F11" s="1608"/>
      <c r="G11" s="1608"/>
      <c r="H11" s="1608"/>
      <c r="I11" s="1608"/>
      <c r="J11" s="1609"/>
    </row>
    <row r="12" spans="1:11" ht="14" customHeight="1" thickBot="1">
      <c r="A12" s="1610" t="s">
        <v>2598</v>
      </c>
      <c r="B12" s="1602"/>
      <c r="C12" s="1602"/>
      <c r="D12" s="1602"/>
      <c r="E12" s="1602"/>
      <c r="F12" s="1602"/>
      <c r="G12" s="1602"/>
      <c r="H12" s="1602"/>
      <c r="I12" s="1602"/>
      <c r="J12" s="1609"/>
    </row>
    <row r="13" spans="1:11" ht="14" customHeight="1" thickTop="1">
      <c r="A13" s="1611"/>
      <c r="B13" s="1612"/>
      <c r="C13" s="1612"/>
      <c r="D13" s="1612"/>
      <c r="E13" s="1612"/>
      <c r="F13" s="1612"/>
      <c r="G13" s="1612"/>
      <c r="H13" s="1612"/>
      <c r="I13" s="1612"/>
      <c r="J13" s="1613"/>
    </row>
    <row r="14" spans="1:11">
      <c r="A14" s="1603" t="s">
        <v>1451</v>
      </c>
      <c r="B14" s="1602"/>
      <c r="C14" s="1602"/>
      <c r="D14" s="1602"/>
      <c r="E14" s="1603"/>
      <c r="F14" s="1603"/>
      <c r="G14" s="1603"/>
      <c r="H14" s="1602"/>
      <c r="I14" s="1602"/>
      <c r="J14" s="1614"/>
    </row>
    <row r="15" spans="1:11" ht="8.25" customHeight="1">
      <c r="J15" s="1614"/>
    </row>
    <row r="16" spans="1:11" ht="5" customHeight="1">
      <c r="A16" s="1615"/>
      <c r="B16" s="1616"/>
      <c r="C16" s="1616"/>
      <c r="D16" s="1616"/>
      <c r="E16" s="1616"/>
      <c r="F16" s="1616"/>
      <c r="G16" s="1616"/>
      <c r="H16" s="1616"/>
      <c r="I16" s="1616"/>
      <c r="J16" s="1617"/>
      <c r="K16" s="1616"/>
    </row>
    <row r="17" spans="1:255" ht="12.75" customHeight="1">
      <c r="A17" s="1615" t="s">
        <v>1455</v>
      </c>
      <c r="B17" s="1618"/>
      <c r="C17" s="1618"/>
      <c r="D17" s="1625"/>
      <c r="E17" s="1625"/>
      <c r="F17" s="1625"/>
      <c r="G17" s="1625"/>
      <c r="H17" s="1625"/>
      <c r="I17" s="1625"/>
      <c r="J17" s="1620"/>
      <c r="K17" s="1616"/>
    </row>
    <row r="18" spans="1:255" ht="6" customHeight="1">
      <c r="B18" s="1618"/>
      <c r="C18" s="1618"/>
      <c r="D18" s="1618"/>
      <c r="E18" s="1618"/>
      <c r="F18" s="1618"/>
      <c r="G18" s="1618"/>
      <c r="H18" s="1618"/>
      <c r="I18" s="1618"/>
      <c r="J18" s="1620"/>
      <c r="K18" s="1616"/>
    </row>
    <row r="19" spans="1:255" ht="13" customHeight="1">
      <c r="A19" s="1615"/>
      <c r="B19" s="1637" t="s">
        <v>1456</v>
      </c>
      <c r="D19" s="1627" t="s">
        <v>1457</v>
      </c>
      <c r="E19" s="1618"/>
      <c r="F19" s="1618"/>
      <c r="G19" s="1618"/>
      <c r="H19" s="1618"/>
      <c r="I19" s="1618"/>
      <c r="J19" s="1620">
        <v>64</v>
      </c>
      <c r="K19" s="1616"/>
    </row>
    <row r="20" spans="1:255" ht="13" customHeight="1">
      <c r="A20" s="1615"/>
      <c r="B20" s="1637" t="s">
        <v>1458</v>
      </c>
      <c r="D20" s="1626" t="s">
        <v>1459</v>
      </c>
      <c r="E20" s="1622"/>
      <c r="F20" s="1622"/>
      <c r="G20" s="1622"/>
      <c r="H20" s="1622"/>
      <c r="I20" s="1622"/>
      <c r="J20" s="1620">
        <v>65</v>
      </c>
      <c r="K20" s="1616"/>
    </row>
    <row r="21" spans="1:255" ht="13" customHeight="1">
      <c r="A21" s="1615"/>
      <c r="B21" s="1637" t="s">
        <v>1460</v>
      </c>
      <c r="D21" s="1626" t="s">
        <v>1459</v>
      </c>
      <c r="E21" s="1622"/>
      <c r="F21" s="1622"/>
      <c r="G21" s="1622"/>
      <c r="H21" s="1622"/>
      <c r="I21" s="1622"/>
      <c r="J21" s="1620">
        <v>66</v>
      </c>
      <c r="K21" s="1616"/>
    </row>
    <row r="22" spans="1:255" ht="13" customHeight="1">
      <c r="A22" s="1615"/>
      <c r="B22" s="1637" t="s">
        <v>1461</v>
      </c>
      <c r="D22" s="1626" t="s">
        <v>2599</v>
      </c>
      <c r="E22" s="1622"/>
      <c r="F22" s="1622"/>
      <c r="G22" s="1622"/>
      <c r="H22" s="1622"/>
      <c r="I22" s="1622"/>
      <c r="J22" s="1620">
        <v>68</v>
      </c>
      <c r="K22" s="1616"/>
    </row>
    <row r="23" spans="1:255" ht="13" customHeight="1">
      <c r="A23" s="1615"/>
      <c r="B23" s="1637" t="s">
        <v>1462</v>
      </c>
      <c r="D23" s="1626" t="s">
        <v>1463</v>
      </c>
      <c r="E23" s="1622"/>
      <c r="F23" s="1622"/>
      <c r="G23" s="1622"/>
      <c r="H23" s="1622"/>
      <c r="I23" s="1622"/>
      <c r="J23" s="1620">
        <v>69</v>
      </c>
      <c r="K23" s="1616"/>
    </row>
    <row r="24" spans="1:255" ht="13" customHeight="1">
      <c r="A24" s="1615"/>
      <c r="B24" s="1637" t="s">
        <v>1464</v>
      </c>
      <c r="D24" s="1626" t="s">
        <v>2600</v>
      </c>
      <c r="E24" s="1624"/>
      <c r="F24" s="1624"/>
      <c r="G24" s="1624"/>
      <c r="H24" s="1624"/>
      <c r="I24" s="1624"/>
      <c r="J24" s="1620">
        <v>71</v>
      </c>
      <c r="K24" s="1616"/>
    </row>
    <row r="25" spans="1:255" ht="13" customHeight="1">
      <c r="A25" s="1615"/>
      <c r="B25" s="1637" t="s">
        <v>1465</v>
      </c>
      <c r="D25" s="1628" t="s">
        <v>2601</v>
      </c>
      <c r="E25" s="1621"/>
      <c r="F25" s="1621"/>
      <c r="G25" s="1621"/>
      <c r="H25" s="1621"/>
      <c r="I25" s="1621"/>
      <c r="J25" s="1620">
        <v>74</v>
      </c>
      <c r="K25" s="1616"/>
    </row>
    <row r="26" spans="1:255" ht="13" customHeight="1">
      <c r="A26" s="1615"/>
      <c r="B26" s="1637" t="s">
        <v>1466</v>
      </c>
      <c r="D26" s="1629" t="s">
        <v>1965</v>
      </c>
      <c r="E26" s="1625"/>
      <c r="F26" s="1625"/>
      <c r="G26" s="1625"/>
      <c r="H26" s="1625"/>
      <c r="I26" s="1625"/>
      <c r="J26" s="1620">
        <v>75</v>
      </c>
      <c r="K26" s="1616"/>
    </row>
    <row r="27" spans="1:255" ht="13" customHeight="1">
      <c r="A27" s="1615"/>
      <c r="B27" s="1618"/>
      <c r="D27" s="1630" t="s">
        <v>2602</v>
      </c>
      <c r="E27" s="1619"/>
      <c r="F27" s="1619"/>
      <c r="G27" s="1619"/>
      <c r="H27" s="1619"/>
      <c r="I27" s="1619"/>
      <c r="J27" s="1620"/>
      <c r="K27" s="1616"/>
    </row>
    <row r="28" spans="1:255" ht="13" customHeight="1">
      <c r="A28" s="1615"/>
      <c r="B28" s="1637" t="s">
        <v>1468</v>
      </c>
      <c r="C28" s="1631"/>
      <c r="D28" s="1619" t="s">
        <v>2691</v>
      </c>
      <c r="E28" s="1853"/>
      <c r="F28" s="1853"/>
      <c r="G28" s="1853"/>
      <c r="H28" s="1853"/>
      <c r="I28" s="1853"/>
      <c r="J28" s="1620">
        <v>78</v>
      </c>
      <c r="K28" s="1616"/>
    </row>
    <row r="29" spans="1:255" ht="1.5" customHeight="1">
      <c r="J29" s="1614"/>
      <c r="K29" s="1616"/>
    </row>
    <row r="30" spans="1:255" ht="6" customHeight="1">
      <c r="A30" s="1615"/>
      <c r="B30" s="1618"/>
      <c r="C30" s="1631"/>
      <c r="D30" s="1625"/>
      <c r="E30" s="1625"/>
      <c r="F30" s="1625"/>
      <c r="G30" s="1625"/>
      <c r="H30" s="1625"/>
      <c r="I30" s="1625"/>
      <c r="J30" s="1620"/>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c r="AN30" s="1616"/>
      <c r="AO30" s="1616"/>
      <c r="AP30" s="1616"/>
      <c r="AQ30" s="1616"/>
      <c r="AR30" s="1616"/>
      <c r="AS30" s="1616"/>
      <c r="AT30" s="1616"/>
      <c r="AU30" s="1616"/>
      <c r="AV30" s="1616"/>
      <c r="AW30" s="1616"/>
      <c r="AX30" s="1616"/>
      <c r="AY30" s="1616"/>
      <c r="AZ30" s="1616"/>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c r="CF30" s="1616"/>
      <c r="CG30" s="1616"/>
      <c r="CH30" s="1616"/>
      <c r="CI30" s="1616"/>
      <c r="CJ30" s="1616"/>
      <c r="CK30" s="1616"/>
      <c r="CL30" s="1616"/>
      <c r="CM30" s="1616"/>
      <c r="CN30" s="1616"/>
      <c r="CO30" s="1616"/>
      <c r="CP30" s="1616"/>
      <c r="CQ30" s="1616"/>
      <c r="CR30" s="1616"/>
      <c r="CS30" s="1616"/>
      <c r="CT30" s="1616"/>
      <c r="CU30" s="1616"/>
      <c r="CV30" s="1616"/>
      <c r="CW30" s="1616"/>
      <c r="CX30" s="1616"/>
      <c r="CY30" s="1616"/>
      <c r="CZ30" s="1616"/>
      <c r="DA30" s="1616"/>
      <c r="DB30" s="1616"/>
      <c r="DC30" s="1616"/>
      <c r="DD30" s="1616"/>
      <c r="DE30" s="1616"/>
      <c r="DF30" s="1616"/>
      <c r="DG30" s="1616"/>
      <c r="DH30" s="1616"/>
      <c r="DI30" s="1616"/>
      <c r="DJ30" s="1616"/>
      <c r="DK30" s="1616"/>
      <c r="DL30" s="1616"/>
      <c r="DM30" s="1616"/>
      <c r="DN30" s="1616"/>
      <c r="DO30" s="1616"/>
      <c r="DP30" s="1616"/>
      <c r="DQ30" s="1616"/>
      <c r="DR30" s="1616"/>
      <c r="DS30" s="1616"/>
      <c r="DT30" s="1616"/>
      <c r="DU30" s="1616"/>
      <c r="DV30" s="1616"/>
      <c r="DW30" s="1616"/>
      <c r="DX30" s="1616"/>
      <c r="DY30" s="1616"/>
      <c r="DZ30" s="1616"/>
      <c r="EA30" s="1616"/>
      <c r="EB30" s="1616"/>
      <c r="EC30" s="1616"/>
      <c r="ED30" s="1616"/>
      <c r="EE30" s="1616"/>
      <c r="EF30" s="1616"/>
      <c r="EG30" s="1616"/>
      <c r="EH30" s="1616"/>
      <c r="EI30" s="1616"/>
      <c r="EJ30" s="1616"/>
      <c r="EK30" s="1616"/>
      <c r="EL30" s="1616"/>
      <c r="EM30" s="1616"/>
      <c r="EN30" s="1616"/>
      <c r="EO30" s="1616"/>
      <c r="EP30" s="1616"/>
      <c r="EQ30" s="1616"/>
      <c r="ER30" s="1616"/>
      <c r="ES30" s="1616"/>
      <c r="ET30" s="1616"/>
      <c r="EU30" s="1616"/>
      <c r="EV30" s="1616"/>
      <c r="EW30" s="1616"/>
      <c r="EX30" s="1616"/>
      <c r="EY30" s="1616"/>
      <c r="EZ30" s="1616"/>
      <c r="FA30" s="1616"/>
      <c r="FB30" s="1616"/>
      <c r="FC30" s="1616"/>
      <c r="FD30" s="1616"/>
      <c r="FE30" s="1616"/>
      <c r="FF30" s="1616"/>
      <c r="FG30" s="1616"/>
      <c r="FH30" s="1616"/>
      <c r="FI30" s="1616"/>
      <c r="FJ30" s="1616"/>
      <c r="FK30" s="1616"/>
      <c r="FL30" s="1616"/>
      <c r="FM30" s="1616"/>
      <c r="FN30" s="1616"/>
      <c r="FO30" s="1616"/>
      <c r="FP30" s="1616"/>
      <c r="FQ30" s="1616"/>
      <c r="FR30" s="1616"/>
      <c r="FS30" s="1616"/>
      <c r="FT30" s="1616"/>
      <c r="FU30" s="1616"/>
      <c r="FV30" s="1616"/>
      <c r="FW30" s="1616"/>
      <c r="FX30" s="1616"/>
      <c r="FY30" s="1616"/>
      <c r="FZ30" s="1616"/>
      <c r="GA30" s="1616"/>
      <c r="GB30" s="1616"/>
      <c r="GC30" s="1616"/>
      <c r="GD30" s="1616"/>
      <c r="GE30" s="1616"/>
      <c r="GF30" s="1616"/>
      <c r="GG30" s="1616"/>
      <c r="GH30" s="1616"/>
      <c r="GI30" s="1616"/>
      <c r="GJ30" s="1616"/>
      <c r="GK30" s="1616"/>
      <c r="GL30" s="1616"/>
      <c r="GM30" s="1616"/>
      <c r="GN30" s="1616"/>
      <c r="GO30" s="1616"/>
      <c r="GP30" s="1616"/>
      <c r="GQ30" s="1616"/>
      <c r="GR30" s="1616"/>
      <c r="GS30" s="1616"/>
      <c r="GT30" s="1616"/>
      <c r="GU30" s="1616"/>
      <c r="GV30" s="1616"/>
      <c r="GW30" s="1616"/>
      <c r="GX30" s="1616"/>
      <c r="GY30" s="1616"/>
      <c r="GZ30" s="1616"/>
      <c r="HA30" s="1616"/>
      <c r="HB30" s="1616"/>
      <c r="HC30" s="1616"/>
      <c r="HD30" s="1616"/>
      <c r="HE30" s="1616"/>
      <c r="HF30" s="1616"/>
      <c r="HG30" s="1616"/>
      <c r="HH30" s="1616"/>
      <c r="HI30" s="1616"/>
      <c r="HJ30" s="1616"/>
      <c r="HK30" s="1616"/>
      <c r="HL30" s="1616"/>
      <c r="HM30" s="1616"/>
      <c r="HN30" s="1616"/>
      <c r="HO30" s="1616"/>
      <c r="HP30" s="1616"/>
      <c r="HQ30" s="1616"/>
      <c r="HR30" s="1616"/>
      <c r="HS30" s="1616"/>
      <c r="HT30" s="1616"/>
      <c r="HU30" s="1616"/>
      <c r="HV30" s="1616"/>
      <c r="HW30" s="1616"/>
      <c r="HX30" s="1616"/>
      <c r="HY30" s="1616"/>
      <c r="HZ30" s="1616"/>
      <c r="IA30" s="1616"/>
      <c r="IB30" s="1616"/>
      <c r="IC30" s="1616"/>
      <c r="ID30" s="1616"/>
      <c r="IE30" s="1616"/>
      <c r="IF30" s="1616"/>
      <c r="IG30" s="1616"/>
      <c r="IH30" s="1616"/>
      <c r="II30" s="1616"/>
      <c r="IJ30" s="1616"/>
      <c r="IK30" s="1616"/>
      <c r="IL30" s="1616"/>
      <c r="IM30" s="1616"/>
      <c r="IN30" s="1616"/>
      <c r="IO30" s="1616"/>
      <c r="IP30" s="1616"/>
      <c r="IQ30" s="1616"/>
      <c r="IR30" s="1616"/>
      <c r="IS30" s="1616"/>
      <c r="IT30" s="1616"/>
      <c r="IU30" s="1616"/>
    </row>
    <row r="31" spans="1:255" ht="12.75" customHeight="1">
      <c r="A31" s="1615"/>
      <c r="B31" s="1618"/>
      <c r="C31" s="1631" t="s">
        <v>1469</v>
      </c>
      <c r="D31" s="1618"/>
      <c r="E31" s="1618"/>
      <c r="F31" s="1618"/>
      <c r="G31" s="1618"/>
      <c r="H31" s="1618"/>
      <c r="I31" s="1618"/>
      <c r="J31" s="1620"/>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c r="AI31" s="1616"/>
      <c r="AJ31" s="1616"/>
      <c r="AK31" s="1616"/>
      <c r="AL31" s="1616"/>
      <c r="AM31" s="1616"/>
      <c r="AN31" s="1616"/>
      <c r="AO31" s="1616"/>
      <c r="AP31" s="1616"/>
      <c r="AQ31" s="1616"/>
      <c r="AR31" s="1616"/>
      <c r="AS31" s="1616"/>
      <c r="AT31" s="1616"/>
      <c r="AU31" s="1616"/>
      <c r="AV31" s="1616"/>
      <c r="AW31" s="1616"/>
      <c r="AX31" s="1616"/>
      <c r="AY31" s="1616"/>
      <c r="AZ31" s="1616"/>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c r="CF31" s="1616"/>
      <c r="CG31" s="1616"/>
      <c r="CH31" s="1616"/>
      <c r="CI31" s="1616"/>
      <c r="CJ31" s="1616"/>
      <c r="CK31" s="1616"/>
      <c r="CL31" s="1616"/>
      <c r="CM31" s="1616"/>
      <c r="CN31" s="1616"/>
      <c r="CO31" s="1616"/>
      <c r="CP31" s="1616"/>
      <c r="CQ31" s="1616"/>
      <c r="CR31" s="1616"/>
      <c r="CS31" s="1616"/>
      <c r="CT31" s="1616"/>
      <c r="CU31" s="1616"/>
      <c r="CV31" s="1616"/>
      <c r="CW31" s="1616"/>
      <c r="CX31" s="1616"/>
      <c r="CY31" s="1616"/>
      <c r="CZ31" s="1616"/>
      <c r="DA31" s="1616"/>
      <c r="DB31" s="1616"/>
      <c r="DC31" s="1616"/>
      <c r="DD31" s="1616"/>
      <c r="DE31" s="1616"/>
      <c r="DF31" s="1616"/>
      <c r="DG31" s="1616"/>
      <c r="DH31" s="1616"/>
      <c r="DI31" s="1616"/>
      <c r="DJ31" s="1616"/>
      <c r="DK31" s="1616"/>
      <c r="DL31" s="1616"/>
      <c r="DM31" s="1616"/>
      <c r="DN31" s="1616"/>
      <c r="DO31" s="1616"/>
      <c r="DP31" s="1616"/>
      <c r="DQ31" s="1616"/>
      <c r="DR31" s="1616"/>
      <c r="DS31" s="1616"/>
      <c r="DT31" s="1616"/>
      <c r="DU31" s="1616"/>
      <c r="DV31" s="1616"/>
      <c r="DW31" s="1616"/>
      <c r="DX31" s="1616"/>
      <c r="DY31" s="1616"/>
      <c r="DZ31" s="1616"/>
      <c r="EA31" s="1616"/>
      <c r="EB31" s="1616"/>
      <c r="EC31" s="1616"/>
      <c r="ED31" s="1616"/>
      <c r="EE31" s="1616"/>
      <c r="EF31" s="1616"/>
      <c r="EG31" s="1616"/>
      <c r="EH31" s="1616"/>
      <c r="EI31" s="1616"/>
      <c r="EJ31" s="1616"/>
      <c r="EK31" s="1616"/>
      <c r="EL31" s="1616"/>
      <c r="EM31" s="1616"/>
      <c r="EN31" s="1616"/>
      <c r="EO31" s="1616"/>
      <c r="EP31" s="1616"/>
      <c r="EQ31" s="1616"/>
      <c r="ER31" s="1616"/>
      <c r="ES31" s="1616"/>
      <c r="ET31" s="1616"/>
      <c r="EU31" s="1616"/>
      <c r="EV31" s="1616"/>
      <c r="EW31" s="1616"/>
      <c r="EX31" s="1616"/>
      <c r="EY31" s="1616"/>
      <c r="EZ31" s="1616"/>
      <c r="FA31" s="1616"/>
      <c r="FB31" s="1616"/>
      <c r="FC31" s="1616"/>
      <c r="FD31" s="1616"/>
      <c r="FE31" s="1616"/>
      <c r="FF31" s="1616"/>
      <c r="FG31" s="1616"/>
      <c r="FH31" s="1616"/>
      <c r="FI31" s="1616"/>
      <c r="FJ31" s="1616"/>
      <c r="FK31" s="1616"/>
      <c r="FL31" s="1616"/>
      <c r="FM31" s="1616"/>
      <c r="FN31" s="1616"/>
      <c r="FO31" s="1616"/>
      <c r="FP31" s="1616"/>
      <c r="FQ31" s="1616"/>
      <c r="FR31" s="1616"/>
      <c r="FS31" s="1616"/>
      <c r="FT31" s="1616"/>
      <c r="FU31" s="1616"/>
      <c r="FV31" s="1616"/>
      <c r="FW31" s="1616"/>
      <c r="FX31" s="1616"/>
      <c r="FY31" s="1616"/>
      <c r="FZ31" s="1616"/>
      <c r="GA31" s="1616"/>
      <c r="GB31" s="1616"/>
      <c r="GC31" s="1616"/>
      <c r="GD31" s="1616"/>
      <c r="GE31" s="1616"/>
      <c r="GF31" s="1616"/>
      <c r="GG31" s="1616"/>
      <c r="GH31" s="1616"/>
      <c r="GI31" s="1616"/>
      <c r="GJ31" s="1616"/>
      <c r="GK31" s="1616"/>
      <c r="GL31" s="1616"/>
      <c r="GM31" s="1616"/>
      <c r="GN31" s="1616"/>
      <c r="GO31" s="1616"/>
      <c r="GP31" s="1616"/>
      <c r="GQ31" s="1616"/>
      <c r="GR31" s="1616"/>
      <c r="GS31" s="1616"/>
      <c r="GT31" s="1616"/>
      <c r="GU31" s="1616"/>
      <c r="GV31" s="1616"/>
      <c r="GW31" s="1616"/>
      <c r="GX31" s="1616"/>
      <c r="GY31" s="1616"/>
      <c r="GZ31" s="1616"/>
      <c r="HA31" s="1616"/>
      <c r="HB31" s="1616"/>
      <c r="HC31" s="1616"/>
      <c r="HD31" s="1616"/>
      <c r="HE31" s="1616"/>
      <c r="HF31" s="1616"/>
      <c r="HG31" s="1616"/>
      <c r="HH31" s="1616"/>
      <c r="HI31" s="1616"/>
      <c r="HJ31" s="1616"/>
      <c r="HK31" s="1616"/>
      <c r="HL31" s="1616"/>
      <c r="HM31" s="1616"/>
      <c r="HN31" s="1616"/>
      <c r="HO31" s="1616"/>
      <c r="HP31" s="1616"/>
      <c r="HQ31" s="1616"/>
      <c r="HR31" s="1616"/>
      <c r="HS31" s="1616"/>
      <c r="HT31" s="1616"/>
      <c r="HU31" s="1616"/>
      <c r="HV31" s="1616"/>
      <c r="HW31" s="1616"/>
      <c r="HX31" s="1616"/>
      <c r="HY31" s="1616"/>
      <c r="HZ31" s="1616"/>
      <c r="IA31" s="1616"/>
      <c r="IB31" s="1616"/>
      <c r="IC31" s="1616"/>
      <c r="ID31" s="1616"/>
      <c r="IE31" s="1616"/>
      <c r="IF31" s="1616"/>
      <c r="IG31" s="1616"/>
      <c r="IH31" s="1616"/>
      <c r="II31" s="1616"/>
      <c r="IJ31" s="1616"/>
      <c r="IK31" s="1616"/>
      <c r="IL31" s="1616"/>
      <c r="IM31" s="1616"/>
      <c r="IN31" s="1616"/>
      <c r="IO31" s="1616"/>
      <c r="IP31" s="1616"/>
      <c r="IQ31" s="1616"/>
      <c r="IR31" s="1616"/>
      <c r="IS31" s="1616"/>
      <c r="IT31" s="1616"/>
      <c r="IU31" s="1616"/>
    </row>
    <row r="32" spans="1:255" ht="13" customHeight="1">
      <c r="A32" s="1615"/>
      <c r="B32" s="1637" t="s">
        <v>1470</v>
      </c>
      <c r="C32" s="1631"/>
      <c r="D32" s="1618" t="s">
        <v>1471</v>
      </c>
      <c r="E32" s="1618"/>
      <c r="F32" s="1618"/>
      <c r="G32" s="1618"/>
      <c r="H32" s="1618"/>
      <c r="I32" s="1618"/>
      <c r="J32" s="1620">
        <v>79</v>
      </c>
      <c r="K32" s="1616"/>
      <c r="L32" s="1616"/>
      <c r="M32" s="1616"/>
      <c r="N32" s="1616"/>
      <c r="O32" s="1616"/>
      <c r="P32" s="1616"/>
      <c r="Q32" s="1616"/>
      <c r="R32" s="1616"/>
      <c r="S32" s="1616"/>
      <c r="T32" s="1616"/>
      <c r="U32" s="1616"/>
      <c r="V32" s="1616"/>
      <c r="W32" s="1616"/>
      <c r="X32" s="1616"/>
      <c r="Y32" s="1616"/>
      <c r="Z32" s="1616"/>
      <c r="AA32" s="1616"/>
      <c r="AB32" s="1616"/>
      <c r="AC32" s="1616"/>
      <c r="AD32" s="1616"/>
      <c r="AE32" s="1616"/>
      <c r="AF32" s="1616"/>
      <c r="AG32" s="1616"/>
      <c r="AH32" s="1616"/>
      <c r="AI32" s="1616"/>
      <c r="AJ32" s="1616"/>
      <c r="AK32" s="1616"/>
      <c r="AL32" s="1616"/>
      <c r="AM32" s="1616"/>
      <c r="AN32" s="1616"/>
      <c r="AO32" s="1616"/>
      <c r="AP32" s="1616"/>
      <c r="AQ32" s="1616"/>
      <c r="AR32" s="1616"/>
      <c r="AS32" s="1616"/>
      <c r="AT32" s="1616"/>
      <c r="AU32" s="1616"/>
      <c r="AV32" s="1616"/>
      <c r="AW32" s="1616"/>
      <c r="AX32" s="1616"/>
      <c r="AY32" s="1616"/>
      <c r="AZ32" s="1616"/>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c r="CF32" s="1616"/>
      <c r="CG32" s="1616"/>
      <c r="CH32" s="1616"/>
      <c r="CI32" s="1616"/>
      <c r="CJ32" s="1616"/>
      <c r="CK32" s="1616"/>
      <c r="CL32" s="1616"/>
      <c r="CM32" s="1616"/>
      <c r="CN32" s="1616"/>
      <c r="CO32" s="1616"/>
      <c r="CP32" s="1616"/>
      <c r="CQ32" s="1616"/>
      <c r="CR32" s="1616"/>
      <c r="CS32" s="1616"/>
      <c r="CT32" s="1616"/>
      <c r="CU32" s="1616"/>
      <c r="CV32" s="1616"/>
      <c r="CW32" s="1616"/>
      <c r="CX32" s="1616"/>
      <c r="CY32" s="1616"/>
      <c r="CZ32" s="1616"/>
      <c r="DA32" s="1616"/>
      <c r="DB32" s="1616"/>
      <c r="DC32" s="1616"/>
      <c r="DD32" s="1616"/>
      <c r="DE32" s="1616"/>
      <c r="DF32" s="1616"/>
      <c r="DG32" s="1616"/>
      <c r="DH32" s="1616"/>
      <c r="DI32" s="1616"/>
      <c r="DJ32" s="1616"/>
      <c r="DK32" s="1616"/>
      <c r="DL32" s="1616"/>
      <c r="DM32" s="1616"/>
      <c r="DN32" s="1616"/>
      <c r="DO32" s="1616"/>
      <c r="DP32" s="1616"/>
      <c r="DQ32" s="1616"/>
      <c r="DR32" s="1616"/>
      <c r="DS32" s="1616"/>
      <c r="DT32" s="1616"/>
      <c r="DU32" s="1616"/>
      <c r="DV32" s="1616"/>
      <c r="DW32" s="1616"/>
      <c r="DX32" s="1616"/>
      <c r="DY32" s="1616"/>
      <c r="DZ32" s="1616"/>
      <c r="EA32" s="1616"/>
      <c r="EB32" s="1616"/>
      <c r="EC32" s="1616"/>
      <c r="ED32" s="1616"/>
      <c r="EE32" s="1616"/>
      <c r="EF32" s="1616"/>
      <c r="EG32" s="1616"/>
      <c r="EH32" s="1616"/>
      <c r="EI32" s="1616"/>
      <c r="EJ32" s="1616"/>
      <c r="EK32" s="1616"/>
      <c r="EL32" s="1616"/>
      <c r="EM32" s="1616"/>
      <c r="EN32" s="1616"/>
      <c r="EO32" s="1616"/>
      <c r="EP32" s="1616"/>
      <c r="EQ32" s="1616"/>
      <c r="ER32" s="1616"/>
      <c r="ES32" s="1616"/>
      <c r="ET32" s="1616"/>
      <c r="EU32" s="1616"/>
      <c r="EV32" s="1616"/>
      <c r="EW32" s="1616"/>
      <c r="EX32" s="1616"/>
      <c r="EY32" s="1616"/>
      <c r="EZ32" s="1616"/>
      <c r="FA32" s="1616"/>
      <c r="FB32" s="1616"/>
      <c r="FC32" s="1616"/>
      <c r="FD32" s="1616"/>
      <c r="FE32" s="1616"/>
      <c r="FF32" s="1616"/>
      <c r="FG32" s="1616"/>
      <c r="FH32" s="1616"/>
      <c r="FI32" s="1616"/>
      <c r="FJ32" s="1616"/>
      <c r="FK32" s="1616"/>
      <c r="FL32" s="1616"/>
      <c r="FM32" s="1616"/>
      <c r="FN32" s="1616"/>
      <c r="FO32" s="1616"/>
      <c r="FP32" s="1616"/>
      <c r="FQ32" s="1616"/>
      <c r="FR32" s="1616"/>
      <c r="FS32" s="1616"/>
      <c r="FT32" s="1616"/>
      <c r="FU32" s="1616"/>
      <c r="FV32" s="1616"/>
      <c r="FW32" s="1616"/>
      <c r="FX32" s="1616"/>
      <c r="FY32" s="1616"/>
      <c r="FZ32" s="1616"/>
      <c r="GA32" s="1616"/>
      <c r="GB32" s="1616"/>
      <c r="GC32" s="1616"/>
      <c r="GD32" s="1616"/>
      <c r="GE32" s="1616"/>
      <c r="GF32" s="1616"/>
      <c r="GG32" s="1616"/>
      <c r="GH32" s="1616"/>
      <c r="GI32" s="1616"/>
      <c r="GJ32" s="1616"/>
      <c r="GK32" s="1616"/>
      <c r="GL32" s="1616"/>
      <c r="GM32" s="1616"/>
      <c r="GN32" s="1616"/>
      <c r="GO32" s="1616"/>
      <c r="GP32" s="1616"/>
      <c r="GQ32" s="1616"/>
      <c r="GR32" s="1616"/>
      <c r="GS32" s="1616"/>
      <c r="GT32" s="1616"/>
      <c r="GU32" s="1616"/>
      <c r="GV32" s="1616"/>
      <c r="GW32" s="1616"/>
      <c r="GX32" s="1616"/>
      <c r="GY32" s="1616"/>
      <c r="GZ32" s="1616"/>
      <c r="HA32" s="1616"/>
      <c r="HB32" s="1616"/>
      <c r="HC32" s="1616"/>
      <c r="HD32" s="1616"/>
      <c r="HE32" s="1616"/>
      <c r="HF32" s="1616"/>
      <c r="HG32" s="1616"/>
      <c r="HH32" s="1616"/>
      <c r="HI32" s="1616"/>
      <c r="HJ32" s="1616"/>
      <c r="HK32" s="1616"/>
      <c r="HL32" s="1616"/>
      <c r="HM32" s="1616"/>
      <c r="HN32" s="1616"/>
      <c r="HO32" s="1616"/>
      <c r="HP32" s="1616"/>
      <c r="HQ32" s="1616"/>
      <c r="HR32" s="1616"/>
      <c r="HS32" s="1616"/>
      <c r="HT32" s="1616"/>
      <c r="HU32" s="1616"/>
      <c r="HV32" s="1616"/>
      <c r="HW32" s="1616"/>
      <c r="HX32" s="1616"/>
      <c r="HY32" s="1616"/>
      <c r="HZ32" s="1616"/>
      <c r="IA32" s="1616"/>
      <c r="IB32" s="1616"/>
      <c r="IC32" s="1616"/>
      <c r="ID32" s="1616"/>
      <c r="IE32" s="1616"/>
      <c r="IF32" s="1616"/>
      <c r="IG32" s="1616"/>
      <c r="IH32" s="1616"/>
      <c r="II32" s="1616"/>
      <c r="IJ32" s="1616"/>
      <c r="IK32" s="1616"/>
      <c r="IL32" s="1616"/>
      <c r="IM32" s="1616"/>
      <c r="IN32" s="1616"/>
      <c r="IO32" s="1616"/>
      <c r="IP32" s="1616"/>
      <c r="IQ32" s="1616"/>
      <c r="IR32" s="1616"/>
      <c r="IS32" s="1616"/>
      <c r="IT32" s="1616"/>
      <c r="IU32" s="1616"/>
    </row>
    <row r="33" spans="1:255" ht="13" customHeight="1">
      <c r="A33" s="1615"/>
      <c r="B33" s="1637" t="s">
        <v>1472</v>
      </c>
      <c r="C33" s="1631"/>
      <c r="D33" s="1624" t="s">
        <v>1473</v>
      </c>
      <c r="E33" s="1624"/>
      <c r="F33" s="1624"/>
      <c r="G33" s="1624"/>
      <c r="H33" s="1624"/>
      <c r="I33" s="1624"/>
      <c r="J33" s="1620">
        <v>80</v>
      </c>
      <c r="K33" s="1616"/>
      <c r="L33" s="1616"/>
      <c r="M33" s="1616"/>
      <c r="N33" s="1616"/>
      <c r="O33" s="1616"/>
      <c r="P33" s="1616"/>
      <c r="Q33" s="1616"/>
      <c r="R33" s="1616"/>
      <c r="S33" s="1616"/>
      <c r="T33" s="1616"/>
      <c r="U33" s="1616"/>
      <c r="V33" s="1616"/>
      <c r="W33" s="1616"/>
      <c r="X33" s="1616"/>
      <c r="Y33" s="1616"/>
      <c r="Z33" s="1616"/>
      <c r="AA33" s="1616"/>
      <c r="AB33" s="1616"/>
      <c r="AC33" s="1616"/>
      <c r="AD33" s="1616"/>
      <c r="AE33" s="1616"/>
      <c r="AF33" s="1616"/>
      <c r="AG33" s="1616"/>
      <c r="AH33" s="1616"/>
      <c r="AI33" s="1616"/>
      <c r="AJ33" s="1616"/>
      <c r="AK33" s="1616"/>
      <c r="AL33" s="1616"/>
      <c r="AM33" s="1616"/>
      <c r="AN33" s="1616"/>
      <c r="AO33" s="1616"/>
      <c r="AP33" s="1616"/>
      <c r="AQ33" s="1616"/>
      <c r="AR33" s="1616"/>
      <c r="AS33" s="1616"/>
      <c r="AT33" s="1616"/>
      <c r="AU33" s="1616"/>
      <c r="AV33" s="1616"/>
      <c r="AW33" s="1616"/>
      <c r="AX33" s="1616"/>
      <c r="AY33" s="1616"/>
      <c r="AZ33" s="1616"/>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c r="CF33" s="1616"/>
      <c r="CG33" s="1616"/>
      <c r="CH33" s="1616"/>
      <c r="CI33" s="1616"/>
      <c r="CJ33" s="1616"/>
      <c r="CK33" s="1616"/>
      <c r="CL33" s="1616"/>
      <c r="CM33" s="1616"/>
      <c r="CN33" s="1616"/>
      <c r="CO33" s="1616"/>
      <c r="CP33" s="1616"/>
      <c r="CQ33" s="1616"/>
      <c r="CR33" s="1616"/>
      <c r="CS33" s="1616"/>
      <c r="CT33" s="1616"/>
      <c r="CU33" s="1616"/>
      <c r="CV33" s="1616"/>
      <c r="CW33" s="1616"/>
      <c r="CX33" s="1616"/>
      <c r="CY33" s="1616"/>
      <c r="CZ33" s="1616"/>
      <c r="DA33" s="1616"/>
      <c r="DB33" s="1616"/>
      <c r="DC33" s="1616"/>
      <c r="DD33" s="1616"/>
      <c r="DE33" s="1616"/>
      <c r="DF33" s="1616"/>
      <c r="DG33" s="1616"/>
      <c r="DH33" s="1616"/>
      <c r="DI33" s="1616"/>
      <c r="DJ33" s="1616"/>
      <c r="DK33" s="1616"/>
      <c r="DL33" s="1616"/>
      <c r="DM33" s="1616"/>
      <c r="DN33" s="1616"/>
      <c r="DO33" s="1616"/>
      <c r="DP33" s="1616"/>
      <c r="DQ33" s="1616"/>
      <c r="DR33" s="1616"/>
      <c r="DS33" s="1616"/>
      <c r="DT33" s="1616"/>
      <c r="DU33" s="1616"/>
      <c r="DV33" s="1616"/>
      <c r="DW33" s="1616"/>
      <c r="DX33" s="1616"/>
      <c r="DY33" s="1616"/>
      <c r="DZ33" s="1616"/>
      <c r="EA33" s="1616"/>
      <c r="EB33" s="1616"/>
      <c r="EC33" s="1616"/>
      <c r="ED33" s="1616"/>
      <c r="EE33" s="1616"/>
      <c r="EF33" s="1616"/>
      <c r="EG33" s="1616"/>
      <c r="EH33" s="1616"/>
      <c r="EI33" s="1616"/>
      <c r="EJ33" s="1616"/>
      <c r="EK33" s="1616"/>
      <c r="EL33" s="1616"/>
      <c r="EM33" s="1616"/>
      <c r="EN33" s="1616"/>
      <c r="EO33" s="1616"/>
      <c r="EP33" s="1616"/>
      <c r="EQ33" s="1616"/>
      <c r="ER33" s="1616"/>
      <c r="ES33" s="1616"/>
      <c r="ET33" s="1616"/>
      <c r="EU33" s="1616"/>
      <c r="EV33" s="1616"/>
      <c r="EW33" s="1616"/>
      <c r="EX33" s="1616"/>
      <c r="EY33" s="1616"/>
      <c r="EZ33" s="1616"/>
      <c r="FA33" s="1616"/>
      <c r="FB33" s="1616"/>
      <c r="FC33" s="1616"/>
      <c r="FD33" s="1616"/>
      <c r="FE33" s="1616"/>
      <c r="FF33" s="1616"/>
      <c r="FG33" s="1616"/>
      <c r="FH33" s="1616"/>
      <c r="FI33" s="1616"/>
      <c r="FJ33" s="1616"/>
      <c r="FK33" s="1616"/>
      <c r="FL33" s="1616"/>
      <c r="FM33" s="1616"/>
      <c r="FN33" s="1616"/>
      <c r="FO33" s="1616"/>
      <c r="FP33" s="1616"/>
      <c r="FQ33" s="1616"/>
      <c r="FR33" s="1616"/>
      <c r="FS33" s="1616"/>
      <c r="FT33" s="1616"/>
      <c r="FU33" s="1616"/>
      <c r="FV33" s="1616"/>
      <c r="FW33" s="1616"/>
      <c r="FX33" s="1616"/>
      <c r="FY33" s="1616"/>
      <c r="FZ33" s="1616"/>
      <c r="GA33" s="1616"/>
      <c r="GB33" s="1616"/>
      <c r="GC33" s="1616"/>
      <c r="GD33" s="1616"/>
      <c r="GE33" s="1616"/>
      <c r="GF33" s="1616"/>
      <c r="GG33" s="1616"/>
      <c r="GH33" s="1616"/>
      <c r="GI33" s="1616"/>
      <c r="GJ33" s="1616"/>
      <c r="GK33" s="1616"/>
      <c r="GL33" s="1616"/>
      <c r="GM33" s="1616"/>
      <c r="GN33" s="1616"/>
      <c r="GO33" s="1616"/>
      <c r="GP33" s="1616"/>
      <c r="GQ33" s="1616"/>
      <c r="GR33" s="1616"/>
      <c r="GS33" s="1616"/>
      <c r="GT33" s="1616"/>
      <c r="GU33" s="1616"/>
      <c r="GV33" s="1616"/>
      <c r="GW33" s="1616"/>
      <c r="GX33" s="1616"/>
      <c r="GY33" s="1616"/>
      <c r="GZ33" s="1616"/>
      <c r="HA33" s="1616"/>
      <c r="HB33" s="1616"/>
      <c r="HC33" s="1616"/>
      <c r="HD33" s="1616"/>
      <c r="HE33" s="1616"/>
      <c r="HF33" s="1616"/>
      <c r="HG33" s="1616"/>
      <c r="HH33" s="1616"/>
      <c r="HI33" s="1616"/>
      <c r="HJ33" s="1616"/>
      <c r="HK33" s="1616"/>
      <c r="HL33" s="1616"/>
      <c r="HM33" s="1616"/>
      <c r="HN33" s="1616"/>
      <c r="HO33" s="1616"/>
      <c r="HP33" s="1616"/>
      <c r="HQ33" s="1616"/>
      <c r="HR33" s="1616"/>
      <c r="HS33" s="1616"/>
      <c r="HT33" s="1616"/>
      <c r="HU33" s="1616"/>
      <c r="HV33" s="1616"/>
      <c r="HW33" s="1616"/>
      <c r="HX33" s="1616"/>
      <c r="HY33" s="1616"/>
      <c r="HZ33" s="1616"/>
      <c r="IA33" s="1616"/>
      <c r="IB33" s="1616"/>
      <c r="IC33" s="1616"/>
      <c r="ID33" s="1616"/>
      <c r="IE33" s="1616"/>
      <c r="IF33" s="1616"/>
      <c r="IG33" s="1616"/>
      <c r="IH33" s="1616"/>
      <c r="II33" s="1616"/>
      <c r="IJ33" s="1616"/>
      <c r="IK33" s="1616"/>
      <c r="IL33" s="1616"/>
      <c r="IM33" s="1616"/>
      <c r="IN33" s="1616"/>
      <c r="IO33" s="1616"/>
      <c r="IP33" s="1616"/>
      <c r="IQ33" s="1616"/>
      <c r="IR33" s="1616"/>
      <c r="IS33" s="1616"/>
      <c r="IT33" s="1616"/>
      <c r="IU33" s="1616"/>
    </row>
    <row r="34" spans="1:255" ht="13" customHeight="1">
      <c r="A34" s="1615"/>
      <c r="B34" s="1618"/>
      <c r="C34" s="1631"/>
      <c r="D34" s="1625"/>
      <c r="E34" s="1625"/>
      <c r="F34" s="1625"/>
      <c r="G34" s="1625"/>
      <c r="H34" s="1625"/>
      <c r="I34" s="1625"/>
      <c r="J34" s="1620"/>
      <c r="K34" s="1616"/>
      <c r="L34" s="1616"/>
      <c r="M34" s="1616"/>
      <c r="N34" s="1616"/>
      <c r="O34" s="1616"/>
      <c r="P34" s="1616"/>
      <c r="Q34" s="1616"/>
      <c r="R34" s="1616"/>
      <c r="S34" s="1616"/>
      <c r="T34" s="1616"/>
      <c r="U34" s="1616"/>
      <c r="V34" s="1616"/>
      <c r="W34" s="1616"/>
      <c r="X34" s="1616"/>
      <c r="Y34" s="1616"/>
      <c r="Z34" s="1616"/>
      <c r="AA34" s="1616"/>
      <c r="AB34" s="1616"/>
      <c r="AC34" s="1616"/>
      <c r="AD34" s="1616"/>
      <c r="AE34" s="1616"/>
      <c r="AF34" s="1616"/>
      <c r="AG34" s="1616"/>
      <c r="AH34" s="1616"/>
      <c r="AI34" s="1616"/>
      <c r="AJ34" s="1616"/>
      <c r="AK34" s="1616"/>
      <c r="AL34" s="1616"/>
      <c r="AM34" s="1616"/>
      <c r="AN34" s="1616"/>
      <c r="AO34" s="1616"/>
      <c r="AP34" s="1616"/>
      <c r="AQ34" s="1616"/>
      <c r="AR34" s="1616"/>
      <c r="AS34" s="1616"/>
      <c r="AT34" s="1616"/>
      <c r="AU34" s="1616"/>
      <c r="AV34" s="1616"/>
      <c r="AW34" s="1616"/>
      <c r="AX34" s="1616"/>
      <c r="AY34" s="1616"/>
      <c r="AZ34" s="1616"/>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c r="CF34" s="1616"/>
      <c r="CG34" s="1616"/>
      <c r="CH34" s="1616"/>
      <c r="CI34" s="1616"/>
      <c r="CJ34" s="1616"/>
      <c r="CK34" s="1616"/>
      <c r="CL34" s="1616"/>
      <c r="CM34" s="1616"/>
      <c r="CN34" s="1616"/>
      <c r="CO34" s="1616"/>
      <c r="CP34" s="1616"/>
      <c r="CQ34" s="1616"/>
      <c r="CR34" s="1616"/>
      <c r="CS34" s="1616"/>
      <c r="CT34" s="1616"/>
      <c r="CU34" s="1616"/>
      <c r="CV34" s="1616"/>
      <c r="CW34" s="1616"/>
      <c r="CX34" s="1616"/>
      <c r="CY34" s="1616"/>
      <c r="CZ34" s="1616"/>
      <c r="DA34" s="1616"/>
      <c r="DB34" s="1616"/>
      <c r="DC34" s="1616"/>
      <c r="DD34" s="1616"/>
      <c r="DE34" s="1616"/>
      <c r="DF34" s="1616"/>
      <c r="DG34" s="1616"/>
      <c r="DH34" s="1616"/>
      <c r="DI34" s="1616"/>
      <c r="DJ34" s="1616"/>
      <c r="DK34" s="1616"/>
      <c r="DL34" s="1616"/>
      <c r="DM34" s="1616"/>
      <c r="DN34" s="1616"/>
      <c r="DO34" s="1616"/>
      <c r="DP34" s="1616"/>
      <c r="DQ34" s="1616"/>
      <c r="DR34" s="1616"/>
      <c r="DS34" s="1616"/>
      <c r="DT34" s="1616"/>
      <c r="DU34" s="1616"/>
      <c r="DV34" s="1616"/>
      <c r="DW34" s="1616"/>
      <c r="DX34" s="1616"/>
      <c r="DY34" s="1616"/>
      <c r="DZ34" s="1616"/>
      <c r="EA34" s="1616"/>
      <c r="EB34" s="1616"/>
      <c r="EC34" s="1616"/>
      <c r="ED34" s="1616"/>
      <c r="EE34" s="1616"/>
      <c r="EF34" s="1616"/>
      <c r="EG34" s="1616"/>
      <c r="EH34" s="1616"/>
      <c r="EI34" s="1616"/>
      <c r="EJ34" s="1616"/>
      <c r="EK34" s="1616"/>
      <c r="EL34" s="1616"/>
      <c r="EM34" s="1616"/>
      <c r="EN34" s="1616"/>
      <c r="EO34" s="1616"/>
      <c r="EP34" s="1616"/>
      <c r="EQ34" s="1616"/>
      <c r="ER34" s="1616"/>
      <c r="ES34" s="1616"/>
      <c r="ET34" s="1616"/>
      <c r="EU34" s="1616"/>
      <c r="EV34" s="1616"/>
      <c r="EW34" s="1616"/>
      <c r="EX34" s="1616"/>
      <c r="EY34" s="1616"/>
      <c r="EZ34" s="1616"/>
      <c r="FA34" s="1616"/>
      <c r="FB34" s="1616"/>
      <c r="FC34" s="1616"/>
      <c r="FD34" s="1616"/>
      <c r="FE34" s="1616"/>
      <c r="FF34" s="1616"/>
      <c r="FG34" s="1616"/>
      <c r="FH34" s="1616"/>
      <c r="FI34" s="1616"/>
      <c r="FJ34" s="1616"/>
      <c r="FK34" s="1616"/>
      <c r="FL34" s="1616"/>
      <c r="FM34" s="1616"/>
      <c r="FN34" s="1616"/>
      <c r="FO34" s="1616"/>
      <c r="FP34" s="1616"/>
      <c r="FQ34" s="1616"/>
      <c r="FR34" s="1616"/>
      <c r="FS34" s="1616"/>
      <c r="FT34" s="1616"/>
      <c r="FU34" s="1616"/>
      <c r="FV34" s="1616"/>
      <c r="FW34" s="1616"/>
      <c r="FX34" s="1616"/>
      <c r="FY34" s="1616"/>
      <c r="FZ34" s="1616"/>
      <c r="GA34" s="1616"/>
      <c r="GB34" s="1616"/>
      <c r="GC34" s="1616"/>
      <c r="GD34" s="1616"/>
      <c r="GE34" s="1616"/>
      <c r="GF34" s="1616"/>
      <c r="GG34" s="1616"/>
      <c r="GH34" s="1616"/>
      <c r="GI34" s="1616"/>
      <c r="GJ34" s="1616"/>
      <c r="GK34" s="1616"/>
      <c r="GL34" s="1616"/>
      <c r="GM34" s="1616"/>
      <c r="GN34" s="1616"/>
      <c r="GO34" s="1616"/>
      <c r="GP34" s="1616"/>
      <c r="GQ34" s="1616"/>
      <c r="GR34" s="1616"/>
      <c r="GS34" s="1616"/>
      <c r="GT34" s="1616"/>
      <c r="GU34" s="1616"/>
      <c r="GV34" s="1616"/>
      <c r="GW34" s="1616"/>
      <c r="GX34" s="1616"/>
      <c r="GY34" s="1616"/>
      <c r="GZ34" s="1616"/>
      <c r="HA34" s="1616"/>
      <c r="HB34" s="1616"/>
      <c r="HC34" s="1616"/>
      <c r="HD34" s="1616"/>
      <c r="HE34" s="1616"/>
      <c r="HF34" s="1616"/>
      <c r="HG34" s="1616"/>
      <c r="HH34" s="1616"/>
      <c r="HI34" s="1616"/>
      <c r="HJ34" s="1616"/>
      <c r="HK34" s="1616"/>
      <c r="HL34" s="1616"/>
      <c r="HM34" s="1616"/>
      <c r="HN34" s="1616"/>
      <c r="HO34" s="1616"/>
      <c r="HP34" s="1616"/>
      <c r="HQ34" s="1616"/>
      <c r="HR34" s="1616"/>
      <c r="HS34" s="1616"/>
      <c r="HT34" s="1616"/>
      <c r="HU34" s="1616"/>
      <c r="HV34" s="1616"/>
      <c r="HW34" s="1616"/>
      <c r="HX34" s="1616"/>
      <c r="HY34" s="1616"/>
      <c r="HZ34" s="1616"/>
      <c r="IA34" s="1616"/>
      <c r="IB34" s="1616"/>
      <c r="IC34" s="1616"/>
      <c r="ID34" s="1616"/>
      <c r="IE34" s="1616"/>
      <c r="IF34" s="1616"/>
      <c r="IG34" s="1616"/>
      <c r="IH34" s="1616"/>
      <c r="II34" s="1616"/>
      <c r="IJ34" s="1616"/>
      <c r="IK34" s="1616"/>
      <c r="IL34" s="1616"/>
      <c r="IM34" s="1616"/>
      <c r="IN34" s="1616"/>
      <c r="IO34" s="1616"/>
      <c r="IP34" s="1616"/>
      <c r="IQ34" s="1616"/>
      <c r="IR34" s="1616"/>
      <c r="IS34" s="1616"/>
      <c r="IT34" s="1616"/>
      <c r="IU34" s="1616"/>
    </row>
    <row r="35" spans="1:255" ht="13" customHeight="1">
      <c r="A35" s="1615"/>
      <c r="B35" s="1618"/>
      <c r="C35" s="1631" t="s">
        <v>1474</v>
      </c>
      <c r="D35" s="1625"/>
      <c r="E35" s="1625"/>
      <c r="F35" s="1625"/>
      <c r="G35" s="1625"/>
      <c r="H35" s="1625"/>
      <c r="I35" s="1625"/>
      <c r="J35" s="1620"/>
      <c r="K35" s="1616"/>
      <c r="L35" s="1616"/>
      <c r="M35" s="1616"/>
      <c r="N35" s="1616"/>
      <c r="O35" s="1616"/>
      <c r="P35" s="1616"/>
      <c r="Q35" s="1616"/>
      <c r="R35" s="1616"/>
      <c r="S35" s="1616"/>
      <c r="T35" s="1616"/>
      <c r="U35" s="1616"/>
      <c r="V35" s="1616"/>
      <c r="W35" s="1616"/>
      <c r="X35" s="1616"/>
      <c r="Y35" s="1616"/>
      <c r="Z35" s="1616"/>
      <c r="AA35" s="1616"/>
      <c r="AB35" s="1616"/>
      <c r="AC35" s="1616"/>
      <c r="AD35" s="1616"/>
      <c r="AE35" s="1616"/>
      <c r="AF35" s="1616"/>
      <c r="AG35" s="1616"/>
      <c r="AH35" s="1616"/>
      <c r="AI35" s="1616"/>
      <c r="AJ35" s="1616"/>
      <c r="AK35" s="1616"/>
      <c r="AL35" s="1616"/>
      <c r="AM35" s="1616"/>
      <c r="AN35" s="1616"/>
      <c r="AO35" s="1616"/>
      <c r="AP35" s="1616"/>
      <c r="AQ35" s="1616"/>
      <c r="AR35" s="1616"/>
      <c r="AS35" s="1616"/>
      <c r="AT35" s="1616"/>
      <c r="AU35" s="1616"/>
      <c r="AV35" s="1616"/>
      <c r="AW35" s="1616"/>
      <c r="AX35" s="1616"/>
      <c r="AY35" s="1616"/>
      <c r="AZ35" s="1616"/>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c r="CF35" s="1616"/>
      <c r="CG35" s="1616"/>
      <c r="CH35" s="1616"/>
      <c r="CI35" s="1616"/>
      <c r="CJ35" s="1616"/>
      <c r="CK35" s="1616"/>
      <c r="CL35" s="1616"/>
      <c r="CM35" s="1616"/>
      <c r="CN35" s="1616"/>
      <c r="CO35" s="1616"/>
      <c r="CP35" s="1616"/>
      <c r="CQ35" s="1616"/>
      <c r="CR35" s="1616"/>
      <c r="CS35" s="1616"/>
      <c r="CT35" s="1616"/>
      <c r="CU35" s="1616"/>
      <c r="CV35" s="1616"/>
      <c r="CW35" s="1616"/>
      <c r="CX35" s="1616"/>
      <c r="CY35" s="1616"/>
      <c r="CZ35" s="1616"/>
      <c r="DA35" s="1616"/>
      <c r="DB35" s="1616"/>
      <c r="DC35" s="1616"/>
      <c r="DD35" s="1616"/>
      <c r="DE35" s="1616"/>
      <c r="DF35" s="1616"/>
      <c r="DG35" s="1616"/>
      <c r="DH35" s="1616"/>
      <c r="DI35" s="1616"/>
      <c r="DJ35" s="1616"/>
      <c r="DK35" s="1616"/>
      <c r="DL35" s="1616"/>
      <c r="DM35" s="1616"/>
      <c r="DN35" s="1616"/>
      <c r="DO35" s="1616"/>
      <c r="DP35" s="1616"/>
      <c r="DQ35" s="1616"/>
      <c r="DR35" s="1616"/>
      <c r="DS35" s="1616"/>
      <c r="DT35" s="1616"/>
      <c r="DU35" s="1616"/>
      <c r="DV35" s="1616"/>
      <c r="DW35" s="1616"/>
      <c r="DX35" s="1616"/>
      <c r="DY35" s="1616"/>
      <c r="DZ35" s="1616"/>
      <c r="EA35" s="1616"/>
      <c r="EB35" s="1616"/>
      <c r="EC35" s="1616"/>
      <c r="ED35" s="1616"/>
      <c r="EE35" s="1616"/>
      <c r="EF35" s="1616"/>
      <c r="EG35" s="1616"/>
      <c r="EH35" s="1616"/>
      <c r="EI35" s="1616"/>
      <c r="EJ35" s="1616"/>
      <c r="EK35" s="1616"/>
      <c r="EL35" s="1616"/>
      <c r="EM35" s="1616"/>
      <c r="EN35" s="1616"/>
      <c r="EO35" s="1616"/>
      <c r="EP35" s="1616"/>
      <c r="EQ35" s="1616"/>
      <c r="ER35" s="1616"/>
      <c r="ES35" s="1616"/>
      <c r="ET35" s="1616"/>
      <c r="EU35" s="1616"/>
      <c r="EV35" s="1616"/>
      <c r="EW35" s="1616"/>
      <c r="EX35" s="1616"/>
      <c r="EY35" s="1616"/>
      <c r="EZ35" s="1616"/>
      <c r="FA35" s="1616"/>
      <c r="FB35" s="1616"/>
      <c r="FC35" s="1616"/>
      <c r="FD35" s="1616"/>
      <c r="FE35" s="1616"/>
      <c r="FF35" s="1616"/>
      <c r="FG35" s="1616"/>
      <c r="FH35" s="1616"/>
      <c r="FI35" s="1616"/>
      <c r="FJ35" s="1616"/>
      <c r="FK35" s="1616"/>
      <c r="FL35" s="1616"/>
      <c r="FM35" s="1616"/>
      <c r="FN35" s="1616"/>
      <c r="FO35" s="1616"/>
      <c r="FP35" s="1616"/>
      <c r="FQ35" s="1616"/>
      <c r="FR35" s="1616"/>
      <c r="FS35" s="1616"/>
      <c r="FT35" s="1616"/>
      <c r="FU35" s="1616"/>
      <c r="FV35" s="1616"/>
      <c r="FW35" s="1616"/>
      <c r="FX35" s="1616"/>
      <c r="FY35" s="1616"/>
      <c r="FZ35" s="1616"/>
      <c r="GA35" s="1616"/>
      <c r="GB35" s="1616"/>
      <c r="GC35" s="1616"/>
      <c r="GD35" s="1616"/>
      <c r="GE35" s="1616"/>
      <c r="GF35" s="1616"/>
      <c r="GG35" s="1616"/>
      <c r="GH35" s="1616"/>
      <c r="GI35" s="1616"/>
      <c r="GJ35" s="1616"/>
      <c r="GK35" s="1616"/>
      <c r="GL35" s="1616"/>
      <c r="GM35" s="1616"/>
      <c r="GN35" s="1616"/>
      <c r="GO35" s="1616"/>
      <c r="GP35" s="1616"/>
      <c r="GQ35" s="1616"/>
      <c r="GR35" s="1616"/>
      <c r="GS35" s="1616"/>
      <c r="GT35" s="1616"/>
      <c r="GU35" s="1616"/>
      <c r="GV35" s="1616"/>
      <c r="GW35" s="1616"/>
      <c r="GX35" s="1616"/>
      <c r="GY35" s="1616"/>
      <c r="GZ35" s="1616"/>
      <c r="HA35" s="1616"/>
      <c r="HB35" s="1616"/>
      <c r="HC35" s="1616"/>
      <c r="HD35" s="1616"/>
      <c r="HE35" s="1616"/>
      <c r="HF35" s="1616"/>
      <c r="HG35" s="1616"/>
      <c r="HH35" s="1616"/>
      <c r="HI35" s="1616"/>
      <c r="HJ35" s="1616"/>
      <c r="HK35" s="1616"/>
      <c r="HL35" s="1616"/>
      <c r="HM35" s="1616"/>
      <c r="HN35" s="1616"/>
      <c r="HO35" s="1616"/>
      <c r="HP35" s="1616"/>
      <c r="HQ35" s="1616"/>
      <c r="HR35" s="1616"/>
      <c r="HS35" s="1616"/>
      <c r="HT35" s="1616"/>
      <c r="HU35" s="1616"/>
      <c r="HV35" s="1616"/>
      <c r="HW35" s="1616"/>
      <c r="HX35" s="1616"/>
      <c r="HY35" s="1616"/>
      <c r="HZ35" s="1616"/>
      <c r="IA35" s="1616"/>
      <c r="IB35" s="1616"/>
      <c r="IC35" s="1616"/>
      <c r="ID35" s="1616"/>
      <c r="IE35" s="1616"/>
      <c r="IF35" s="1616"/>
      <c r="IG35" s="1616"/>
      <c r="IH35" s="1616"/>
      <c r="II35" s="1616"/>
      <c r="IJ35" s="1616"/>
      <c r="IK35" s="1616"/>
      <c r="IL35" s="1616"/>
      <c r="IM35" s="1616"/>
      <c r="IN35" s="1616"/>
      <c r="IO35" s="1616"/>
      <c r="IP35" s="1616"/>
      <c r="IQ35" s="1616"/>
      <c r="IR35" s="1616"/>
      <c r="IS35" s="1616"/>
      <c r="IT35" s="1616"/>
      <c r="IU35" s="1616"/>
    </row>
    <row r="36" spans="1:255" ht="13" customHeight="1">
      <c r="A36" s="1615"/>
      <c r="B36" s="1637" t="s">
        <v>1475</v>
      </c>
      <c r="C36" s="1631"/>
      <c r="D36" s="1632" t="s">
        <v>2687</v>
      </c>
      <c r="E36" s="1632"/>
      <c r="F36" s="1632"/>
      <c r="G36" s="1632"/>
      <c r="H36" s="1632"/>
      <c r="I36" s="1632"/>
      <c r="J36" s="1620">
        <v>86</v>
      </c>
      <c r="K36" s="1616"/>
      <c r="L36" s="1616"/>
      <c r="M36" s="1616"/>
      <c r="N36" s="1616"/>
      <c r="O36" s="1616"/>
      <c r="P36" s="1616"/>
      <c r="Q36" s="1616"/>
      <c r="R36" s="1616"/>
      <c r="S36" s="1616"/>
      <c r="T36" s="1616"/>
      <c r="U36" s="1616"/>
      <c r="V36" s="1616"/>
      <c r="W36" s="1616"/>
      <c r="X36" s="1616"/>
      <c r="Y36" s="1616"/>
      <c r="Z36" s="1616"/>
      <c r="AA36" s="1616"/>
      <c r="AB36" s="1616"/>
      <c r="AC36" s="1616"/>
      <c r="AD36" s="1616"/>
      <c r="AE36" s="1616"/>
      <c r="AF36" s="1616"/>
      <c r="AG36" s="1616"/>
      <c r="AH36" s="1616"/>
      <c r="AI36" s="1616"/>
      <c r="AJ36" s="1616"/>
      <c r="AK36" s="1616"/>
      <c r="AL36" s="1616"/>
      <c r="AM36" s="1616"/>
      <c r="AN36" s="1616"/>
      <c r="AO36" s="1616"/>
      <c r="AP36" s="1616"/>
      <c r="AQ36" s="1616"/>
      <c r="AR36" s="1616"/>
      <c r="AS36" s="1616"/>
      <c r="AT36" s="1616"/>
      <c r="AU36" s="1616"/>
      <c r="AV36" s="1616"/>
      <c r="AW36" s="1616"/>
      <c r="AX36" s="1616"/>
      <c r="AY36" s="1616"/>
      <c r="AZ36" s="1616"/>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c r="CF36" s="1616"/>
      <c r="CG36" s="1616"/>
      <c r="CH36" s="1616"/>
      <c r="CI36" s="1616"/>
      <c r="CJ36" s="1616"/>
      <c r="CK36" s="1616"/>
      <c r="CL36" s="1616"/>
      <c r="CM36" s="1616"/>
      <c r="CN36" s="1616"/>
      <c r="CO36" s="1616"/>
      <c r="CP36" s="1616"/>
      <c r="CQ36" s="1616"/>
      <c r="CR36" s="1616"/>
      <c r="CS36" s="1616"/>
      <c r="CT36" s="1616"/>
      <c r="CU36" s="1616"/>
      <c r="CV36" s="1616"/>
      <c r="CW36" s="1616"/>
      <c r="CX36" s="1616"/>
      <c r="CY36" s="1616"/>
      <c r="CZ36" s="1616"/>
      <c r="DA36" s="1616"/>
      <c r="DB36" s="1616"/>
      <c r="DC36" s="1616"/>
      <c r="DD36" s="1616"/>
      <c r="DE36" s="1616"/>
      <c r="DF36" s="1616"/>
      <c r="DG36" s="1616"/>
      <c r="DH36" s="1616"/>
      <c r="DI36" s="1616"/>
      <c r="DJ36" s="1616"/>
      <c r="DK36" s="1616"/>
      <c r="DL36" s="1616"/>
      <c r="DM36" s="1616"/>
      <c r="DN36" s="1616"/>
      <c r="DO36" s="1616"/>
      <c r="DP36" s="1616"/>
      <c r="DQ36" s="1616"/>
      <c r="DR36" s="1616"/>
      <c r="DS36" s="1616"/>
      <c r="DT36" s="1616"/>
      <c r="DU36" s="1616"/>
      <c r="DV36" s="1616"/>
      <c r="DW36" s="1616"/>
      <c r="DX36" s="1616"/>
      <c r="DY36" s="1616"/>
      <c r="DZ36" s="1616"/>
      <c r="EA36" s="1616"/>
      <c r="EB36" s="1616"/>
      <c r="EC36" s="1616"/>
      <c r="ED36" s="1616"/>
      <c r="EE36" s="1616"/>
      <c r="EF36" s="1616"/>
      <c r="EG36" s="1616"/>
      <c r="EH36" s="1616"/>
      <c r="EI36" s="1616"/>
      <c r="EJ36" s="1616"/>
      <c r="EK36" s="1616"/>
      <c r="EL36" s="1616"/>
      <c r="EM36" s="1616"/>
      <c r="EN36" s="1616"/>
      <c r="EO36" s="1616"/>
      <c r="EP36" s="1616"/>
      <c r="EQ36" s="1616"/>
      <c r="ER36" s="1616"/>
      <c r="ES36" s="1616"/>
      <c r="ET36" s="1616"/>
      <c r="EU36" s="1616"/>
      <c r="EV36" s="1616"/>
      <c r="EW36" s="1616"/>
      <c r="EX36" s="1616"/>
      <c r="EY36" s="1616"/>
      <c r="EZ36" s="1616"/>
      <c r="FA36" s="1616"/>
      <c r="FB36" s="1616"/>
      <c r="FC36" s="1616"/>
      <c r="FD36" s="1616"/>
      <c r="FE36" s="1616"/>
      <c r="FF36" s="1616"/>
      <c r="FG36" s="1616"/>
      <c r="FH36" s="1616"/>
      <c r="FI36" s="1616"/>
      <c r="FJ36" s="1616"/>
      <c r="FK36" s="1616"/>
      <c r="FL36" s="1616"/>
      <c r="FM36" s="1616"/>
      <c r="FN36" s="1616"/>
      <c r="FO36" s="1616"/>
      <c r="FP36" s="1616"/>
      <c r="FQ36" s="1616"/>
      <c r="FR36" s="1616"/>
      <c r="FS36" s="1616"/>
      <c r="FT36" s="1616"/>
      <c r="FU36" s="1616"/>
      <c r="FV36" s="1616"/>
      <c r="FW36" s="1616"/>
      <c r="FX36" s="1616"/>
      <c r="FY36" s="1616"/>
      <c r="FZ36" s="1616"/>
      <c r="GA36" s="1616"/>
      <c r="GB36" s="1616"/>
      <c r="GC36" s="1616"/>
      <c r="GD36" s="1616"/>
      <c r="GE36" s="1616"/>
      <c r="GF36" s="1616"/>
      <c r="GG36" s="1616"/>
      <c r="GH36" s="1616"/>
      <c r="GI36" s="1616"/>
      <c r="GJ36" s="1616"/>
      <c r="GK36" s="1616"/>
      <c r="GL36" s="1616"/>
      <c r="GM36" s="1616"/>
      <c r="GN36" s="1616"/>
      <c r="GO36" s="1616"/>
      <c r="GP36" s="1616"/>
      <c r="GQ36" s="1616"/>
      <c r="GR36" s="1616"/>
      <c r="GS36" s="1616"/>
      <c r="GT36" s="1616"/>
      <c r="GU36" s="1616"/>
      <c r="GV36" s="1616"/>
      <c r="GW36" s="1616"/>
      <c r="GX36" s="1616"/>
      <c r="GY36" s="1616"/>
      <c r="GZ36" s="1616"/>
      <c r="HA36" s="1616"/>
      <c r="HB36" s="1616"/>
      <c r="HC36" s="1616"/>
      <c r="HD36" s="1616"/>
      <c r="HE36" s="1616"/>
      <c r="HF36" s="1616"/>
      <c r="HG36" s="1616"/>
      <c r="HH36" s="1616"/>
      <c r="HI36" s="1616"/>
      <c r="HJ36" s="1616"/>
      <c r="HK36" s="1616"/>
      <c r="HL36" s="1616"/>
      <c r="HM36" s="1616"/>
      <c r="HN36" s="1616"/>
      <c r="HO36" s="1616"/>
      <c r="HP36" s="1616"/>
      <c r="HQ36" s="1616"/>
      <c r="HR36" s="1616"/>
      <c r="HS36" s="1616"/>
      <c r="HT36" s="1616"/>
      <c r="HU36" s="1616"/>
      <c r="HV36" s="1616"/>
      <c r="HW36" s="1616"/>
      <c r="HX36" s="1616"/>
      <c r="HY36" s="1616"/>
      <c r="HZ36" s="1616"/>
      <c r="IA36" s="1616"/>
      <c r="IB36" s="1616"/>
      <c r="IC36" s="1616"/>
      <c r="ID36" s="1616"/>
      <c r="IE36" s="1616"/>
      <c r="IF36" s="1616"/>
      <c r="IG36" s="1616"/>
      <c r="IH36" s="1616"/>
      <c r="II36" s="1616"/>
      <c r="IJ36" s="1616"/>
      <c r="IK36" s="1616"/>
      <c r="IL36" s="1616"/>
      <c r="IM36" s="1616"/>
      <c r="IN36" s="1616"/>
      <c r="IO36" s="1616"/>
      <c r="IP36" s="1616"/>
      <c r="IQ36" s="1616"/>
      <c r="IR36" s="1616"/>
      <c r="IS36" s="1616"/>
      <c r="IT36" s="1616"/>
      <c r="IU36" s="1616"/>
    </row>
    <row r="37" spans="1:255" ht="12.75" customHeight="1">
      <c r="A37" s="1615"/>
      <c r="B37" s="1618"/>
      <c r="C37" s="1631"/>
      <c r="D37" s="1625"/>
      <c r="E37" s="1625"/>
      <c r="F37" s="1625"/>
      <c r="G37" s="1625"/>
      <c r="H37" s="1625"/>
      <c r="I37" s="1625"/>
      <c r="J37" s="1620"/>
      <c r="K37" s="1616"/>
      <c r="L37" s="1616"/>
      <c r="M37" s="1616"/>
      <c r="N37" s="1616"/>
      <c r="O37" s="1616"/>
      <c r="P37" s="1616"/>
      <c r="Q37" s="1616"/>
      <c r="R37" s="1616"/>
      <c r="S37" s="1616"/>
      <c r="T37" s="1616"/>
      <c r="U37" s="1616"/>
      <c r="V37" s="1616"/>
      <c r="W37" s="1616"/>
      <c r="X37" s="1616"/>
      <c r="Y37" s="1616"/>
      <c r="Z37" s="1616"/>
      <c r="AA37" s="1616"/>
      <c r="AB37" s="1616"/>
      <c r="AC37" s="1616"/>
      <c r="AD37" s="1616"/>
      <c r="AE37" s="1616"/>
      <c r="AF37" s="1616"/>
      <c r="AG37" s="1616"/>
      <c r="AH37" s="1616"/>
      <c r="AI37" s="1616"/>
      <c r="AJ37" s="1616"/>
      <c r="AK37" s="1616"/>
      <c r="AL37" s="1616"/>
      <c r="AM37" s="1616"/>
      <c r="AN37" s="1616"/>
      <c r="AO37" s="1616"/>
      <c r="AP37" s="1616"/>
      <c r="AQ37" s="1616"/>
      <c r="AR37" s="1616"/>
      <c r="AS37" s="1616"/>
      <c r="AT37" s="1616"/>
      <c r="AU37" s="1616"/>
      <c r="AV37" s="1616"/>
      <c r="AW37" s="1616"/>
      <c r="AX37" s="1616"/>
      <c r="AY37" s="1616"/>
      <c r="AZ37" s="1616"/>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c r="CF37" s="1616"/>
      <c r="CG37" s="1616"/>
      <c r="CH37" s="1616"/>
      <c r="CI37" s="1616"/>
      <c r="CJ37" s="1616"/>
      <c r="CK37" s="1616"/>
      <c r="CL37" s="1616"/>
      <c r="CM37" s="1616"/>
      <c r="CN37" s="1616"/>
      <c r="CO37" s="1616"/>
      <c r="CP37" s="1616"/>
      <c r="CQ37" s="1616"/>
      <c r="CR37" s="1616"/>
      <c r="CS37" s="1616"/>
      <c r="CT37" s="1616"/>
      <c r="CU37" s="1616"/>
      <c r="CV37" s="1616"/>
      <c r="CW37" s="1616"/>
      <c r="CX37" s="1616"/>
      <c r="CY37" s="1616"/>
      <c r="CZ37" s="1616"/>
      <c r="DA37" s="1616"/>
      <c r="DB37" s="1616"/>
      <c r="DC37" s="1616"/>
      <c r="DD37" s="1616"/>
      <c r="DE37" s="1616"/>
      <c r="DF37" s="1616"/>
      <c r="DG37" s="1616"/>
      <c r="DH37" s="1616"/>
      <c r="DI37" s="1616"/>
      <c r="DJ37" s="1616"/>
      <c r="DK37" s="1616"/>
      <c r="DL37" s="1616"/>
      <c r="DM37" s="1616"/>
      <c r="DN37" s="1616"/>
      <c r="DO37" s="1616"/>
      <c r="DP37" s="1616"/>
      <c r="DQ37" s="1616"/>
      <c r="DR37" s="1616"/>
      <c r="DS37" s="1616"/>
      <c r="DT37" s="1616"/>
      <c r="DU37" s="1616"/>
      <c r="DV37" s="1616"/>
      <c r="DW37" s="1616"/>
      <c r="DX37" s="1616"/>
      <c r="DY37" s="1616"/>
      <c r="DZ37" s="1616"/>
      <c r="EA37" s="1616"/>
      <c r="EB37" s="1616"/>
      <c r="EC37" s="1616"/>
      <c r="ED37" s="1616"/>
      <c r="EE37" s="1616"/>
      <c r="EF37" s="1616"/>
      <c r="EG37" s="1616"/>
      <c r="EH37" s="1616"/>
      <c r="EI37" s="1616"/>
      <c r="EJ37" s="1616"/>
      <c r="EK37" s="1616"/>
      <c r="EL37" s="1616"/>
      <c r="EM37" s="1616"/>
      <c r="EN37" s="1616"/>
      <c r="EO37" s="1616"/>
      <c r="EP37" s="1616"/>
      <c r="EQ37" s="1616"/>
      <c r="ER37" s="1616"/>
      <c r="ES37" s="1616"/>
      <c r="ET37" s="1616"/>
      <c r="EU37" s="1616"/>
      <c r="EV37" s="1616"/>
      <c r="EW37" s="1616"/>
      <c r="EX37" s="1616"/>
      <c r="EY37" s="1616"/>
      <c r="EZ37" s="1616"/>
      <c r="FA37" s="1616"/>
      <c r="FB37" s="1616"/>
      <c r="FC37" s="1616"/>
      <c r="FD37" s="1616"/>
      <c r="FE37" s="1616"/>
      <c r="FF37" s="1616"/>
      <c r="FG37" s="1616"/>
      <c r="FH37" s="1616"/>
      <c r="FI37" s="1616"/>
      <c r="FJ37" s="1616"/>
      <c r="FK37" s="1616"/>
      <c r="FL37" s="1616"/>
      <c r="FM37" s="1616"/>
      <c r="FN37" s="1616"/>
      <c r="FO37" s="1616"/>
      <c r="FP37" s="1616"/>
      <c r="FQ37" s="1616"/>
      <c r="FR37" s="1616"/>
      <c r="FS37" s="1616"/>
      <c r="FT37" s="1616"/>
      <c r="FU37" s="1616"/>
      <c r="FV37" s="1616"/>
      <c r="FW37" s="1616"/>
      <c r="FX37" s="1616"/>
      <c r="FY37" s="1616"/>
      <c r="FZ37" s="1616"/>
      <c r="GA37" s="1616"/>
      <c r="GB37" s="1616"/>
      <c r="GC37" s="1616"/>
      <c r="GD37" s="1616"/>
      <c r="GE37" s="1616"/>
      <c r="GF37" s="1616"/>
      <c r="GG37" s="1616"/>
      <c r="GH37" s="1616"/>
      <c r="GI37" s="1616"/>
      <c r="GJ37" s="1616"/>
      <c r="GK37" s="1616"/>
      <c r="GL37" s="1616"/>
      <c r="GM37" s="1616"/>
      <c r="GN37" s="1616"/>
      <c r="GO37" s="1616"/>
      <c r="GP37" s="1616"/>
      <c r="GQ37" s="1616"/>
      <c r="GR37" s="1616"/>
      <c r="GS37" s="1616"/>
      <c r="GT37" s="1616"/>
      <c r="GU37" s="1616"/>
      <c r="GV37" s="1616"/>
      <c r="GW37" s="1616"/>
      <c r="GX37" s="1616"/>
      <c r="GY37" s="1616"/>
      <c r="GZ37" s="1616"/>
      <c r="HA37" s="1616"/>
      <c r="HB37" s="1616"/>
      <c r="HC37" s="1616"/>
      <c r="HD37" s="1616"/>
      <c r="HE37" s="1616"/>
      <c r="HF37" s="1616"/>
      <c r="HG37" s="1616"/>
      <c r="HH37" s="1616"/>
      <c r="HI37" s="1616"/>
      <c r="HJ37" s="1616"/>
      <c r="HK37" s="1616"/>
      <c r="HL37" s="1616"/>
      <c r="HM37" s="1616"/>
      <c r="HN37" s="1616"/>
      <c r="HO37" s="1616"/>
      <c r="HP37" s="1616"/>
      <c r="HQ37" s="1616"/>
      <c r="HR37" s="1616"/>
      <c r="HS37" s="1616"/>
      <c r="HT37" s="1616"/>
      <c r="HU37" s="1616"/>
      <c r="HV37" s="1616"/>
      <c r="HW37" s="1616"/>
      <c r="HX37" s="1616"/>
      <c r="HY37" s="1616"/>
      <c r="HZ37" s="1616"/>
      <c r="IA37" s="1616"/>
      <c r="IB37" s="1616"/>
      <c r="IC37" s="1616"/>
      <c r="ID37" s="1616"/>
      <c r="IE37" s="1616"/>
      <c r="IF37" s="1616"/>
      <c r="IG37" s="1616"/>
      <c r="IH37" s="1616"/>
      <c r="II37" s="1616"/>
      <c r="IJ37" s="1616"/>
      <c r="IK37" s="1616"/>
      <c r="IL37" s="1616"/>
      <c r="IM37" s="1616"/>
      <c r="IN37" s="1616"/>
      <c r="IO37" s="1616"/>
      <c r="IP37" s="1616"/>
      <c r="IQ37" s="1616"/>
      <c r="IR37" s="1616"/>
      <c r="IS37" s="1616"/>
      <c r="IT37" s="1616"/>
      <c r="IU37" s="1616"/>
    </row>
    <row r="38" spans="1:255" ht="12" customHeight="1">
      <c r="A38" s="1615"/>
      <c r="B38" s="1618"/>
      <c r="C38" s="1631" t="s">
        <v>1476</v>
      </c>
      <c r="E38" s="1618"/>
      <c r="F38" s="1618"/>
      <c r="G38" s="1618"/>
      <c r="H38" s="1618"/>
      <c r="I38" s="1618"/>
      <c r="J38" s="1620"/>
      <c r="K38" s="1616"/>
    </row>
    <row r="39" spans="1:255">
      <c r="A39" s="1615"/>
      <c r="B39" s="1637" t="s">
        <v>1477</v>
      </c>
      <c r="C39" s="1631"/>
      <c r="D39" s="1633" t="s">
        <v>1478</v>
      </c>
      <c r="E39" s="1618"/>
      <c r="F39" s="1618"/>
      <c r="G39" s="1618"/>
      <c r="H39" s="1618"/>
      <c r="I39" s="1618"/>
      <c r="J39" s="1620">
        <v>88</v>
      </c>
      <c r="K39" s="1616"/>
    </row>
    <row r="40" spans="1:255">
      <c r="A40" s="1615"/>
      <c r="B40" s="1637" t="s">
        <v>1479</v>
      </c>
      <c r="C40" s="1631"/>
      <c r="D40" s="1634" t="s">
        <v>1480</v>
      </c>
      <c r="E40" s="1622"/>
      <c r="F40" s="1622"/>
      <c r="G40" s="1622"/>
      <c r="H40" s="1622"/>
      <c r="I40" s="1622"/>
      <c r="J40" s="1620">
        <v>89</v>
      </c>
      <c r="K40" s="1616"/>
    </row>
    <row r="41" spans="1:255">
      <c r="A41" s="1615"/>
      <c r="B41" s="1637" t="s">
        <v>1481</v>
      </c>
      <c r="C41" s="1631"/>
      <c r="D41" s="1634" t="s">
        <v>1482</v>
      </c>
      <c r="E41" s="1622"/>
      <c r="F41" s="1622"/>
      <c r="G41" s="1622"/>
      <c r="H41" s="1622"/>
      <c r="I41" s="1622"/>
      <c r="J41" s="1620">
        <v>90</v>
      </c>
      <c r="K41" s="1616"/>
    </row>
    <row r="42" spans="1:255">
      <c r="A42" s="1615"/>
      <c r="B42" s="1637" t="s">
        <v>1483</v>
      </c>
      <c r="C42" s="1631"/>
      <c r="D42" s="1634" t="s">
        <v>1484</v>
      </c>
      <c r="E42" s="1624"/>
      <c r="F42" s="1624"/>
      <c r="G42" s="1624"/>
      <c r="H42" s="1624"/>
      <c r="I42" s="1624"/>
      <c r="J42" s="1620">
        <v>91</v>
      </c>
      <c r="K42" s="1616"/>
    </row>
    <row r="43" spans="1:255" ht="7.5" customHeight="1">
      <c r="A43" s="1615"/>
      <c r="B43" s="1618"/>
      <c r="C43" s="1631"/>
      <c r="D43" s="1625"/>
      <c r="E43" s="1625"/>
      <c r="F43" s="1625"/>
      <c r="G43" s="1625"/>
      <c r="H43" s="1625"/>
      <c r="I43" s="1625"/>
      <c r="J43" s="1620"/>
      <c r="K43" s="1616"/>
    </row>
    <row r="44" spans="1:255" ht="12.75" customHeight="1">
      <c r="A44" s="1615"/>
      <c r="B44" s="1618"/>
      <c r="C44" s="1631"/>
      <c r="D44" s="1625"/>
      <c r="E44" s="1625"/>
      <c r="F44" s="1625"/>
      <c r="G44" s="1625"/>
      <c r="H44" s="1625"/>
      <c r="I44" s="1625"/>
      <c r="J44" s="1620"/>
      <c r="K44" s="1616"/>
    </row>
    <row r="45" spans="1:255" ht="12.75" customHeight="1">
      <c r="A45" s="1615" t="s">
        <v>1467</v>
      </c>
      <c r="B45" s="1618"/>
      <c r="C45" s="1631"/>
      <c r="D45" s="1625"/>
      <c r="E45" s="1625"/>
      <c r="F45" s="1625"/>
      <c r="G45" s="1625"/>
      <c r="H45" s="1625"/>
      <c r="I45" s="1625"/>
      <c r="J45" s="1620"/>
      <c r="K45" s="1616"/>
    </row>
    <row r="46" spans="1:255" ht="12.75" customHeight="1">
      <c r="A46" s="1615"/>
      <c r="B46" s="1618"/>
      <c r="C46" s="1631" t="s">
        <v>1485</v>
      </c>
      <c r="D46" s="1625"/>
      <c r="E46" s="1625"/>
      <c r="F46" s="1625"/>
      <c r="G46" s="1625"/>
      <c r="H46" s="1625"/>
      <c r="I46" s="1625"/>
      <c r="J46" s="1620"/>
      <c r="K46" s="1616"/>
    </row>
    <row r="47" spans="1:255">
      <c r="A47" s="1615"/>
      <c r="B47" s="1637" t="s">
        <v>1486</v>
      </c>
      <c r="C47" s="1631"/>
      <c r="D47" s="1618" t="s">
        <v>1487</v>
      </c>
      <c r="E47" s="1618"/>
      <c r="F47" s="1618"/>
      <c r="G47" s="1618"/>
      <c r="H47" s="1618"/>
      <c r="I47" s="1618"/>
      <c r="J47" s="1620">
        <v>92</v>
      </c>
      <c r="K47" s="1616"/>
    </row>
    <row r="48" spans="1:255">
      <c r="A48" s="1615"/>
      <c r="B48" s="1637" t="s">
        <v>1488</v>
      </c>
      <c r="C48" s="1631"/>
      <c r="D48" s="1622" t="s">
        <v>1489</v>
      </c>
      <c r="E48" s="1622"/>
      <c r="F48" s="1622"/>
      <c r="G48" s="1622"/>
      <c r="H48" s="1622"/>
      <c r="I48" s="1622"/>
      <c r="J48" s="1620">
        <v>93</v>
      </c>
      <c r="K48" s="1616"/>
    </row>
    <row r="49" spans="1:11">
      <c r="A49" s="1615"/>
      <c r="B49" s="1637" t="s">
        <v>1490</v>
      </c>
      <c r="C49" s="1631"/>
      <c r="D49" s="1626" t="s">
        <v>2603</v>
      </c>
      <c r="E49" s="1622"/>
      <c r="F49" s="1622"/>
      <c r="G49" s="1622"/>
      <c r="H49" s="1622"/>
      <c r="I49" s="1622"/>
      <c r="J49" s="1620">
        <v>94</v>
      </c>
      <c r="K49" s="1616"/>
    </row>
    <row r="50" spans="1:11">
      <c r="A50" s="1615"/>
      <c r="B50" s="1637" t="s">
        <v>1491</v>
      </c>
      <c r="C50" s="1631"/>
      <c r="D50" s="1622" t="s">
        <v>1492</v>
      </c>
      <c r="E50" s="1622"/>
      <c r="F50" s="1622"/>
      <c r="G50" s="1622"/>
      <c r="H50" s="1622"/>
      <c r="I50" s="1622"/>
      <c r="J50" s="1620">
        <v>97</v>
      </c>
      <c r="K50" s="1616"/>
    </row>
    <row r="51" spans="1:11">
      <c r="A51" s="1615"/>
      <c r="B51" s="1637" t="s">
        <v>1493</v>
      </c>
      <c r="C51" s="1631"/>
      <c r="D51" s="1622" t="s">
        <v>2547</v>
      </c>
      <c r="E51" s="1622"/>
      <c r="F51" s="1622"/>
      <c r="G51" s="1622"/>
      <c r="H51" s="1622"/>
      <c r="I51" s="1622"/>
      <c r="J51" s="1620">
        <v>99</v>
      </c>
      <c r="K51" s="1616"/>
    </row>
    <row r="52" spans="1:11">
      <c r="A52" s="1615"/>
      <c r="B52" s="1637" t="s">
        <v>1494</v>
      </c>
      <c r="C52" s="1631"/>
      <c r="D52" s="1622" t="s">
        <v>1495</v>
      </c>
      <c r="E52" s="1622"/>
      <c r="F52" s="1622"/>
      <c r="G52" s="1622"/>
      <c r="H52" s="1622"/>
      <c r="I52" s="1622"/>
      <c r="J52" s="1620">
        <v>100</v>
      </c>
      <c r="K52" s="1616"/>
    </row>
    <row r="53" spans="1:11" ht="12.75" customHeight="1">
      <c r="A53" s="1615"/>
      <c r="B53" s="1637" t="s">
        <v>1496</v>
      </c>
      <c r="C53" s="1631"/>
      <c r="D53" s="2163" t="s">
        <v>2604</v>
      </c>
      <c r="E53" s="2164"/>
      <c r="F53" s="2164"/>
      <c r="G53" s="2164"/>
      <c r="H53" s="2164"/>
      <c r="I53" s="2164"/>
      <c r="J53" s="1620">
        <v>103</v>
      </c>
      <c r="K53" s="1616"/>
    </row>
    <row r="54" spans="1:11">
      <c r="A54" s="1615"/>
      <c r="B54" s="1637" t="s">
        <v>2521</v>
      </c>
      <c r="C54" s="1631"/>
      <c r="D54" s="2165" t="s">
        <v>2605</v>
      </c>
      <c r="E54" s="1622"/>
      <c r="F54" s="1622"/>
      <c r="G54" s="1622"/>
      <c r="H54" s="1622"/>
      <c r="I54" s="1622"/>
      <c r="J54" s="1620">
        <v>104</v>
      </c>
      <c r="K54" s="1616"/>
    </row>
    <row r="55" spans="1:11">
      <c r="A55" s="1615"/>
      <c r="B55" s="1637" t="s">
        <v>2522</v>
      </c>
      <c r="C55" s="1631"/>
      <c r="D55" s="2165" t="s">
        <v>2606</v>
      </c>
      <c r="E55" s="1622"/>
      <c r="F55" s="1622"/>
      <c r="G55" s="1622"/>
      <c r="H55" s="1622"/>
      <c r="I55" s="1622"/>
      <c r="J55" s="1620">
        <v>105</v>
      </c>
      <c r="K55" s="1616"/>
    </row>
    <row r="56" spans="1:11">
      <c r="A56" s="1615"/>
      <c r="B56" s="1637" t="s">
        <v>2523</v>
      </c>
      <c r="C56" s="1631"/>
      <c r="D56" s="2165" t="s">
        <v>2607</v>
      </c>
      <c r="E56" s="1622"/>
      <c r="F56" s="1622"/>
      <c r="G56" s="1622"/>
      <c r="H56" s="1622"/>
      <c r="I56" s="1622"/>
      <c r="J56" s="1620">
        <v>106</v>
      </c>
      <c r="K56" s="1616"/>
    </row>
    <row r="57" spans="1:11" ht="7.5" customHeight="1">
      <c r="A57" s="1615"/>
      <c r="B57" s="1618"/>
      <c r="C57" s="1631"/>
      <c r="D57" s="1622"/>
      <c r="E57" s="1622"/>
      <c r="F57" s="1622"/>
      <c r="G57" s="1622"/>
      <c r="H57" s="1622"/>
      <c r="I57" s="1622"/>
      <c r="J57" s="1620"/>
      <c r="K57" s="1616"/>
    </row>
    <row r="58" spans="1:11">
      <c r="A58" s="1615"/>
      <c r="B58" s="1618"/>
      <c r="C58" s="1631" t="s">
        <v>1497</v>
      </c>
      <c r="D58" s="1618"/>
      <c r="E58" s="1618"/>
      <c r="F58" s="1618"/>
      <c r="G58" s="1618"/>
      <c r="H58" s="1618"/>
      <c r="I58" s="1618"/>
      <c r="J58" s="1620"/>
      <c r="K58" s="1616"/>
    </row>
    <row r="59" spans="1:11">
      <c r="A59" s="1615"/>
      <c r="B59" s="1637" t="s">
        <v>1498</v>
      </c>
      <c r="C59" s="1631"/>
      <c r="D59" s="1618" t="s">
        <v>1452</v>
      </c>
      <c r="E59" s="1618"/>
      <c r="F59" s="1618"/>
      <c r="G59" s="1618"/>
      <c r="H59" s="1618"/>
      <c r="I59" s="1618"/>
      <c r="J59" s="1620">
        <v>107</v>
      </c>
      <c r="K59" s="1616"/>
    </row>
    <row r="60" spans="1:11" ht="13.5" customHeight="1">
      <c r="A60" s="1615"/>
      <c r="B60" s="1637" t="s">
        <v>1499</v>
      </c>
      <c r="C60" s="1631"/>
      <c r="D60" s="1622" t="s">
        <v>1500</v>
      </c>
      <c r="E60" s="1622"/>
      <c r="F60" s="1622"/>
      <c r="G60" s="1622"/>
      <c r="H60" s="1622"/>
      <c r="I60" s="1622"/>
      <c r="J60" s="1620">
        <v>109</v>
      </c>
      <c r="K60" s="1616"/>
    </row>
    <row r="61" spans="1:11" ht="12.75" customHeight="1">
      <c r="A61" s="1615"/>
      <c r="B61" s="1637" t="s">
        <v>1501</v>
      </c>
      <c r="C61" s="1631"/>
      <c r="D61" s="1622" t="s">
        <v>1453</v>
      </c>
      <c r="E61" s="1622"/>
      <c r="F61" s="1622"/>
      <c r="G61" s="1622"/>
      <c r="H61" s="1622"/>
      <c r="I61" s="1622"/>
      <c r="J61" s="1620">
        <v>111</v>
      </c>
      <c r="K61" s="1616"/>
    </row>
    <row r="62" spans="1:11" ht="15.75" customHeight="1">
      <c r="A62" s="1615"/>
      <c r="B62" s="1637" t="s">
        <v>1502</v>
      </c>
      <c r="C62" s="1631"/>
      <c r="D62" s="1622" t="s">
        <v>1454</v>
      </c>
      <c r="E62" s="1622"/>
      <c r="F62" s="1622"/>
      <c r="G62" s="1622"/>
      <c r="H62" s="1622"/>
      <c r="I62" s="1622"/>
      <c r="J62" s="1620">
        <v>112</v>
      </c>
      <c r="K62" s="1616"/>
    </row>
    <row r="63" spans="1:11" ht="14.25" customHeight="1">
      <c r="A63" s="1615"/>
      <c r="B63" s="1637" t="s">
        <v>1503</v>
      </c>
      <c r="C63" s="1631"/>
      <c r="D63" s="1626" t="s">
        <v>1504</v>
      </c>
      <c r="E63" s="1622"/>
      <c r="F63" s="1622"/>
      <c r="G63" s="1622"/>
      <c r="H63" s="1622"/>
      <c r="I63" s="1622"/>
      <c r="J63" s="1620">
        <v>113</v>
      </c>
      <c r="K63" s="1616"/>
    </row>
    <row r="64" spans="1:11">
      <c r="A64" s="1615"/>
      <c r="B64" s="1637" t="s">
        <v>1505</v>
      </c>
      <c r="C64" s="1631"/>
      <c r="D64" s="1623" t="s">
        <v>1506</v>
      </c>
      <c r="E64" s="1624"/>
      <c r="F64" s="1624"/>
      <c r="G64" s="1624"/>
      <c r="H64" s="1624"/>
      <c r="I64" s="1624"/>
      <c r="J64" s="1620">
        <v>114</v>
      </c>
      <c r="K64" s="1616"/>
    </row>
    <row r="65" spans="1:255">
      <c r="A65" s="1615"/>
      <c r="B65" s="1618"/>
      <c r="C65" s="1631"/>
      <c r="D65" s="1625"/>
      <c r="E65" s="1625"/>
      <c r="F65" s="1625"/>
      <c r="G65" s="1625"/>
      <c r="H65" s="1625"/>
      <c r="I65" s="1625"/>
      <c r="J65" s="1620"/>
      <c r="K65" s="1616"/>
    </row>
    <row r="66" spans="1:255">
      <c r="A66" s="1615"/>
      <c r="B66" s="1618"/>
      <c r="C66" s="1631" t="s">
        <v>1507</v>
      </c>
      <c r="D66" s="1618"/>
      <c r="E66" s="1618"/>
      <c r="F66" s="1618"/>
      <c r="G66" s="1618"/>
      <c r="H66" s="1618"/>
      <c r="I66" s="1618"/>
      <c r="J66" s="1620"/>
      <c r="K66" s="1616"/>
    </row>
    <row r="67" spans="1:255">
      <c r="A67" s="1615"/>
      <c r="B67" s="1637" t="s">
        <v>1508</v>
      </c>
      <c r="D67" s="1627" t="s">
        <v>2608</v>
      </c>
      <c r="E67" s="1631"/>
      <c r="F67" s="1631"/>
      <c r="G67" s="1631"/>
      <c r="H67" s="1631"/>
      <c r="I67" s="1631"/>
      <c r="J67" s="1620">
        <v>115</v>
      </c>
      <c r="K67" s="1616"/>
    </row>
    <row r="68" spans="1:255" ht="12" customHeight="1">
      <c r="A68" s="1615"/>
      <c r="B68" s="1637" t="s">
        <v>1509</v>
      </c>
      <c r="D68" s="1622" t="s">
        <v>2609</v>
      </c>
      <c r="E68" s="1635"/>
      <c r="F68" s="1635"/>
      <c r="G68" s="1635"/>
      <c r="H68" s="1635"/>
      <c r="I68" s="1635"/>
      <c r="J68" s="1620">
        <v>117</v>
      </c>
      <c r="K68" s="1616"/>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c r="CD68" s="1618"/>
      <c r="CE68" s="1618"/>
      <c r="CF68" s="1618"/>
      <c r="CG68" s="1618"/>
      <c r="CH68" s="1618"/>
      <c r="CI68" s="1618"/>
      <c r="CJ68" s="1618"/>
      <c r="CK68" s="1618"/>
      <c r="CL68" s="1618"/>
      <c r="CM68" s="1618"/>
      <c r="CN68" s="1618"/>
      <c r="CO68" s="1618"/>
      <c r="CP68" s="1618"/>
      <c r="CQ68" s="1618"/>
      <c r="CR68" s="1618"/>
      <c r="CS68" s="1618"/>
      <c r="CT68" s="1618"/>
      <c r="CU68" s="1618"/>
      <c r="CV68" s="1618"/>
      <c r="CW68" s="1618"/>
      <c r="CX68" s="1618"/>
      <c r="CY68" s="1618"/>
      <c r="CZ68" s="1618"/>
      <c r="DA68" s="1618"/>
      <c r="DB68" s="1618"/>
      <c r="DC68" s="1618"/>
      <c r="DD68" s="1618"/>
      <c r="DE68" s="1618"/>
      <c r="DF68" s="1618"/>
      <c r="DG68" s="1618"/>
      <c r="DH68" s="1618"/>
      <c r="DI68" s="1618"/>
      <c r="DJ68" s="1618"/>
      <c r="DK68" s="1618"/>
      <c r="DL68" s="1618"/>
      <c r="DM68" s="1618"/>
      <c r="DN68" s="1618"/>
      <c r="DO68" s="1618"/>
      <c r="DP68" s="1618"/>
      <c r="DQ68" s="1618"/>
      <c r="DR68" s="1618"/>
      <c r="DS68" s="1618"/>
      <c r="DT68" s="1618"/>
      <c r="DU68" s="1618"/>
      <c r="DV68" s="1618"/>
      <c r="DW68" s="1618"/>
      <c r="DX68" s="1618"/>
      <c r="DY68" s="1618"/>
      <c r="DZ68" s="1618"/>
      <c r="EA68" s="1618"/>
      <c r="EB68" s="1618"/>
      <c r="EC68" s="1618"/>
      <c r="ED68" s="1618"/>
      <c r="EE68" s="1618"/>
      <c r="EF68" s="1618"/>
      <c r="EG68" s="1618"/>
      <c r="EH68" s="1618"/>
      <c r="EI68" s="1618"/>
      <c r="EJ68" s="1618"/>
      <c r="EK68" s="1618"/>
      <c r="EL68" s="1618"/>
      <c r="EM68" s="1618"/>
      <c r="EN68" s="1618"/>
      <c r="EO68" s="1618"/>
      <c r="EP68" s="1618"/>
      <c r="EQ68" s="1618"/>
      <c r="ER68" s="1618"/>
      <c r="ES68" s="1618"/>
      <c r="ET68" s="1618"/>
      <c r="EU68" s="1618"/>
      <c r="EV68" s="1618"/>
      <c r="EW68" s="1618"/>
      <c r="EX68" s="1618"/>
      <c r="EY68" s="1618"/>
      <c r="EZ68" s="1618"/>
      <c r="FA68" s="1618"/>
      <c r="FB68" s="1618"/>
      <c r="FC68" s="1618"/>
      <c r="FD68" s="1618"/>
      <c r="FE68" s="1618"/>
      <c r="FF68" s="1618"/>
      <c r="FG68" s="1618"/>
      <c r="FH68" s="1618"/>
      <c r="FI68" s="1618"/>
      <c r="FJ68" s="1618"/>
      <c r="FK68" s="1618"/>
      <c r="FL68" s="1618"/>
      <c r="FM68" s="1618"/>
      <c r="FN68" s="1618"/>
      <c r="FO68" s="1618"/>
      <c r="FP68" s="1618"/>
      <c r="FQ68" s="1618"/>
      <c r="FR68" s="1618"/>
      <c r="FS68" s="1618"/>
      <c r="FT68" s="1618"/>
      <c r="FU68" s="1618"/>
      <c r="FV68" s="1618"/>
      <c r="FW68" s="1618"/>
      <c r="FX68" s="1618"/>
      <c r="FY68" s="1618"/>
      <c r="FZ68" s="1618"/>
      <c r="GA68" s="1618"/>
      <c r="GB68" s="1618"/>
      <c r="GC68" s="1618"/>
      <c r="GD68" s="1618"/>
      <c r="GE68" s="1618"/>
      <c r="GF68" s="1618"/>
      <c r="GG68" s="1618"/>
      <c r="GH68" s="1618"/>
      <c r="GI68" s="1618"/>
      <c r="GJ68" s="1618"/>
      <c r="GK68" s="1618"/>
      <c r="GL68" s="1618"/>
      <c r="GM68" s="1618"/>
      <c r="GN68" s="1618"/>
      <c r="GO68" s="1618"/>
      <c r="GP68" s="1618"/>
      <c r="GQ68" s="1618"/>
      <c r="GR68" s="1618"/>
      <c r="GS68" s="1618"/>
      <c r="GT68" s="1618"/>
      <c r="GU68" s="1618"/>
      <c r="GV68" s="1618"/>
      <c r="GW68" s="1618"/>
      <c r="GX68" s="1618"/>
      <c r="GY68" s="1618"/>
      <c r="GZ68" s="1618"/>
      <c r="HA68" s="1618"/>
      <c r="HB68" s="1618"/>
      <c r="HC68" s="1618"/>
      <c r="HD68" s="1618"/>
      <c r="HE68" s="1618"/>
      <c r="HF68" s="1618"/>
      <c r="HG68" s="1618"/>
      <c r="HH68" s="1618"/>
      <c r="HI68" s="1618"/>
      <c r="HJ68" s="1618"/>
      <c r="HK68" s="1618"/>
      <c r="HL68" s="1618"/>
      <c r="HM68" s="1618"/>
      <c r="HN68" s="1618"/>
      <c r="HO68" s="1618"/>
      <c r="HP68" s="1618"/>
      <c r="HQ68" s="1618"/>
      <c r="HR68" s="1618"/>
      <c r="HS68" s="1618"/>
      <c r="HT68" s="1618"/>
      <c r="HU68" s="1618"/>
      <c r="HV68" s="1618"/>
      <c r="HW68" s="1618"/>
      <c r="HX68" s="1618"/>
      <c r="HY68" s="1618"/>
      <c r="HZ68" s="1618"/>
      <c r="IA68" s="1618"/>
      <c r="IB68" s="1618"/>
      <c r="IC68" s="1618"/>
      <c r="ID68" s="1618"/>
      <c r="IE68" s="1618"/>
      <c r="IF68" s="1618"/>
      <c r="IG68" s="1618"/>
      <c r="IH68" s="1618"/>
      <c r="II68" s="1618"/>
      <c r="IJ68" s="1618"/>
      <c r="IK68" s="1618"/>
      <c r="IL68" s="1618"/>
      <c r="IM68" s="1618"/>
      <c r="IN68" s="1618"/>
      <c r="IO68" s="1618"/>
      <c r="IP68" s="1618"/>
      <c r="IQ68" s="1618"/>
      <c r="IR68" s="1618"/>
      <c r="IS68" s="1618"/>
      <c r="IT68" s="1618"/>
      <c r="IU68" s="1618"/>
    </row>
    <row r="69" spans="1:255" ht="12" customHeight="1">
      <c r="A69" s="1615"/>
      <c r="B69" s="1637" t="s">
        <v>1510</v>
      </c>
      <c r="D69" s="1622" t="s">
        <v>1511</v>
      </c>
      <c r="E69" s="1635"/>
      <c r="F69" s="1635"/>
      <c r="G69" s="1635"/>
      <c r="H69" s="1635"/>
      <c r="I69" s="1635"/>
      <c r="J69" s="1620">
        <v>118</v>
      </c>
      <c r="K69" s="1616"/>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c r="CD69" s="1618"/>
      <c r="CE69" s="1618"/>
      <c r="CF69" s="1618"/>
      <c r="CG69" s="1618"/>
      <c r="CH69" s="1618"/>
      <c r="CI69" s="1618"/>
      <c r="CJ69" s="1618"/>
      <c r="CK69" s="1618"/>
      <c r="CL69" s="1618"/>
      <c r="CM69" s="1618"/>
      <c r="CN69" s="1618"/>
      <c r="CO69" s="1618"/>
      <c r="CP69" s="1618"/>
      <c r="CQ69" s="1618"/>
      <c r="CR69" s="1618"/>
      <c r="CS69" s="1618"/>
      <c r="CT69" s="1618"/>
      <c r="CU69" s="1618"/>
      <c r="CV69" s="1618"/>
      <c r="CW69" s="1618"/>
      <c r="CX69" s="1618"/>
      <c r="CY69" s="1618"/>
      <c r="CZ69" s="1618"/>
      <c r="DA69" s="1618"/>
      <c r="DB69" s="1618"/>
      <c r="DC69" s="1618"/>
      <c r="DD69" s="1618"/>
      <c r="DE69" s="1618"/>
      <c r="DF69" s="1618"/>
      <c r="DG69" s="1618"/>
      <c r="DH69" s="1618"/>
      <c r="DI69" s="1618"/>
      <c r="DJ69" s="1618"/>
      <c r="DK69" s="1618"/>
      <c r="DL69" s="1618"/>
      <c r="DM69" s="1618"/>
      <c r="DN69" s="1618"/>
      <c r="DO69" s="1618"/>
      <c r="DP69" s="1618"/>
      <c r="DQ69" s="1618"/>
      <c r="DR69" s="1618"/>
      <c r="DS69" s="1618"/>
      <c r="DT69" s="1618"/>
      <c r="DU69" s="1618"/>
      <c r="DV69" s="1618"/>
      <c r="DW69" s="1618"/>
      <c r="DX69" s="1618"/>
      <c r="DY69" s="1618"/>
      <c r="DZ69" s="1618"/>
      <c r="EA69" s="1618"/>
      <c r="EB69" s="1618"/>
      <c r="EC69" s="1618"/>
      <c r="ED69" s="1618"/>
      <c r="EE69" s="1618"/>
      <c r="EF69" s="1618"/>
      <c r="EG69" s="1618"/>
      <c r="EH69" s="1618"/>
      <c r="EI69" s="1618"/>
      <c r="EJ69" s="1618"/>
      <c r="EK69" s="1618"/>
      <c r="EL69" s="1618"/>
      <c r="EM69" s="1618"/>
      <c r="EN69" s="1618"/>
      <c r="EO69" s="1618"/>
      <c r="EP69" s="1618"/>
      <c r="EQ69" s="1618"/>
      <c r="ER69" s="1618"/>
      <c r="ES69" s="1618"/>
      <c r="ET69" s="1618"/>
      <c r="EU69" s="1618"/>
      <c r="EV69" s="1618"/>
      <c r="EW69" s="1618"/>
      <c r="EX69" s="1618"/>
      <c r="EY69" s="1618"/>
      <c r="EZ69" s="1618"/>
      <c r="FA69" s="1618"/>
      <c r="FB69" s="1618"/>
      <c r="FC69" s="1618"/>
      <c r="FD69" s="1618"/>
      <c r="FE69" s="1618"/>
      <c r="FF69" s="1618"/>
      <c r="FG69" s="1618"/>
      <c r="FH69" s="1618"/>
      <c r="FI69" s="1618"/>
      <c r="FJ69" s="1618"/>
      <c r="FK69" s="1618"/>
      <c r="FL69" s="1618"/>
      <c r="FM69" s="1618"/>
      <c r="FN69" s="1618"/>
      <c r="FO69" s="1618"/>
      <c r="FP69" s="1618"/>
      <c r="FQ69" s="1618"/>
      <c r="FR69" s="1618"/>
      <c r="FS69" s="1618"/>
      <c r="FT69" s="1618"/>
      <c r="FU69" s="1618"/>
      <c r="FV69" s="1618"/>
      <c r="FW69" s="1618"/>
      <c r="FX69" s="1618"/>
      <c r="FY69" s="1618"/>
      <c r="FZ69" s="1618"/>
      <c r="GA69" s="1618"/>
      <c r="GB69" s="1618"/>
      <c r="GC69" s="1618"/>
      <c r="GD69" s="1618"/>
      <c r="GE69" s="1618"/>
      <c r="GF69" s="1618"/>
      <c r="GG69" s="1618"/>
      <c r="GH69" s="1618"/>
      <c r="GI69" s="1618"/>
      <c r="GJ69" s="1618"/>
      <c r="GK69" s="1618"/>
      <c r="GL69" s="1618"/>
      <c r="GM69" s="1618"/>
      <c r="GN69" s="1618"/>
      <c r="GO69" s="1618"/>
      <c r="GP69" s="1618"/>
      <c r="GQ69" s="1618"/>
      <c r="GR69" s="1618"/>
      <c r="GS69" s="1618"/>
      <c r="GT69" s="1618"/>
      <c r="GU69" s="1618"/>
      <c r="GV69" s="1618"/>
      <c r="GW69" s="1618"/>
      <c r="GX69" s="1618"/>
      <c r="GY69" s="1618"/>
      <c r="GZ69" s="1618"/>
      <c r="HA69" s="1618"/>
      <c r="HB69" s="1618"/>
      <c r="HC69" s="1618"/>
      <c r="HD69" s="1618"/>
      <c r="HE69" s="1618"/>
      <c r="HF69" s="1618"/>
      <c r="HG69" s="1618"/>
      <c r="HH69" s="1618"/>
      <c r="HI69" s="1618"/>
      <c r="HJ69" s="1618"/>
      <c r="HK69" s="1618"/>
      <c r="HL69" s="1618"/>
      <c r="HM69" s="1618"/>
      <c r="HN69" s="1618"/>
      <c r="HO69" s="1618"/>
      <c r="HP69" s="1618"/>
      <c r="HQ69" s="1618"/>
      <c r="HR69" s="1618"/>
      <c r="HS69" s="1618"/>
      <c r="HT69" s="1618"/>
      <c r="HU69" s="1618"/>
      <c r="HV69" s="1618"/>
      <c r="HW69" s="1618"/>
      <c r="HX69" s="1618"/>
      <c r="HY69" s="1618"/>
      <c r="HZ69" s="1618"/>
      <c r="IA69" s="1618"/>
      <c r="IB69" s="1618"/>
      <c r="IC69" s="1618"/>
      <c r="ID69" s="1618"/>
      <c r="IE69" s="1618"/>
      <c r="IF69" s="1618"/>
      <c r="IG69" s="1618"/>
      <c r="IH69" s="1618"/>
      <c r="II69" s="1618"/>
      <c r="IJ69" s="1618"/>
      <c r="IK69" s="1618"/>
      <c r="IL69" s="1618"/>
      <c r="IM69" s="1618"/>
      <c r="IN69" s="1618"/>
      <c r="IO69" s="1618"/>
      <c r="IP69" s="1618"/>
      <c r="IQ69" s="1618"/>
      <c r="IR69" s="1618"/>
      <c r="IS69" s="1618"/>
      <c r="IT69" s="1618"/>
      <c r="IU69" s="1618"/>
    </row>
    <row r="70" spans="1:255" ht="12" customHeight="1">
      <c r="A70" s="1615"/>
      <c r="B70" s="1637" t="s">
        <v>1512</v>
      </c>
      <c r="D70" s="1622" t="s">
        <v>1513</v>
      </c>
      <c r="E70" s="1635"/>
      <c r="F70" s="1635"/>
      <c r="G70" s="1635"/>
      <c r="H70" s="1635"/>
      <c r="I70" s="1635"/>
      <c r="J70" s="1620">
        <v>119</v>
      </c>
      <c r="K70" s="1616"/>
    </row>
    <row r="71" spans="1:255">
      <c r="A71" s="1615"/>
      <c r="B71" s="1637" t="s">
        <v>1514</v>
      </c>
      <c r="D71" s="1626" t="s">
        <v>2610</v>
      </c>
      <c r="E71" s="1635"/>
      <c r="F71" s="1635"/>
      <c r="G71" s="1635"/>
      <c r="H71" s="1635"/>
      <c r="I71" s="1635"/>
      <c r="J71" s="1620">
        <v>120</v>
      </c>
    </row>
    <row r="72" spans="1:255">
      <c r="A72" s="1631"/>
      <c r="B72" s="1637" t="s">
        <v>1515</v>
      </c>
      <c r="C72" s="1618"/>
      <c r="D72" s="1624" t="s">
        <v>2611</v>
      </c>
      <c r="E72" s="1624"/>
      <c r="F72" s="1624"/>
      <c r="G72" s="1624"/>
      <c r="H72" s="1624"/>
      <c r="I72" s="1624"/>
      <c r="J72" s="1620">
        <v>121</v>
      </c>
    </row>
    <row r="73" spans="1:255">
      <c r="A73" s="1631"/>
      <c r="B73" s="1637" t="s">
        <v>2524</v>
      </c>
      <c r="C73" s="1618"/>
      <c r="D73" s="1624" t="s">
        <v>1516</v>
      </c>
      <c r="E73" s="1624"/>
      <c r="F73" s="1624"/>
      <c r="G73" s="1624"/>
      <c r="H73" s="1624"/>
      <c r="I73" s="1624"/>
      <c r="J73" s="1620">
        <v>124</v>
      </c>
    </row>
    <row r="74" spans="1:255">
      <c r="A74" s="1615"/>
      <c r="B74" s="1637" t="s">
        <v>1517</v>
      </c>
      <c r="D74" s="1632" t="s">
        <v>2271</v>
      </c>
      <c r="E74" s="1636"/>
      <c r="F74" s="1636"/>
      <c r="G74" s="1636"/>
      <c r="H74" s="1636"/>
      <c r="I74" s="1636"/>
      <c r="J74" s="1620">
        <v>133</v>
      </c>
    </row>
  </sheetData>
  <hyperlinks>
    <hyperlink ref="B19" location="'SCH 1'!A1" display="Schedule 1"/>
    <hyperlink ref="B20" location="'SCH 2'!A1" display="Schedule 2"/>
    <hyperlink ref="B21" location="'Sch 2-Misc Receipts'!A1" display="Schedule 2 Miscellaneous Receipts"/>
    <hyperlink ref="B22" location="'SCH 3'!A1" display="Schedule 3"/>
    <hyperlink ref="B23" location="'SCH 4'!A1" display="Schedule 4"/>
    <hyperlink ref="B24" location="'SCH 5'!A1" display="Schedule 5"/>
    <hyperlink ref="B25" location="'Sch 6'!A1" display="Schedule 6"/>
    <hyperlink ref="B26" location="'Sch 6 Supplemental'!A1" display="Schedule 6 Supplemental"/>
    <hyperlink ref="B28" location="'SCH 7'!A1" display="Schedule 7"/>
    <hyperlink ref="B32" location="'SCH 8'!A1" display="Schedule 8"/>
    <hyperlink ref="B33" location="'SCH 9'!A1" display="Schedule 9"/>
    <hyperlink ref="B36" location="'SCH 10'!A1" display="Schedule 10"/>
    <hyperlink ref="B39" location="'SCH 11'!A1" display="Schedule 11"/>
    <hyperlink ref="B40" location="'SCH 12'!A1" display="Schedule 12"/>
    <hyperlink ref="B41" location="'SCH 13'!A1" display="Schedule 13"/>
    <hyperlink ref="B42" location="'SCH 14'!A1" display="Schedule 14"/>
    <hyperlink ref="B47" location="'SCH 15'!A1" display="Schedule 15"/>
    <hyperlink ref="B48" location="'SCH 16'!A1" display="Schedule 16"/>
    <hyperlink ref="B49" location="'SCH 17'!A1" display="Schedule 17"/>
    <hyperlink ref="B50" location="'SCH 18 pg1'!A1" display="Schedule 18"/>
    <hyperlink ref="B51" location="'SCH 19'!A1" display="Schedule 19"/>
    <hyperlink ref="B52" location="'SCH 20'!A1" display="Schedule 20"/>
    <hyperlink ref="B53" location="'SCH 21'!A1" display="Schedule 21"/>
    <hyperlink ref="B54" location="'SCH 21A'!A1" display="Schedule 21a"/>
    <hyperlink ref="B55" location="'SCH 21B'!A1" display="Schedule 21b"/>
    <hyperlink ref="B56" location="'SCH 21C'!A1" display="Schedule 21c"/>
    <hyperlink ref="B59" location="'SCH 22'!A1" display="Schedule 22"/>
    <hyperlink ref="B60" location="'SCH 23'!A1" display="Schedule 23"/>
    <hyperlink ref="B61" location="'SCH 24'!A1" display="Schedule 24"/>
    <hyperlink ref="B62" location="'SCH 25'!A1" display="Schedule 25"/>
    <hyperlink ref="B63" location="'SCH 26 '!A1" display="Schedule 26"/>
    <hyperlink ref="B64" location="'SCH 27'!A1" display="Schedule 27"/>
    <hyperlink ref="B67" location="'SCH 28'!A1" display="Schedule 28"/>
    <hyperlink ref="B68" location="'SCH 29'!A1" display="Schedule 29"/>
    <hyperlink ref="B69" location="'SCH 30'!A1" display="Schedule 30"/>
    <hyperlink ref="B70" location="'SCH 31'!A1" display="Schedule 31"/>
    <hyperlink ref="B71" location="'SCH 32'!A1" display="Schedule 32"/>
    <hyperlink ref="B72" location="'SCH 33'!A1" display="Schedule 33"/>
    <hyperlink ref="B73" location="'SCH 34'!A1" display="Schedule 34"/>
    <hyperlink ref="B74" location="Appendix!A1" display="Appendix"/>
  </hyperlinks>
  <printOptions horizontalCentered="1"/>
  <pageMargins left="1" right="0.5" top="0.7" bottom="0.6" header="0" footer="0"/>
  <pageSetup scale="85" orientation="landscape" errors="blank"/>
  <headerFooter scaleWithDoc="0"/>
  <rowBreaks count="1" manualBreakCount="1">
    <brk id="44" max="9" man="1"/>
  </row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workbookViewId="0"/>
  </sheetViews>
  <sheetFormatPr baseColWidth="10" defaultColWidth="8.85546875" defaultRowHeight="15" x14ac:dyDescent="0"/>
  <cols>
    <col min="1" max="1" width="40.85546875" style="394" customWidth="1"/>
    <col min="2" max="2" width="2" style="394" customWidth="1"/>
    <col min="3" max="3" width="15.5703125" style="394" customWidth="1"/>
    <col min="4" max="4" width="2" style="394" customWidth="1"/>
    <col min="5" max="5" width="19.140625" style="394" customWidth="1"/>
    <col min="6" max="6" width="1.85546875" style="405" customWidth="1"/>
    <col min="7" max="7" width="19.5703125" style="394" customWidth="1"/>
    <col min="8" max="8" width="2.140625" style="394" customWidth="1"/>
    <col min="9" max="9" width="21" style="394" customWidth="1"/>
    <col min="10" max="10" width="2.140625" style="394" customWidth="1"/>
    <col min="11" max="11" width="20.5703125" style="394" customWidth="1"/>
    <col min="12" max="12" width="2.140625" style="394" customWidth="1"/>
    <col min="13" max="13" width="15.5703125" style="394" customWidth="1"/>
    <col min="14" max="14" width="1.140625" style="450" customWidth="1"/>
    <col min="15" max="15" width="14.42578125" style="375" customWidth="1"/>
    <col min="16" max="16" width="11" style="374" customWidth="1"/>
    <col min="17" max="17" width="8.85546875" style="374"/>
    <col min="18" max="16384" width="8.85546875" style="375"/>
  </cols>
  <sheetData>
    <row r="1" spans="1:17">
      <c r="A1" s="1582" t="s">
        <v>1443</v>
      </c>
    </row>
    <row r="3" spans="1:17" ht="18" customHeight="1">
      <c r="A3" s="369" t="s">
        <v>259</v>
      </c>
      <c r="B3" s="370"/>
      <c r="C3" s="370"/>
      <c r="D3" s="371"/>
      <c r="E3" s="371"/>
      <c r="F3" s="371"/>
      <c r="G3" s="371"/>
      <c r="H3" s="371"/>
      <c r="I3" s="371"/>
      <c r="J3" s="371"/>
      <c r="K3" s="371"/>
      <c r="L3" s="371"/>
      <c r="M3" s="372"/>
      <c r="N3" s="373"/>
      <c r="O3" s="372" t="s">
        <v>260</v>
      </c>
    </row>
    <row r="4" spans="1:17" ht="20" customHeight="1">
      <c r="A4" s="369" t="s">
        <v>1</v>
      </c>
      <c r="B4" s="376"/>
      <c r="C4" s="376"/>
      <c r="D4" s="377"/>
      <c r="E4" s="377"/>
      <c r="F4" s="377"/>
      <c r="G4" s="377"/>
      <c r="H4" s="377"/>
      <c r="I4" s="377"/>
      <c r="J4" s="377"/>
      <c r="K4" s="377"/>
      <c r="L4" s="377"/>
      <c r="M4" s="377"/>
      <c r="N4" s="378"/>
      <c r="O4" s="379"/>
    </row>
    <row r="5" spans="1:17" ht="18" customHeight="1">
      <c r="A5" s="380" t="s">
        <v>2690</v>
      </c>
      <c r="B5" s="381"/>
      <c r="C5" s="381"/>
      <c r="D5" s="382"/>
      <c r="E5" s="382"/>
      <c r="F5" s="382"/>
      <c r="G5" s="382"/>
      <c r="H5" s="382"/>
      <c r="I5" s="382"/>
      <c r="J5" s="382"/>
      <c r="K5" s="382"/>
      <c r="L5" s="382"/>
      <c r="M5" s="382"/>
      <c r="N5" s="383"/>
      <c r="O5" s="384"/>
    </row>
    <row r="6" spans="1:17" ht="28" customHeight="1">
      <c r="A6" s="385" t="s">
        <v>2585</v>
      </c>
      <c r="B6" s="386"/>
      <c r="C6" s="386"/>
      <c r="D6" s="387"/>
      <c r="E6" s="387"/>
      <c r="F6" s="387"/>
      <c r="G6" s="387"/>
      <c r="H6" s="387"/>
      <c r="I6" s="387"/>
      <c r="J6" s="387"/>
      <c r="K6" s="387"/>
      <c r="L6" s="387"/>
      <c r="M6" s="387"/>
      <c r="N6" s="388"/>
      <c r="O6" s="389"/>
    </row>
    <row r="7" spans="1:17" ht="16" customHeight="1">
      <c r="A7" s="390" t="s">
        <v>4</v>
      </c>
      <c r="B7" s="391"/>
      <c r="C7" s="391"/>
      <c r="D7" s="382"/>
      <c r="E7" s="382"/>
      <c r="F7" s="382"/>
      <c r="G7" s="382"/>
      <c r="H7" s="382"/>
      <c r="I7" s="382"/>
      <c r="J7" s="382"/>
      <c r="K7" s="382"/>
      <c r="L7" s="382"/>
      <c r="M7" s="382"/>
      <c r="N7" s="383"/>
      <c r="P7" s="392"/>
    </row>
    <row r="8" spans="1:17" ht="18">
      <c r="A8" s="393"/>
      <c r="B8" s="393"/>
      <c r="D8" s="393"/>
      <c r="E8" s="395" t="s">
        <v>141</v>
      </c>
      <c r="F8" s="395"/>
      <c r="G8" s="395" t="s">
        <v>261</v>
      </c>
      <c r="H8" s="393"/>
      <c r="I8" s="395" t="s">
        <v>141</v>
      </c>
      <c r="J8" s="393"/>
      <c r="K8" s="395" t="s">
        <v>261</v>
      </c>
      <c r="L8" s="396"/>
      <c r="M8" s="382"/>
      <c r="N8" s="383"/>
      <c r="P8" s="392"/>
    </row>
    <row r="9" spans="1:17" ht="16">
      <c r="A9" s="393"/>
      <c r="B9" s="393"/>
      <c r="C9" s="397" t="s">
        <v>262</v>
      </c>
      <c r="D9" s="393"/>
      <c r="E9" s="398" t="s">
        <v>134</v>
      </c>
      <c r="F9" s="399"/>
      <c r="G9" s="398" t="s">
        <v>134</v>
      </c>
      <c r="H9" s="393"/>
      <c r="I9" s="397" t="s">
        <v>1444</v>
      </c>
      <c r="J9" s="393"/>
      <c r="K9" s="397" t="s">
        <v>1444</v>
      </c>
      <c r="L9" s="393"/>
      <c r="M9" s="400" t="s">
        <v>2584</v>
      </c>
      <c r="N9" s="401"/>
      <c r="O9" s="402" t="s">
        <v>1917</v>
      </c>
      <c r="P9" s="392"/>
      <c r="Q9" s="392"/>
    </row>
    <row r="10" spans="1:17" ht="16">
      <c r="A10" s="393" t="s">
        <v>263</v>
      </c>
      <c r="B10" s="403"/>
      <c r="C10" s="404"/>
      <c r="D10" s="404"/>
      <c r="H10" s="404"/>
      <c r="I10" s="404"/>
      <c r="J10" s="404"/>
      <c r="K10" s="404"/>
      <c r="L10" s="404"/>
      <c r="M10" s="404"/>
      <c r="N10" s="406"/>
      <c r="O10" s="389"/>
    </row>
    <row r="11" spans="1:17" ht="16">
      <c r="A11" s="407" t="s">
        <v>1413</v>
      </c>
      <c r="B11" s="408" t="s">
        <v>6</v>
      </c>
      <c r="C11" s="409">
        <v>21898704</v>
      </c>
      <c r="D11" s="408" t="s">
        <v>6</v>
      </c>
      <c r="E11" s="410">
        <v>3171821</v>
      </c>
      <c r="F11" s="408" t="s">
        <v>6</v>
      </c>
      <c r="G11" s="410">
        <v>3598974</v>
      </c>
      <c r="H11" s="408" t="s">
        <v>6</v>
      </c>
      <c r="I11" s="410">
        <v>13905</v>
      </c>
      <c r="J11" s="408" t="s">
        <v>6</v>
      </c>
      <c r="K11" s="411">
        <v>0</v>
      </c>
      <c r="L11" s="408" t="s">
        <v>6</v>
      </c>
      <c r="M11" s="412">
        <f>ROUND(SUM(C11:K11),1)</f>
        <v>28683404</v>
      </c>
      <c r="N11" s="408" t="s">
        <v>6</v>
      </c>
      <c r="O11" s="413">
        <v>26554311</v>
      </c>
      <c r="P11" s="414"/>
    </row>
    <row r="12" spans="1:17" ht="16">
      <c r="A12" s="407" t="s">
        <v>1414</v>
      </c>
      <c r="B12" s="404" t="s">
        <v>6</v>
      </c>
      <c r="C12" s="415">
        <v>3031395</v>
      </c>
      <c r="D12" s="404"/>
      <c r="E12" s="416">
        <v>16000</v>
      </c>
      <c r="F12" s="417"/>
      <c r="G12" s="418">
        <v>3941</v>
      </c>
      <c r="H12" s="404"/>
      <c r="I12" s="416">
        <v>136</v>
      </c>
      <c r="J12" s="404"/>
      <c r="K12" s="418">
        <v>0</v>
      </c>
      <c r="L12" s="404"/>
      <c r="M12" s="419">
        <f>ROUND(SUM(C12:K12),1)</f>
        <v>3051472</v>
      </c>
      <c r="N12" s="420"/>
      <c r="O12" s="421">
        <v>3201592</v>
      </c>
      <c r="P12" s="414"/>
    </row>
    <row r="13" spans="1:17" ht="16">
      <c r="A13" s="407" t="s">
        <v>2570</v>
      </c>
      <c r="B13" s="404" t="s">
        <v>6</v>
      </c>
      <c r="C13" s="418">
        <v>0</v>
      </c>
      <c r="D13" s="404"/>
      <c r="E13" s="416">
        <v>3334700</v>
      </c>
      <c r="F13" s="417"/>
      <c r="G13" s="418">
        <v>0</v>
      </c>
      <c r="H13" s="404"/>
      <c r="I13" s="418">
        <v>14217</v>
      </c>
      <c r="J13" s="404"/>
      <c r="K13" s="418">
        <v>0</v>
      </c>
      <c r="L13" s="404"/>
      <c r="M13" s="419">
        <f t="shared" ref="M13:M14" si="0">ROUND(SUM(C13:K13),1)</f>
        <v>3348917</v>
      </c>
      <c r="N13" s="420"/>
      <c r="O13" s="421">
        <v>3296950</v>
      </c>
      <c r="P13" s="414"/>
    </row>
    <row r="14" spans="1:17" ht="16">
      <c r="A14" s="407" t="s">
        <v>1415</v>
      </c>
      <c r="B14" s="404" t="s">
        <v>6</v>
      </c>
      <c r="C14" s="415">
        <v>203557</v>
      </c>
      <c r="D14" s="404"/>
      <c r="E14" s="416">
        <v>6581</v>
      </c>
      <c r="F14" s="417"/>
      <c r="G14" s="416">
        <v>55634</v>
      </c>
      <c r="H14" s="404"/>
      <c r="I14" s="416">
        <v>0</v>
      </c>
      <c r="J14" s="404"/>
      <c r="K14" s="418">
        <v>0</v>
      </c>
      <c r="L14" s="404"/>
      <c r="M14" s="419">
        <f t="shared" si="0"/>
        <v>265772</v>
      </c>
      <c r="N14" s="420"/>
      <c r="O14" s="421">
        <v>294681</v>
      </c>
      <c r="P14" s="414"/>
    </row>
    <row r="15" spans="1:17" ht="16">
      <c r="A15" s="393" t="s">
        <v>1416</v>
      </c>
      <c r="B15" s="404" t="s">
        <v>6</v>
      </c>
      <c r="C15" s="422">
        <f>ROUND(SUM(C11:C14),1)</f>
        <v>25133656</v>
      </c>
      <c r="D15" s="404"/>
      <c r="E15" s="422">
        <f>ROUND(SUM(E11:E14),1)</f>
        <v>6529102</v>
      </c>
      <c r="F15" s="423"/>
      <c r="G15" s="422">
        <f>ROUND(SUM(G11:G14),1)</f>
        <v>3658549</v>
      </c>
      <c r="H15" s="404"/>
      <c r="I15" s="422">
        <f>ROUND(SUM(I11:I14),1)</f>
        <v>28258</v>
      </c>
      <c r="J15" s="404"/>
      <c r="K15" s="422">
        <f>ROUND(SUM(K11:K14),1)</f>
        <v>0</v>
      </c>
      <c r="L15" s="404"/>
      <c r="M15" s="422">
        <f>ROUND(SUM(M11:M14),1)</f>
        <v>35349565</v>
      </c>
      <c r="N15" s="424"/>
      <c r="O15" s="422">
        <f>ROUND(SUM(O11:O14),1)</f>
        <v>33347534</v>
      </c>
      <c r="P15" s="414"/>
    </row>
    <row r="16" spans="1:17" ht="16">
      <c r="A16" s="404"/>
      <c r="B16" s="404"/>
      <c r="C16" s="415"/>
      <c r="D16" s="404"/>
      <c r="E16" s="425"/>
      <c r="F16" s="426"/>
      <c r="G16" s="425"/>
      <c r="H16" s="404"/>
      <c r="I16" s="425"/>
      <c r="J16" s="404"/>
      <c r="K16" s="425"/>
      <c r="L16" s="404"/>
      <c r="M16" s="425"/>
      <c r="N16" s="427"/>
      <c r="O16" s="428"/>
    </row>
    <row r="17" spans="1:16" ht="16">
      <c r="A17" s="393" t="s">
        <v>264</v>
      </c>
      <c r="B17" s="404"/>
      <c r="C17" s="415"/>
      <c r="D17" s="404"/>
      <c r="E17" s="425"/>
      <c r="F17" s="426"/>
      <c r="G17" s="425"/>
      <c r="H17" s="404"/>
      <c r="I17" s="425"/>
      <c r="J17" s="404"/>
      <c r="K17" s="425"/>
      <c r="L17" s="404"/>
      <c r="M17" s="425"/>
      <c r="N17" s="427"/>
      <c r="O17" s="428"/>
    </row>
    <row r="18" spans="1:16" ht="16">
      <c r="A18" s="407" t="s">
        <v>1417</v>
      </c>
      <c r="B18" s="404" t="s">
        <v>6</v>
      </c>
      <c r="C18" s="415">
        <v>4153</v>
      </c>
      <c r="D18" s="404"/>
      <c r="E18" s="425">
        <v>0</v>
      </c>
      <c r="F18" s="426"/>
      <c r="G18" s="418">
        <v>0</v>
      </c>
      <c r="H18" s="404"/>
      <c r="I18" s="425">
        <v>152359</v>
      </c>
      <c r="J18" s="404"/>
      <c r="K18" s="425">
        <v>153982</v>
      </c>
      <c r="L18" s="404"/>
      <c r="M18" s="425">
        <f>ROUND(SUM(C18:K18),1)</f>
        <v>310494</v>
      </c>
      <c r="N18" s="427"/>
      <c r="O18" s="421">
        <v>307263</v>
      </c>
    </row>
    <row r="19" spans="1:16" ht="16">
      <c r="A19" s="407" t="s">
        <v>265</v>
      </c>
      <c r="B19" s="404" t="s">
        <v>6</v>
      </c>
      <c r="C19" s="415">
        <v>3267</v>
      </c>
      <c r="D19" s="404"/>
      <c r="E19" s="425">
        <v>4754</v>
      </c>
      <c r="F19" s="426"/>
      <c r="G19" s="425">
        <v>2955</v>
      </c>
      <c r="H19" s="404"/>
      <c r="I19" s="418">
        <v>9</v>
      </c>
      <c r="J19" s="404"/>
      <c r="K19" s="425">
        <v>0</v>
      </c>
      <c r="L19" s="404"/>
      <c r="M19" s="425">
        <f>ROUND(SUM(C19:K19),1)</f>
        <v>10985</v>
      </c>
      <c r="N19" s="427"/>
      <c r="O19" s="421">
        <v>8046</v>
      </c>
    </row>
    <row r="20" spans="1:16" ht="16">
      <c r="A20" s="393" t="s">
        <v>1418</v>
      </c>
      <c r="B20" s="404" t="s">
        <v>6</v>
      </c>
      <c r="C20" s="422">
        <f>ROUND(SUM(C18:C19),1)</f>
        <v>7420</v>
      </c>
      <c r="D20" s="404"/>
      <c r="E20" s="422">
        <f>ROUND(SUM(E18:E19),1)</f>
        <v>4754</v>
      </c>
      <c r="F20" s="426"/>
      <c r="G20" s="422">
        <f>ROUND(SUM(G18:G19),1)</f>
        <v>2955</v>
      </c>
      <c r="H20" s="404"/>
      <c r="I20" s="422">
        <f>ROUND(SUM(I18:I19),1)</f>
        <v>152368</v>
      </c>
      <c r="J20" s="404"/>
      <c r="K20" s="422">
        <f>ROUND(SUM(K18:K19),1)</f>
        <v>153982</v>
      </c>
      <c r="L20" s="404"/>
      <c r="M20" s="422">
        <f>ROUND(SUM(M18:M19),1)</f>
        <v>321479</v>
      </c>
      <c r="N20" s="427"/>
      <c r="O20" s="422">
        <f>ROUND(SUM(O18:O19),1)</f>
        <v>315309</v>
      </c>
    </row>
    <row r="21" spans="1:16" ht="16">
      <c r="A21" s="404"/>
      <c r="B21" s="404" t="s">
        <v>6</v>
      </c>
      <c r="C21" s="415"/>
      <c r="D21" s="404"/>
      <c r="E21" s="425"/>
      <c r="F21" s="426"/>
      <c r="G21" s="425"/>
      <c r="H21" s="404"/>
      <c r="I21" s="425"/>
      <c r="J21" s="404"/>
      <c r="K21" s="425"/>
      <c r="L21" s="404"/>
      <c r="M21" s="425"/>
      <c r="N21" s="427"/>
      <c r="O21" s="428"/>
    </row>
    <row r="22" spans="1:16" ht="16">
      <c r="A22" s="429" t="s">
        <v>266</v>
      </c>
      <c r="B22" s="404" t="s">
        <v>6</v>
      </c>
      <c r="C22" s="415"/>
      <c r="D22" s="404"/>
      <c r="E22" s="425"/>
      <c r="F22" s="426"/>
      <c r="G22" s="425"/>
      <c r="H22" s="404"/>
      <c r="I22" s="425"/>
      <c r="J22" s="404"/>
      <c r="K22" s="425"/>
      <c r="L22" s="404"/>
      <c r="M22" s="425"/>
      <c r="N22" s="427"/>
      <c r="O22" s="428"/>
    </row>
    <row r="23" spans="1:16" ht="16">
      <c r="A23" s="407" t="s">
        <v>267</v>
      </c>
      <c r="B23" s="403" t="s">
        <v>6</v>
      </c>
      <c r="C23" s="415">
        <v>949439</v>
      </c>
      <c r="D23" s="403"/>
      <c r="E23" s="415">
        <v>91881</v>
      </c>
      <c r="F23" s="408"/>
      <c r="G23" s="418">
        <v>0</v>
      </c>
      <c r="H23" s="403"/>
      <c r="I23" s="416">
        <v>12368</v>
      </c>
      <c r="J23" s="403"/>
      <c r="K23" s="418">
        <v>0</v>
      </c>
      <c r="L23" s="403"/>
      <c r="M23" s="419">
        <f>ROUND(SUM(C23:K23),1)</f>
        <v>1053688</v>
      </c>
      <c r="N23" s="420"/>
      <c r="O23" s="421">
        <v>1053392</v>
      </c>
      <c r="P23" s="414"/>
    </row>
    <row r="24" spans="1:16" ht="16">
      <c r="A24" s="407" t="s">
        <v>1419</v>
      </c>
      <c r="B24" s="403" t="s">
        <v>6</v>
      </c>
      <c r="C24" s="415">
        <v>2451</v>
      </c>
      <c r="D24" s="403"/>
      <c r="E24" s="415">
        <v>112204</v>
      </c>
      <c r="F24" s="408"/>
      <c r="G24" s="418">
        <v>0</v>
      </c>
      <c r="H24" s="403"/>
      <c r="I24" s="418">
        <v>0</v>
      </c>
      <c r="J24" s="403"/>
      <c r="K24" s="418">
        <v>0</v>
      </c>
      <c r="L24" s="403"/>
      <c r="M24" s="419">
        <f t="shared" ref="M24:M25" si="1">ROUND(SUM(C24:K24),1)</f>
        <v>114655</v>
      </c>
      <c r="N24" s="420"/>
      <c r="O24" s="421">
        <v>107429</v>
      </c>
      <c r="P24" s="414"/>
    </row>
    <row r="25" spans="1:16" ht="16">
      <c r="A25" s="407" t="s">
        <v>268</v>
      </c>
      <c r="B25" s="403" t="s">
        <v>6</v>
      </c>
      <c r="C25" s="415">
        <v>58765</v>
      </c>
      <c r="D25" s="404"/>
      <c r="E25" s="415">
        <v>639</v>
      </c>
      <c r="F25" s="426"/>
      <c r="G25" s="415">
        <v>55158</v>
      </c>
      <c r="H25" s="404"/>
      <c r="I25" s="415">
        <v>291055</v>
      </c>
      <c r="J25" s="404"/>
      <c r="K25" s="418">
        <v>0</v>
      </c>
      <c r="L25" s="404"/>
      <c r="M25" s="419">
        <f t="shared" si="1"/>
        <v>405617</v>
      </c>
      <c r="N25" s="420"/>
      <c r="O25" s="421">
        <v>197543</v>
      </c>
      <c r="P25" s="414"/>
    </row>
    <row r="26" spans="1:16" ht="16">
      <c r="A26" s="393" t="s">
        <v>1420</v>
      </c>
      <c r="B26" s="403" t="s">
        <v>6</v>
      </c>
      <c r="C26" s="430">
        <f>ROUND(SUM(C23:C25),1)</f>
        <v>1010655</v>
      </c>
      <c r="D26" s="427"/>
      <c r="E26" s="430">
        <f>ROUND(SUM(E23:E25),1)</f>
        <v>204724</v>
      </c>
      <c r="F26" s="423"/>
      <c r="G26" s="430">
        <f>ROUND(SUM(G23:G25),1)</f>
        <v>55158</v>
      </c>
      <c r="H26" s="427"/>
      <c r="I26" s="430">
        <f>ROUND(SUM(I23:I25),1)</f>
        <v>303423</v>
      </c>
      <c r="J26" s="427"/>
      <c r="K26" s="430">
        <f>ROUND(SUM(K23:K25),1)</f>
        <v>0</v>
      </c>
      <c r="L26" s="427"/>
      <c r="M26" s="430">
        <f>ROUND(SUM(M23:M25),1)</f>
        <v>1573960</v>
      </c>
      <c r="N26" s="424"/>
      <c r="O26" s="430">
        <f>ROUND(SUM(O23:O25),1)</f>
        <v>1358364</v>
      </c>
      <c r="P26" s="414"/>
    </row>
    <row r="27" spans="1:16" ht="16">
      <c r="A27" s="404"/>
      <c r="B27" s="404" t="s">
        <v>6</v>
      </c>
      <c r="C27" s="415"/>
      <c r="D27" s="404"/>
      <c r="E27" s="425"/>
      <c r="F27" s="426"/>
      <c r="G27" s="425"/>
      <c r="H27" s="404"/>
      <c r="I27" s="425"/>
      <c r="J27" s="404"/>
      <c r="K27" s="425"/>
      <c r="L27" s="404"/>
      <c r="M27" s="425"/>
      <c r="N27" s="427"/>
      <c r="O27" s="428"/>
    </row>
    <row r="28" spans="1:16" ht="16">
      <c r="A28" s="393" t="s">
        <v>269</v>
      </c>
      <c r="B28" s="404" t="s">
        <v>6</v>
      </c>
      <c r="C28" s="431"/>
      <c r="D28" s="404"/>
      <c r="E28" s="425"/>
      <c r="F28" s="426"/>
      <c r="G28" s="425"/>
      <c r="H28" s="404"/>
      <c r="I28" s="425"/>
      <c r="J28" s="404"/>
      <c r="K28" s="425"/>
      <c r="L28" s="404"/>
      <c r="M28" s="425"/>
      <c r="N28" s="427"/>
      <c r="O28" s="428"/>
    </row>
    <row r="29" spans="1:16" ht="16">
      <c r="A29" s="407" t="s">
        <v>1421</v>
      </c>
      <c r="B29" s="404" t="s">
        <v>6</v>
      </c>
      <c r="C29" s="416">
        <v>13005715</v>
      </c>
      <c r="D29" s="404"/>
      <c r="E29" s="425">
        <v>5308442</v>
      </c>
      <c r="F29" s="426"/>
      <c r="G29" s="416">
        <v>31350134</v>
      </c>
      <c r="H29" s="404"/>
      <c r="I29" s="418">
        <v>0</v>
      </c>
      <c r="J29" s="404"/>
      <c r="K29" s="418">
        <v>0</v>
      </c>
      <c r="L29" s="404"/>
      <c r="M29" s="419">
        <f>ROUND(SUM(C29:K29),1)</f>
        <v>49664291</v>
      </c>
      <c r="N29" s="420"/>
      <c r="O29" s="421">
        <v>47642930</v>
      </c>
      <c r="P29" s="414"/>
    </row>
    <row r="30" spans="1:16" ht="16">
      <c r="A30" s="407" t="s">
        <v>1422</v>
      </c>
      <c r="B30" s="404" t="s">
        <v>6</v>
      </c>
      <c r="C30" s="415">
        <v>5489</v>
      </c>
      <c r="D30" s="404"/>
      <c r="E30" s="425">
        <v>1471368</v>
      </c>
      <c r="F30" s="426"/>
      <c r="G30" s="425">
        <v>156304</v>
      </c>
      <c r="H30" s="404"/>
      <c r="I30" s="416">
        <v>59853</v>
      </c>
      <c r="J30" s="404"/>
      <c r="K30" s="418">
        <v>0</v>
      </c>
      <c r="L30" s="404"/>
      <c r="M30" s="419">
        <f t="shared" ref="M30:M32" si="2">ROUND(SUM(C30:K30),1)</f>
        <v>1693014</v>
      </c>
      <c r="N30" s="420"/>
      <c r="O30" s="421">
        <v>1704799</v>
      </c>
      <c r="P30" s="414"/>
    </row>
    <row r="31" spans="1:16" ht="16">
      <c r="A31" s="407" t="s">
        <v>1423</v>
      </c>
      <c r="B31" s="404" t="s">
        <v>6</v>
      </c>
      <c r="C31" s="415">
        <v>728949</v>
      </c>
      <c r="D31" s="404"/>
      <c r="E31" s="416">
        <v>933794</v>
      </c>
      <c r="F31" s="417"/>
      <c r="G31" s="416">
        <v>3216439</v>
      </c>
      <c r="H31" s="404"/>
      <c r="I31" s="416">
        <v>38995</v>
      </c>
      <c r="J31" s="404"/>
      <c r="K31" s="416">
        <v>46010</v>
      </c>
      <c r="L31" s="404"/>
      <c r="M31" s="419">
        <f t="shared" si="2"/>
        <v>4964187</v>
      </c>
      <c r="N31" s="420"/>
      <c r="O31" s="421">
        <v>3227304</v>
      </c>
      <c r="P31" s="414"/>
    </row>
    <row r="32" spans="1:16" ht="16">
      <c r="A32" s="407" t="s">
        <v>1424</v>
      </c>
      <c r="B32" s="404" t="s">
        <v>6</v>
      </c>
      <c r="C32" s="415">
        <v>125881</v>
      </c>
      <c r="D32" s="404"/>
      <c r="E32" s="418">
        <v>0</v>
      </c>
      <c r="F32" s="417"/>
      <c r="G32" s="416">
        <v>90347</v>
      </c>
      <c r="H32" s="404"/>
      <c r="I32" s="418">
        <v>0</v>
      </c>
      <c r="J32" s="404"/>
      <c r="K32" s="418">
        <v>0</v>
      </c>
      <c r="L32" s="404"/>
      <c r="M32" s="419">
        <f t="shared" si="2"/>
        <v>216228</v>
      </c>
      <c r="N32" s="420"/>
      <c r="O32" s="421">
        <v>222759</v>
      </c>
      <c r="P32" s="414"/>
    </row>
    <row r="33" spans="1:16" ht="16">
      <c r="A33" s="429" t="s">
        <v>1425</v>
      </c>
      <c r="B33" s="404" t="s">
        <v>6</v>
      </c>
      <c r="C33" s="432">
        <f>ROUND(SUM(C29:C32),1)</f>
        <v>13866034</v>
      </c>
      <c r="D33" s="404"/>
      <c r="E33" s="432">
        <f>ROUND(SUM(E29:E32),1)</f>
        <v>7713604</v>
      </c>
      <c r="F33" s="417"/>
      <c r="G33" s="432">
        <f>ROUND(SUM(G29:G32),1)</f>
        <v>34813224</v>
      </c>
      <c r="H33" s="404"/>
      <c r="I33" s="432">
        <f>ROUND(SUM(I29:I32),1)</f>
        <v>98848</v>
      </c>
      <c r="J33" s="404"/>
      <c r="K33" s="432">
        <f>ROUND(SUM(K29:K32),1)</f>
        <v>46010</v>
      </c>
      <c r="L33" s="404"/>
      <c r="M33" s="432">
        <f>ROUND(SUM(M29:M32),1)</f>
        <v>56537720</v>
      </c>
      <c r="N33" s="420"/>
      <c r="O33" s="432">
        <f>ROUND(SUM(O29:O32),1)</f>
        <v>52797792</v>
      </c>
      <c r="P33" s="414"/>
    </row>
    <row r="34" spans="1:16" ht="16">
      <c r="A34" s="404"/>
      <c r="B34" s="404" t="s">
        <v>6</v>
      </c>
      <c r="C34" s="415"/>
      <c r="D34" s="404"/>
      <c r="E34" s="425"/>
      <c r="F34" s="426"/>
      <c r="G34" s="425"/>
      <c r="H34" s="404"/>
      <c r="I34" s="425"/>
      <c r="J34" s="404"/>
      <c r="K34" s="425"/>
      <c r="L34" s="404"/>
      <c r="M34" s="425"/>
      <c r="N34" s="427"/>
      <c r="O34" s="428"/>
    </row>
    <row r="35" spans="1:16" ht="16">
      <c r="A35" s="393" t="s">
        <v>270</v>
      </c>
      <c r="B35" s="404" t="s">
        <v>6</v>
      </c>
      <c r="C35" s="425"/>
      <c r="D35" s="404"/>
      <c r="E35" s="425"/>
      <c r="F35" s="426"/>
      <c r="G35" s="425"/>
      <c r="H35" s="404"/>
      <c r="I35" s="425"/>
      <c r="J35" s="404"/>
      <c r="K35" s="425"/>
      <c r="L35" s="404"/>
      <c r="M35" s="425"/>
      <c r="N35" s="427"/>
      <c r="O35" s="428"/>
    </row>
    <row r="36" spans="1:16" ht="16">
      <c r="A36" s="407" t="s">
        <v>1426</v>
      </c>
      <c r="B36" s="404" t="s">
        <v>6</v>
      </c>
      <c r="C36" s="415">
        <v>142431</v>
      </c>
      <c r="D36" s="404"/>
      <c r="E36" s="415">
        <v>116638</v>
      </c>
      <c r="F36" s="426"/>
      <c r="G36" s="415">
        <v>54658</v>
      </c>
      <c r="H36" s="404"/>
      <c r="I36" s="418">
        <v>0</v>
      </c>
      <c r="J36" s="404"/>
      <c r="K36" s="418">
        <v>0</v>
      </c>
      <c r="L36" s="404"/>
      <c r="M36" s="419">
        <f>ROUND(SUM(C36:K36),1)</f>
        <v>313727</v>
      </c>
      <c r="N36" s="424"/>
      <c r="O36" s="421">
        <v>298337</v>
      </c>
      <c r="P36" s="414"/>
    </row>
    <row r="37" spans="1:16" ht="16">
      <c r="A37" s="407" t="s">
        <v>1427</v>
      </c>
      <c r="B37" s="404" t="s">
        <v>6</v>
      </c>
      <c r="C37" s="415">
        <v>-13799</v>
      </c>
      <c r="D37" s="404"/>
      <c r="E37" s="416">
        <v>33702</v>
      </c>
      <c r="F37" s="426"/>
      <c r="G37" s="415">
        <v>1789344</v>
      </c>
      <c r="H37" s="404"/>
      <c r="I37" s="418">
        <v>97714</v>
      </c>
      <c r="J37" s="404"/>
      <c r="K37" s="418">
        <v>4121</v>
      </c>
      <c r="L37" s="404"/>
      <c r="M37" s="419">
        <f t="shared" ref="M37:M38" si="3">ROUND(SUM(C37:K37),1)</f>
        <v>1911082</v>
      </c>
      <c r="N37" s="424"/>
      <c r="O37" s="421">
        <v>2414010</v>
      </c>
      <c r="P37" s="414"/>
    </row>
    <row r="38" spans="1:16" ht="16">
      <c r="A38" s="407" t="s">
        <v>1428</v>
      </c>
      <c r="B38" s="404" t="s">
        <v>6</v>
      </c>
      <c r="C38" s="415">
        <v>4252</v>
      </c>
      <c r="D38" s="404"/>
      <c r="E38" s="418">
        <v>0</v>
      </c>
      <c r="F38" s="426"/>
      <c r="G38" s="418">
        <v>0</v>
      </c>
      <c r="H38" s="404"/>
      <c r="I38" s="418">
        <v>0</v>
      </c>
      <c r="J38" s="404"/>
      <c r="K38" s="418">
        <v>0</v>
      </c>
      <c r="L38" s="404"/>
      <c r="M38" s="419">
        <f t="shared" si="3"/>
        <v>4252</v>
      </c>
      <c r="N38" s="424"/>
      <c r="O38" s="421">
        <v>5822</v>
      </c>
      <c r="P38" s="414"/>
    </row>
    <row r="39" spans="1:16" ht="16">
      <c r="A39" s="393" t="s">
        <v>1429</v>
      </c>
      <c r="B39" s="404" t="s">
        <v>6</v>
      </c>
      <c r="C39" s="422">
        <f>ROUND(SUM(C36:C38),1)</f>
        <v>132884</v>
      </c>
      <c r="D39" s="404"/>
      <c r="E39" s="422">
        <f>ROUND(SUM(E36:E38),1)</f>
        <v>150340</v>
      </c>
      <c r="F39" s="426"/>
      <c r="G39" s="422">
        <f>ROUND(SUM(G36:G38),1)</f>
        <v>1844002</v>
      </c>
      <c r="H39" s="404"/>
      <c r="I39" s="422">
        <f>ROUND(SUM(I36:I38),1)</f>
        <v>97714</v>
      </c>
      <c r="J39" s="404"/>
      <c r="K39" s="422">
        <f>ROUND(SUM(K36:K38),1)</f>
        <v>4121</v>
      </c>
      <c r="L39" s="404"/>
      <c r="M39" s="422">
        <f>ROUND(SUM(M36:M38),1)</f>
        <v>2229061</v>
      </c>
      <c r="N39" s="420"/>
      <c r="O39" s="422">
        <f>ROUND(SUM(O36:O38),1)</f>
        <v>2718169</v>
      </c>
      <c r="P39" s="414"/>
    </row>
    <row r="40" spans="1:16" ht="16">
      <c r="A40" s="393"/>
      <c r="B40" s="404" t="s">
        <v>6</v>
      </c>
      <c r="C40" s="418"/>
      <c r="D40" s="404"/>
      <c r="E40" s="418"/>
      <c r="F40" s="426"/>
      <c r="G40" s="418"/>
      <c r="H40" s="404"/>
      <c r="I40" s="418"/>
      <c r="J40" s="404"/>
      <c r="K40" s="418"/>
      <c r="L40" s="404"/>
      <c r="M40" s="418"/>
      <c r="N40" s="420"/>
      <c r="O40" s="433"/>
      <c r="P40" s="414"/>
    </row>
    <row r="41" spans="1:16" ht="16">
      <c r="A41" s="393" t="s">
        <v>271</v>
      </c>
      <c r="B41" s="404" t="s">
        <v>6</v>
      </c>
      <c r="C41" s="425"/>
      <c r="D41" s="404"/>
      <c r="E41" s="425"/>
      <c r="F41" s="426"/>
      <c r="G41" s="425"/>
      <c r="H41" s="404"/>
      <c r="I41" s="425"/>
      <c r="J41" s="404"/>
      <c r="K41" s="425"/>
      <c r="L41" s="404"/>
      <c r="M41" s="425"/>
      <c r="N41" s="427"/>
      <c r="O41" s="428"/>
    </row>
    <row r="42" spans="1:16" ht="16">
      <c r="A42" s="407" t="s">
        <v>1430</v>
      </c>
      <c r="B42" s="404" t="s">
        <v>6</v>
      </c>
      <c r="C42" s="415">
        <v>2898743</v>
      </c>
      <c r="D42" s="404"/>
      <c r="E42" s="415">
        <v>2456</v>
      </c>
      <c r="F42" s="426"/>
      <c r="G42" s="415">
        <v>4568797</v>
      </c>
      <c r="H42" s="404"/>
      <c r="I42" s="418">
        <v>0</v>
      </c>
      <c r="J42" s="404"/>
      <c r="K42" s="418">
        <v>0</v>
      </c>
      <c r="L42" s="404"/>
      <c r="M42" s="419">
        <f>ROUND(SUM(C42:K42),1)</f>
        <v>7469996</v>
      </c>
      <c r="N42" s="424"/>
      <c r="O42" s="421">
        <v>7274000</v>
      </c>
      <c r="P42" s="414"/>
    </row>
    <row r="43" spans="1:16" ht="16">
      <c r="A43" s="407" t="s">
        <v>1431</v>
      </c>
      <c r="B43" s="404" t="s">
        <v>6</v>
      </c>
      <c r="C43" s="415">
        <v>22133</v>
      </c>
      <c r="D43" s="404"/>
      <c r="E43" s="416">
        <v>295</v>
      </c>
      <c r="F43" s="426"/>
      <c r="G43" s="415">
        <v>16366</v>
      </c>
      <c r="H43" s="404"/>
      <c r="I43" s="416">
        <v>129381</v>
      </c>
      <c r="J43" s="404"/>
      <c r="K43" s="418">
        <v>0</v>
      </c>
      <c r="L43" s="404"/>
      <c r="M43" s="419">
        <f t="shared" ref="M43:M44" si="4">ROUND(SUM(C43:K43),1)</f>
        <v>168175</v>
      </c>
      <c r="N43" s="424"/>
      <c r="O43" s="421">
        <v>169282</v>
      </c>
      <c r="P43" s="414"/>
    </row>
    <row r="44" spans="1:16" ht="16">
      <c r="A44" s="407" t="s">
        <v>1432</v>
      </c>
      <c r="B44" s="404" t="s">
        <v>6</v>
      </c>
      <c r="C44" s="415">
        <v>11886</v>
      </c>
      <c r="D44" s="404"/>
      <c r="E44" s="416">
        <v>58</v>
      </c>
      <c r="F44" s="426"/>
      <c r="G44" s="415">
        <v>156664</v>
      </c>
      <c r="H44" s="404"/>
      <c r="I44" s="418">
        <v>0</v>
      </c>
      <c r="J44" s="404"/>
      <c r="K44" s="418">
        <v>0</v>
      </c>
      <c r="L44" s="404"/>
      <c r="M44" s="419">
        <f t="shared" si="4"/>
        <v>168608</v>
      </c>
      <c r="N44" s="424"/>
      <c r="O44" s="421">
        <v>154404</v>
      </c>
      <c r="P44" s="414"/>
    </row>
    <row r="45" spans="1:16" ht="16">
      <c r="A45" s="393" t="s">
        <v>1433</v>
      </c>
      <c r="B45" s="404" t="s">
        <v>6</v>
      </c>
      <c r="C45" s="422">
        <f>ROUND(SUM(C42:C44),1)</f>
        <v>2932762</v>
      </c>
      <c r="D45" s="404"/>
      <c r="E45" s="422">
        <f>ROUND(SUM(E42:E44),1)</f>
        <v>2809</v>
      </c>
      <c r="F45" s="426"/>
      <c r="G45" s="422">
        <f>ROUND(SUM(G42:G44),1)</f>
        <v>4741827</v>
      </c>
      <c r="H45" s="404"/>
      <c r="I45" s="422">
        <f>ROUND(SUM(I42:I44),1)</f>
        <v>129381</v>
      </c>
      <c r="J45" s="404"/>
      <c r="K45" s="422">
        <f>ROUND(SUM(K42:K44),1)</f>
        <v>0</v>
      </c>
      <c r="L45" s="404"/>
      <c r="M45" s="422">
        <f>ROUND(SUM(M42:M44),1)</f>
        <v>7806779</v>
      </c>
      <c r="N45" s="420"/>
      <c r="O45" s="422">
        <f>ROUND(SUM(O42:O44),1)</f>
        <v>7597686</v>
      </c>
      <c r="P45" s="414"/>
    </row>
    <row r="46" spans="1:16" ht="16">
      <c r="A46" s="393"/>
      <c r="B46" s="404" t="s">
        <v>6</v>
      </c>
      <c r="C46" s="418"/>
      <c r="D46" s="404"/>
      <c r="E46" s="418"/>
      <c r="F46" s="426"/>
      <c r="G46" s="418"/>
      <c r="H46" s="404"/>
      <c r="I46" s="418"/>
      <c r="J46" s="404"/>
      <c r="K46" s="418"/>
      <c r="L46" s="404"/>
      <c r="M46" s="418"/>
      <c r="N46" s="420"/>
      <c r="O46" s="433"/>
      <c r="P46" s="414"/>
    </row>
    <row r="47" spans="1:16" ht="16">
      <c r="A47" s="429" t="s">
        <v>272</v>
      </c>
      <c r="B47" s="404" t="s">
        <v>6</v>
      </c>
      <c r="C47" s="415"/>
      <c r="D47" s="404"/>
      <c r="E47" s="418"/>
      <c r="F47" s="417"/>
      <c r="G47" s="418"/>
      <c r="H47" s="404"/>
      <c r="I47" s="434"/>
      <c r="J47" s="404"/>
      <c r="K47" s="415"/>
      <c r="L47" s="404"/>
      <c r="M47" s="419"/>
      <c r="N47" s="420"/>
      <c r="O47" s="421"/>
      <c r="P47" s="414"/>
    </row>
    <row r="48" spans="1:16" ht="16">
      <c r="A48" s="407" t="s">
        <v>1434</v>
      </c>
      <c r="B48" s="404" t="s">
        <v>6</v>
      </c>
      <c r="C48" s="415">
        <v>119567</v>
      </c>
      <c r="D48" s="404"/>
      <c r="E48" s="416">
        <v>19032</v>
      </c>
      <c r="F48" s="417"/>
      <c r="G48" s="416">
        <v>7716</v>
      </c>
      <c r="H48" s="404"/>
      <c r="I48" s="416">
        <v>569911</v>
      </c>
      <c r="J48" s="404"/>
      <c r="K48" s="418">
        <v>0</v>
      </c>
      <c r="L48" s="404"/>
      <c r="M48" s="419">
        <f>ROUND(SUM(C48:K48),1)</f>
        <v>716226</v>
      </c>
      <c r="N48" s="420"/>
      <c r="O48" s="421">
        <v>434192</v>
      </c>
      <c r="P48" s="414"/>
    </row>
    <row r="49" spans="1:17" ht="16">
      <c r="A49" s="407" t="s">
        <v>1435</v>
      </c>
      <c r="B49" s="404" t="s">
        <v>6</v>
      </c>
      <c r="C49" s="418">
        <v>0</v>
      </c>
      <c r="D49" s="404"/>
      <c r="E49" s="416">
        <v>80686</v>
      </c>
      <c r="F49" s="426"/>
      <c r="G49" s="418">
        <v>0</v>
      </c>
      <c r="H49" s="404"/>
      <c r="I49" s="418">
        <v>0</v>
      </c>
      <c r="J49" s="404"/>
      <c r="K49" s="418">
        <v>0</v>
      </c>
      <c r="L49" s="404"/>
      <c r="M49" s="419">
        <f>ROUND(SUM(C49:K49),1)</f>
        <v>80686</v>
      </c>
      <c r="N49" s="420"/>
      <c r="O49" s="421">
        <v>223476</v>
      </c>
      <c r="P49" s="414"/>
    </row>
    <row r="50" spans="1:17" ht="16">
      <c r="A50" s="429" t="s">
        <v>1436</v>
      </c>
      <c r="B50" s="404" t="s">
        <v>6</v>
      </c>
      <c r="C50" s="422">
        <f>ROUND(SUM(C48:C49),1)</f>
        <v>119567</v>
      </c>
      <c r="D50" s="404"/>
      <c r="E50" s="422">
        <f>ROUND(SUM(E48:E49),1)</f>
        <v>99718</v>
      </c>
      <c r="F50" s="423"/>
      <c r="G50" s="422">
        <f>ROUND(SUM(G48:G49),1)</f>
        <v>7716</v>
      </c>
      <c r="H50" s="404"/>
      <c r="I50" s="422">
        <f>ROUND(SUM(I48:I49),1)</f>
        <v>569911</v>
      </c>
      <c r="J50" s="404"/>
      <c r="K50" s="422">
        <f>ROUND(SUM(K48:K49),1)</f>
        <v>0</v>
      </c>
      <c r="L50" s="404"/>
      <c r="M50" s="422">
        <f>ROUND(SUM(M48:M49),1)</f>
        <v>796912</v>
      </c>
      <c r="N50" s="424"/>
      <c r="O50" s="422">
        <f>ROUND(SUM(O48:O49),1)</f>
        <v>657668</v>
      </c>
      <c r="P50" s="414"/>
    </row>
    <row r="51" spans="1:17" ht="10.5" customHeight="1">
      <c r="A51" s="393"/>
      <c r="B51" s="404" t="s">
        <v>6</v>
      </c>
      <c r="C51" s="418"/>
      <c r="D51" s="404"/>
      <c r="E51" s="418"/>
      <c r="F51" s="426"/>
      <c r="G51" s="418"/>
      <c r="H51" s="404"/>
      <c r="I51" s="418"/>
      <c r="J51" s="404"/>
      <c r="K51" s="418"/>
      <c r="L51" s="404"/>
      <c r="M51" s="418"/>
      <c r="N51" s="420"/>
      <c r="O51" s="433"/>
      <c r="P51" s="414"/>
    </row>
    <row r="52" spans="1:17" ht="16.5" customHeight="1">
      <c r="A52" s="429" t="s">
        <v>273</v>
      </c>
      <c r="B52" s="404" t="s">
        <v>6</v>
      </c>
      <c r="C52" s="434"/>
      <c r="D52" s="404"/>
      <c r="E52" s="418"/>
      <c r="F52" s="426"/>
      <c r="G52" s="418"/>
      <c r="H52" s="404"/>
      <c r="I52" s="418"/>
      <c r="J52" s="404"/>
      <c r="K52" s="418"/>
      <c r="L52" s="404"/>
      <c r="M52" s="419"/>
      <c r="N52" s="420"/>
      <c r="O52" s="421"/>
      <c r="P52" s="414"/>
    </row>
    <row r="53" spans="1:17" ht="16.5" customHeight="1">
      <c r="A53" s="407" t="s">
        <v>1437</v>
      </c>
      <c r="B53" s="404" t="s">
        <v>6</v>
      </c>
      <c r="C53" s="418">
        <v>0</v>
      </c>
      <c r="D53" s="404"/>
      <c r="E53" s="418">
        <v>0</v>
      </c>
      <c r="F53" s="426"/>
      <c r="G53" s="415">
        <v>16610</v>
      </c>
      <c r="H53" s="404"/>
      <c r="I53" s="418">
        <v>0</v>
      </c>
      <c r="J53" s="404"/>
      <c r="K53" s="418">
        <v>0</v>
      </c>
      <c r="L53" s="404"/>
      <c r="M53" s="419">
        <f>ROUND(SUM(C53:K53),1)</f>
        <v>16610</v>
      </c>
      <c r="N53" s="420"/>
      <c r="O53" s="421">
        <v>16799</v>
      </c>
      <c r="P53" s="414"/>
      <c r="Q53" s="435"/>
    </row>
    <row r="54" spans="1:17" ht="16.5" customHeight="1">
      <c r="A54" s="407" t="s">
        <v>1438</v>
      </c>
      <c r="B54" s="404" t="s">
        <v>6</v>
      </c>
      <c r="C54" s="415">
        <v>111351</v>
      </c>
      <c r="D54" s="404"/>
      <c r="E54" s="416">
        <v>4633878</v>
      </c>
      <c r="F54" s="426"/>
      <c r="G54" s="415">
        <v>22705</v>
      </c>
      <c r="H54" s="404"/>
      <c r="I54" s="416">
        <v>506402</v>
      </c>
      <c r="J54" s="404"/>
      <c r="K54" s="416">
        <v>407205</v>
      </c>
      <c r="L54" s="404"/>
      <c r="M54" s="419">
        <f>ROUND(SUM(C54:K54),1)</f>
        <v>5681541</v>
      </c>
      <c r="N54" s="420"/>
      <c r="O54" s="421">
        <v>5914330</v>
      </c>
      <c r="P54" s="414"/>
      <c r="Q54" s="435"/>
    </row>
    <row r="55" spans="1:17" ht="16">
      <c r="A55" s="393" t="s">
        <v>1439</v>
      </c>
      <c r="B55" s="393" t="s">
        <v>6</v>
      </c>
      <c r="C55" s="422">
        <f>ROUND(SUM(C53:C54),1)</f>
        <v>111351</v>
      </c>
      <c r="D55" s="404"/>
      <c r="E55" s="422">
        <f>ROUND(SUM(E53:E54),1)</f>
        <v>4633878</v>
      </c>
      <c r="F55" s="423"/>
      <c r="G55" s="422">
        <f>ROUND(SUM(G53:G54),1)</f>
        <v>39315</v>
      </c>
      <c r="H55" s="404"/>
      <c r="I55" s="422">
        <f>ROUND(SUM(I53:I54),1)</f>
        <v>506402</v>
      </c>
      <c r="J55" s="404"/>
      <c r="K55" s="422">
        <f>ROUND(SUM(K53:K54),1)</f>
        <v>407205</v>
      </c>
      <c r="L55" s="404"/>
      <c r="M55" s="422">
        <f>ROUND(SUM(M53:M54),1)</f>
        <v>5698151</v>
      </c>
      <c r="N55" s="424"/>
      <c r="O55" s="422">
        <f>ROUND(SUM(O53:O54),1)</f>
        <v>5931129</v>
      </c>
      <c r="P55" s="414"/>
    </row>
    <row r="56" spans="1:17" ht="10.5" customHeight="1">
      <c r="A56" s="404"/>
      <c r="B56" s="404" t="s">
        <v>6</v>
      </c>
      <c r="C56" s="434"/>
      <c r="D56" s="404"/>
      <c r="E56" s="425"/>
      <c r="F56" s="426"/>
      <c r="G56" s="425"/>
      <c r="H56" s="404"/>
      <c r="I56" s="425"/>
      <c r="J56" s="404"/>
      <c r="K56" s="425"/>
      <c r="L56" s="404"/>
      <c r="M56" s="425"/>
      <c r="N56" s="427"/>
      <c r="O56" s="421"/>
      <c r="P56" s="436"/>
    </row>
    <row r="57" spans="1:17" ht="10.5" customHeight="1">
      <c r="A57" s="437"/>
      <c r="B57" s="404" t="s">
        <v>6</v>
      </c>
      <c r="C57" s="438"/>
      <c r="D57" s="404"/>
      <c r="E57" s="439"/>
      <c r="F57" s="423"/>
      <c r="G57" s="439"/>
      <c r="H57" s="404"/>
      <c r="I57" s="439"/>
      <c r="J57" s="404"/>
      <c r="K57" s="439"/>
      <c r="L57" s="404"/>
      <c r="M57" s="439"/>
      <c r="N57" s="424"/>
      <c r="O57" s="421"/>
      <c r="P57" s="414"/>
    </row>
    <row r="58" spans="1:17" ht="19.5" customHeight="1" thickBot="1">
      <c r="A58" s="393" t="s">
        <v>274</v>
      </c>
      <c r="B58" s="408" t="s">
        <v>6</v>
      </c>
      <c r="C58" s="440">
        <f>ROUND(SUM(+C26+C50+C55+C39+C33+C20+C15+C45),1)</f>
        <v>43314329</v>
      </c>
      <c r="D58" s="408" t="s">
        <v>6</v>
      </c>
      <c r="E58" s="440">
        <f>ROUND(SUM(+E26+E50+E55+E39+E33+E20+E15+E45),1)</f>
        <v>19338929</v>
      </c>
      <c r="F58" s="408" t="s">
        <v>6</v>
      </c>
      <c r="G58" s="440">
        <f>ROUND(SUM(+G26+G50+G55+G39+G33+G20+G15+G45),1)</f>
        <v>45162746</v>
      </c>
      <c r="H58" s="408" t="s">
        <v>6</v>
      </c>
      <c r="I58" s="440">
        <f>ROUND(SUM(+I26+I50+I55+I39+I33+I20+I15+I45),1)</f>
        <v>1886305</v>
      </c>
      <c r="J58" s="408" t="s">
        <v>6</v>
      </c>
      <c r="K58" s="440">
        <f>ROUND(SUM(+K26+K50+K55+K39+K33+K20+K15+K45),1)</f>
        <v>611318</v>
      </c>
      <c r="L58" s="408" t="s">
        <v>6</v>
      </c>
      <c r="M58" s="440">
        <f>ROUND(SUM(+M26+M50+M55+M39+M33+M20+M15+M45),1)</f>
        <v>110313627</v>
      </c>
      <c r="N58" s="408" t="s">
        <v>6</v>
      </c>
      <c r="O58" s="440">
        <f>ROUND(SUM(+O26+O50+O55+O39+O33+O20+O15+O45),1)</f>
        <v>104723651</v>
      </c>
      <c r="P58" s="414"/>
    </row>
    <row r="59" spans="1:17" ht="11.25" customHeight="1" thickTop="1">
      <c r="A59" s="393"/>
      <c r="B59" s="403" t="s">
        <v>6</v>
      </c>
      <c r="C59" s="441"/>
      <c r="D59" s="403"/>
      <c r="E59" s="441"/>
      <c r="F59" s="408"/>
      <c r="G59" s="441"/>
      <c r="H59" s="403"/>
      <c r="I59" s="441"/>
      <c r="J59" s="403"/>
      <c r="K59" s="441"/>
      <c r="L59" s="403"/>
      <c r="M59" s="441"/>
      <c r="N59" s="441"/>
      <c r="O59" s="421"/>
      <c r="P59" s="414"/>
    </row>
    <row r="60" spans="1:17" ht="18.75" customHeight="1">
      <c r="A60" s="404"/>
      <c r="B60" s="404" t="s">
        <v>6</v>
      </c>
      <c r="C60" s="404"/>
      <c r="D60" s="404"/>
      <c r="E60" s="404"/>
      <c r="F60" s="408"/>
      <c r="G60" s="404"/>
      <c r="H60" s="404"/>
      <c r="I60" s="442"/>
      <c r="J60" s="404"/>
      <c r="K60" s="442"/>
      <c r="L60" s="404"/>
      <c r="M60" s="442"/>
      <c r="N60" s="442"/>
      <c r="O60" s="443"/>
      <c r="P60" s="414"/>
      <c r="Q60" s="444"/>
    </row>
    <row r="61" spans="1:17" ht="16" customHeight="1">
      <c r="A61" s="445"/>
      <c r="B61" s="446"/>
      <c r="C61" s="404"/>
      <c r="D61" s="404"/>
      <c r="E61" s="404"/>
      <c r="F61" s="408"/>
      <c r="G61" s="404"/>
      <c r="H61" s="404"/>
      <c r="I61" s="442"/>
      <c r="J61" s="404"/>
      <c r="K61" s="442"/>
      <c r="L61" s="404"/>
      <c r="M61" s="404"/>
      <c r="N61" s="404"/>
      <c r="O61" s="433"/>
    </row>
    <row r="62" spans="1:17" ht="16" customHeight="1">
      <c r="A62" s="445"/>
      <c r="B62" s="446"/>
      <c r="C62" s="404"/>
      <c r="D62" s="404"/>
      <c r="E62" s="404"/>
      <c r="F62" s="408"/>
      <c r="G62" s="404"/>
      <c r="H62" s="404"/>
      <c r="I62" s="442"/>
      <c r="J62" s="404"/>
      <c r="K62" s="442"/>
      <c r="L62" s="404"/>
      <c r="M62" s="404"/>
      <c r="N62" s="404"/>
      <c r="O62" s="433"/>
    </row>
    <row r="63" spans="1:17" ht="16" customHeight="1">
      <c r="A63" s="447"/>
      <c r="B63" s="448"/>
      <c r="C63" s="427"/>
      <c r="D63" s="427"/>
      <c r="E63" s="427"/>
      <c r="F63" s="449"/>
      <c r="G63" s="427"/>
      <c r="H63" s="427"/>
      <c r="I63" s="427"/>
      <c r="J63" s="427"/>
      <c r="K63" s="427"/>
      <c r="L63" s="427"/>
      <c r="M63" s="427"/>
      <c r="N63" s="427"/>
      <c r="O63" s="428"/>
    </row>
    <row r="64" spans="1:17" ht="16" customHeight="1">
      <c r="A64" s="448"/>
      <c r="B64" s="448"/>
    </row>
    <row r="65" spans="1:16376" ht="16" customHeight="1">
      <c r="A65" s="447"/>
      <c r="B65" s="447"/>
      <c r="C65" s="447"/>
      <c r="D65" s="447"/>
      <c r="E65" s="447"/>
      <c r="F65" s="447"/>
      <c r="G65" s="447"/>
      <c r="H65" s="447"/>
      <c r="I65" s="447"/>
      <c r="J65" s="447"/>
      <c r="K65" s="447"/>
      <c r="L65" s="447"/>
      <c r="M65" s="447"/>
      <c r="N65" s="447"/>
      <c r="O65" s="451"/>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c r="BS65" s="447"/>
      <c r="BT65" s="447"/>
      <c r="BU65" s="447"/>
      <c r="BV65" s="447"/>
      <c r="BW65" s="447"/>
      <c r="BX65" s="447"/>
      <c r="BY65" s="447"/>
      <c r="BZ65" s="447"/>
      <c r="CA65" s="447"/>
      <c r="CB65" s="447"/>
      <c r="CC65" s="447"/>
      <c r="CD65" s="447"/>
      <c r="CE65" s="447"/>
      <c r="CF65" s="447"/>
      <c r="CG65" s="447"/>
      <c r="CH65" s="447"/>
      <c r="CI65" s="447"/>
      <c r="CJ65" s="447"/>
      <c r="CK65" s="447"/>
      <c r="CL65" s="447"/>
      <c r="CM65" s="447"/>
      <c r="CN65" s="447"/>
      <c r="CO65" s="447"/>
      <c r="CP65" s="447"/>
      <c r="CQ65" s="447"/>
      <c r="CR65" s="447"/>
      <c r="CS65" s="447"/>
      <c r="CT65" s="447"/>
      <c r="CU65" s="447"/>
      <c r="CV65" s="447"/>
      <c r="CW65" s="447"/>
      <c r="CX65" s="447"/>
      <c r="CY65" s="447"/>
      <c r="CZ65" s="447"/>
      <c r="DA65" s="447"/>
      <c r="DB65" s="447"/>
      <c r="DC65" s="447"/>
      <c r="DD65" s="447"/>
      <c r="DE65" s="447"/>
      <c r="DF65" s="447"/>
      <c r="DG65" s="447"/>
      <c r="DH65" s="447"/>
      <c r="DI65" s="447"/>
      <c r="DJ65" s="447"/>
      <c r="DK65" s="447"/>
      <c r="DL65" s="447"/>
      <c r="DM65" s="447"/>
      <c r="DN65" s="447"/>
      <c r="DO65" s="447"/>
      <c r="DP65" s="447"/>
      <c r="DQ65" s="447"/>
      <c r="DR65" s="447"/>
      <c r="DS65" s="447"/>
      <c r="DT65" s="447"/>
      <c r="DU65" s="447"/>
      <c r="DV65" s="447"/>
      <c r="DW65" s="447"/>
      <c r="DX65" s="447"/>
      <c r="DY65" s="447"/>
      <c r="DZ65" s="447"/>
      <c r="EA65" s="447"/>
      <c r="EB65" s="447"/>
      <c r="EC65" s="447"/>
      <c r="ED65" s="447"/>
      <c r="EE65" s="447"/>
      <c r="EF65" s="447"/>
      <c r="EG65" s="447"/>
      <c r="EH65" s="447"/>
      <c r="EI65" s="447"/>
      <c r="EJ65" s="447"/>
      <c r="EK65" s="447"/>
      <c r="EL65" s="447"/>
      <c r="EM65" s="447"/>
      <c r="EN65" s="447"/>
      <c r="EO65" s="447"/>
      <c r="EP65" s="447"/>
      <c r="EQ65" s="447"/>
      <c r="ER65" s="447"/>
      <c r="ES65" s="447"/>
      <c r="ET65" s="447"/>
      <c r="EU65" s="447"/>
      <c r="EV65" s="447"/>
      <c r="EW65" s="447"/>
      <c r="EX65" s="447"/>
      <c r="EY65" s="447"/>
      <c r="EZ65" s="447"/>
      <c r="FA65" s="447"/>
      <c r="FB65" s="447"/>
      <c r="FC65" s="447"/>
      <c r="FD65" s="447"/>
      <c r="FE65" s="447"/>
      <c r="FF65" s="447"/>
      <c r="FG65" s="447"/>
      <c r="FH65" s="447"/>
      <c r="FI65" s="447"/>
      <c r="FJ65" s="447"/>
      <c r="FK65" s="447"/>
      <c r="FL65" s="447"/>
      <c r="FM65" s="447"/>
      <c r="FN65" s="447"/>
      <c r="FO65" s="447"/>
      <c r="FP65" s="447"/>
      <c r="FQ65" s="447"/>
      <c r="FR65" s="447"/>
      <c r="FS65" s="447"/>
      <c r="FT65" s="447"/>
      <c r="FU65" s="447"/>
      <c r="FV65" s="447"/>
      <c r="FW65" s="447"/>
      <c r="FX65" s="447"/>
      <c r="FY65" s="447"/>
      <c r="FZ65" s="447"/>
      <c r="GA65" s="447"/>
      <c r="GB65" s="447"/>
      <c r="GC65" s="447"/>
      <c r="GD65" s="447"/>
      <c r="GE65" s="447"/>
      <c r="GF65" s="447"/>
      <c r="GG65" s="447"/>
      <c r="GH65" s="447"/>
      <c r="GI65" s="447"/>
      <c r="GJ65" s="447"/>
      <c r="GK65" s="447"/>
      <c r="GL65" s="447"/>
      <c r="GM65" s="447"/>
      <c r="GN65" s="447"/>
      <c r="GO65" s="447"/>
      <c r="GP65" s="447"/>
      <c r="GQ65" s="447"/>
      <c r="GR65" s="447"/>
      <c r="GS65" s="447"/>
      <c r="GT65" s="447"/>
      <c r="GU65" s="447"/>
      <c r="GV65" s="447"/>
      <c r="GW65" s="447"/>
      <c r="GX65" s="447"/>
      <c r="GY65" s="447"/>
      <c r="GZ65" s="447"/>
      <c r="HA65" s="447"/>
      <c r="HB65" s="447"/>
      <c r="HC65" s="447"/>
      <c r="HD65" s="447"/>
      <c r="HE65" s="447"/>
      <c r="HF65" s="447"/>
      <c r="HG65" s="447"/>
      <c r="HH65" s="447"/>
      <c r="HI65" s="447"/>
      <c r="HJ65" s="447"/>
      <c r="HK65" s="447"/>
      <c r="HL65" s="447"/>
      <c r="HM65" s="447"/>
      <c r="HN65" s="447"/>
      <c r="HO65" s="447"/>
      <c r="HP65" s="447"/>
      <c r="HQ65" s="447"/>
      <c r="HR65" s="447"/>
      <c r="HS65" s="447"/>
      <c r="HT65" s="447"/>
      <c r="HU65" s="447"/>
      <c r="HV65" s="447"/>
      <c r="HW65" s="447"/>
      <c r="HX65" s="447"/>
      <c r="HY65" s="447"/>
      <c r="HZ65" s="447"/>
      <c r="IA65" s="447"/>
      <c r="IB65" s="447"/>
      <c r="IC65" s="447"/>
      <c r="ID65" s="447"/>
      <c r="IE65" s="447"/>
      <c r="IF65" s="447"/>
      <c r="IG65" s="447"/>
      <c r="IH65" s="447"/>
      <c r="II65" s="447"/>
      <c r="IJ65" s="447"/>
      <c r="IK65" s="447"/>
      <c r="IL65" s="447"/>
      <c r="IM65" s="447"/>
      <c r="IN65" s="447"/>
      <c r="IO65" s="447"/>
      <c r="IP65" s="447"/>
      <c r="IQ65" s="447"/>
      <c r="IR65" s="447"/>
      <c r="IS65" s="447"/>
      <c r="IT65" s="447"/>
      <c r="IU65" s="447"/>
      <c r="IV65" s="447"/>
      <c r="IW65" s="447"/>
      <c r="IX65" s="447"/>
      <c r="IY65" s="447"/>
      <c r="IZ65" s="447"/>
      <c r="JA65" s="447"/>
      <c r="JB65" s="447"/>
      <c r="JC65" s="447"/>
      <c r="JD65" s="447"/>
      <c r="JE65" s="447"/>
      <c r="JF65" s="447"/>
      <c r="JG65" s="447"/>
      <c r="JH65" s="447"/>
      <c r="JI65" s="447"/>
      <c r="JJ65" s="447"/>
      <c r="JK65" s="447"/>
      <c r="JL65" s="447"/>
      <c r="JM65" s="447"/>
      <c r="JN65" s="447"/>
      <c r="JO65" s="447"/>
      <c r="JP65" s="447"/>
      <c r="JQ65" s="447"/>
      <c r="JR65" s="447"/>
      <c r="JS65" s="447"/>
      <c r="JT65" s="447"/>
      <c r="JU65" s="447"/>
      <c r="JV65" s="447"/>
      <c r="JW65" s="447"/>
      <c r="JX65" s="447"/>
      <c r="JY65" s="447"/>
      <c r="JZ65" s="447"/>
      <c r="KA65" s="447"/>
      <c r="KB65" s="447"/>
      <c r="KC65" s="447"/>
      <c r="KD65" s="447"/>
      <c r="KE65" s="447"/>
      <c r="KF65" s="447"/>
      <c r="KG65" s="447"/>
      <c r="KH65" s="447"/>
      <c r="KI65" s="447"/>
      <c r="KJ65" s="447"/>
      <c r="KK65" s="447"/>
      <c r="KL65" s="447"/>
      <c r="KM65" s="447"/>
      <c r="KN65" s="447"/>
      <c r="KO65" s="447"/>
      <c r="KP65" s="447"/>
      <c r="KQ65" s="447"/>
      <c r="KR65" s="447"/>
      <c r="KS65" s="447"/>
      <c r="KT65" s="447"/>
      <c r="KU65" s="447"/>
      <c r="KV65" s="447"/>
      <c r="KW65" s="447"/>
      <c r="KX65" s="447"/>
      <c r="KY65" s="447"/>
      <c r="KZ65" s="447"/>
      <c r="LA65" s="447"/>
      <c r="LB65" s="447"/>
      <c r="LC65" s="447"/>
      <c r="LD65" s="447"/>
      <c r="LE65" s="447"/>
      <c r="LF65" s="447"/>
      <c r="LG65" s="447"/>
      <c r="LH65" s="447"/>
      <c r="LI65" s="447"/>
      <c r="LJ65" s="447"/>
      <c r="LK65" s="447"/>
      <c r="LL65" s="447"/>
      <c r="LM65" s="447"/>
      <c r="LN65" s="447"/>
      <c r="LO65" s="447"/>
      <c r="LP65" s="447"/>
      <c r="LQ65" s="447"/>
      <c r="LR65" s="447"/>
      <c r="LS65" s="447"/>
      <c r="LT65" s="447"/>
      <c r="LU65" s="447"/>
      <c r="LV65" s="447"/>
      <c r="LW65" s="447"/>
      <c r="LX65" s="447"/>
      <c r="LY65" s="447"/>
      <c r="LZ65" s="447"/>
      <c r="MA65" s="447"/>
      <c r="MB65" s="447"/>
      <c r="MC65" s="447"/>
      <c r="MD65" s="447"/>
      <c r="ME65" s="447"/>
      <c r="MF65" s="447"/>
      <c r="MG65" s="447"/>
      <c r="MH65" s="447"/>
      <c r="MI65" s="447"/>
      <c r="MJ65" s="447"/>
      <c r="MK65" s="447"/>
      <c r="ML65" s="447"/>
      <c r="MM65" s="447"/>
      <c r="MN65" s="447"/>
      <c r="MO65" s="447"/>
      <c r="MP65" s="447"/>
      <c r="MQ65" s="447"/>
      <c r="MR65" s="447"/>
      <c r="MS65" s="447"/>
      <c r="MT65" s="447"/>
      <c r="MU65" s="447"/>
      <c r="MV65" s="447"/>
      <c r="MW65" s="447"/>
      <c r="MX65" s="447"/>
      <c r="MY65" s="447"/>
      <c r="MZ65" s="447"/>
      <c r="NA65" s="447"/>
      <c r="NB65" s="447"/>
      <c r="NC65" s="447"/>
      <c r="ND65" s="447"/>
      <c r="NE65" s="447"/>
      <c r="NF65" s="447"/>
      <c r="NG65" s="447"/>
      <c r="NH65" s="447"/>
      <c r="NI65" s="447"/>
      <c r="NJ65" s="447"/>
      <c r="NK65" s="447"/>
      <c r="NL65" s="447"/>
      <c r="NM65" s="447"/>
      <c r="NN65" s="447"/>
      <c r="NO65" s="447"/>
      <c r="NP65" s="447"/>
      <c r="NQ65" s="447"/>
      <c r="NR65" s="447"/>
      <c r="NS65" s="447"/>
      <c r="NT65" s="447"/>
      <c r="NU65" s="447"/>
      <c r="NV65" s="447"/>
      <c r="NW65" s="447"/>
      <c r="NX65" s="447"/>
      <c r="NY65" s="447"/>
      <c r="NZ65" s="447"/>
      <c r="OA65" s="447"/>
      <c r="OB65" s="447"/>
      <c r="OC65" s="447"/>
      <c r="OD65" s="447"/>
      <c r="OE65" s="447"/>
      <c r="OF65" s="447"/>
      <c r="OG65" s="447"/>
      <c r="OH65" s="447"/>
      <c r="OI65" s="447"/>
      <c r="OJ65" s="447"/>
      <c r="OK65" s="447"/>
      <c r="OL65" s="447"/>
      <c r="OM65" s="447"/>
      <c r="ON65" s="447"/>
      <c r="OO65" s="447"/>
      <c r="OP65" s="447"/>
      <c r="OQ65" s="447"/>
      <c r="OR65" s="447"/>
      <c r="OS65" s="447"/>
      <c r="OT65" s="447"/>
      <c r="OU65" s="447"/>
      <c r="OV65" s="447"/>
      <c r="OW65" s="447"/>
      <c r="OX65" s="447"/>
      <c r="OY65" s="447"/>
      <c r="OZ65" s="447"/>
      <c r="PA65" s="447"/>
      <c r="PB65" s="447"/>
      <c r="PC65" s="447"/>
      <c r="PD65" s="447"/>
      <c r="PE65" s="447"/>
      <c r="PF65" s="447"/>
      <c r="PG65" s="447"/>
      <c r="PH65" s="447"/>
      <c r="PI65" s="447"/>
      <c r="PJ65" s="447"/>
      <c r="PK65" s="447"/>
      <c r="PL65" s="447"/>
      <c r="PM65" s="447"/>
      <c r="PN65" s="447"/>
      <c r="PO65" s="447"/>
      <c r="PP65" s="447"/>
      <c r="PQ65" s="447"/>
      <c r="PR65" s="447"/>
      <c r="PS65" s="447"/>
      <c r="PT65" s="447"/>
      <c r="PU65" s="447"/>
      <c r="PV65" s="447"/>
      <c r="PW65" s="447"/>
      <c r="PX65" s="447"/>
      <c r="PY65" s="447"/>
      <c r="PZ65" s="447"/>
      <c r="QA65" s="447"/>
      <c r="QB65" s="447"/>
      <c r="QC65" s="447"/>
      <c r="QD65" s="447"/>
      <c r="QE65" s="447"/>
      <c r="QF65" s="447"/>
      <c r="QG65" s="447"/>
      <c r="QH65" s="447"/>
      <c r="QI65" s="447"/>
      <c r="QJ65" s="447"/>
      <c r="QK65" s="447"/>
      <c r="QL65" s="447"/>
      <c r="QM65" s="447"/>
      <c r="QN65" s="447"/>
      <c r="QO65" s="447"/>
      <c r="QP65" s="447"/>
      <c r="QQ65" s="447"/>
      <c r="QR65" s="447"/>
      <c r="QS65" s="447"/>
      <c r="QT65" s="447"/>
      <c r="QU65" s="447"/>
      <c r="QV65" s="447"/>
      <c r="QW65" s="447"/>
      <c r="QX65" s="447"/>
      <c r="QY65" s="447"/>
      <c r="QZ65" s="447"/>
      <c r="RA65" s="447"/>
      <c r="RB65" s="447"/>
      <c r="RC65" s="447"/>
      <c r="RD65" s="447"/>
      <c r="RE65" s="447"/>
      <c r="RF65" s="447"/>
      <c r="RG65" s="447"/>
      <c r="RH65" s="447"/>
      <c r="RI65" s="447"/>
      <c r="RJ65" s="447"/>
      <c r="RK65" s="447"/>
      <c r="RL65" s="447"/>
      <c r="RM65" s="447"/>
      <c r="RN65" s="447"/>
      <c r="RO65" s="447"/>
      <c r="RP65" s="447"/>
      <c r="RQ65" s="447"/>
      <c r="RR65" s="447"/>
      <c r="RS65" s="447"/>
      <c r="RT65" s="447"/>
      <c r="RU65" s="447"/>
      <c r="RV65" s="447"/>
      <c r="RW65" s="447"/>
      <c r="RX65" s="447"/>
      <c r="RY65" s="447"/>
      <c r="RZ65" s="447"/>
      <c r="SA65" s="447"/>
      <c r="SB65" s="447"/>
      <c r="SC65" s="447"/>
      <c r="SD65" s="447"/>
      <c r="SE65" s="447"/>
      <c r="SF65" s="447"/>
      <c r="SG65" s="447"/>
      <c r="SH65" s="447"/>
      <c r="SI65" s="447"/>
      <c r="SJ65" s="447"/>
      <c r="SK65" s="447"/>
      <c r="SL65" s="447"/>
      <c r="SM65" s="447"/>
      <c r="SN65" s="447"/>
      <c r="SO65" s="447"/>
      <c r="SP65" s="447"/>
      <c r="SQ65" s="447"/>
      <c r="SR65" s="447"/>
      <c r="SS65" s="447"/>
      <c r="ST65" s="447"/>
      <c r="SU65" s="447"/>
      <c r="SV65" s="447"/>
      <c r="SW65" s="447"/>
      <c r="SX65" s="447"/>
      <c r="SY65" s="447"/>
      <c r="SZ65" s="447"/>
      <c r="TA65" s="447"/>
      <c r="TB65" s="447"/>
      <c r="TC65" s="447"/>
      <c r="TD65" s="447"/>
      <c r="TE65" s="447"/>
      <c r="TF65" s="447"/>
      <c r="TG65" s="447"/>
      <c r="TH65" s="447"/>
      <c r="TI65" s="447"/>
      <c r="TJ65" s="447"/>
      <c r="TK65" s="447"/>
      <c r="TL65" s="447"/>
      <c r="TM65" s="447"/>
      <c r="TN65" s="447"/>
      <c r="TO65" s="447"/>
      <c r="TP65" s="447"/>
      <c r="TQ65" s="447"/>
      <c r="TR65" s="447"/>
      <c r="TS65" s="447"/>
      <c r="TT65" s="447"/>
      <c r="TU65" s="447"/>
      <c r="TV65" s="447"/>
      <c r="TW65" s="447"/>
      <c r="TX65" s="447"/>
      <c r="TY65" s="447"/>
      <c r="TZ65" s="447"/>
      <c r="UA65" s="447"/>
      <c r="UB65" s="447"/>
      <c r="UC65" s="447"/>
      <c r="UD65" s="447"/>
      <c r="UE65" s="447"/>
      <c r="UF65" s="447"/>
      <c r="UG65" s="447"/>
      <c r="UH65" s="447"/>
      <c r="UI65" s="447"/>
      <c r="UJ65" s="447"/>
      <c r="UK65" s="447"/>
      <c r="UL65" s="447"/>
      <c r="UM65" s="447"/>
      <c r="UN65" s="447"/>
      <c r="UO65" s="447"/>
      <c r="UP65" s="447"/>
      <c r="UQ65" s="447"/>
      <c r="UR65" s="447"/>
      <c r="US65" s="447"/>
      <c r="UT65" s="447"/>
      <c r="UU65" s="447"/>
      <c r="UV65" s="447"/>
      <c r="UW65" s="447"/>
      <c r="UX65" s="447"/>
      <c r="UY65" s="447"/>
      <c r="UZ65" s="447"/>
      <c r="VA65" s="447"/>
      <c r="VB65" s="447"/>
      <c r="VC65" s="447"/>
      <c r="VD65" s="447"/>
      <c r="VE65" s="447"/>
      <c r="VF65" s="447"/>
      <c r="VG65" s="447"/>
      <c r="VH65" s="447"/>
      <c r="VI65" s="447"/>
      <c r="VJ65" s="447"/>
      <c r="VK65" s="447"/>
      <c r="VL65" s="447"/>
      <c r="VM65" s="447"/>
      <c r="VN65" s="447"/>
      <c r="VO65" s="447"/>
      <c r="VP65" s="447"/>
      <c r="VQ65" s="447"/>
      <c r="VR65" s="447"/>
      <c r="VS65" s="447"/>
      <c r="VT65" s="447"/>
      <c r="VU65" s="447"/>
      <c r="VV65" s="447"/>
      <c r="VW65" s="447"/>
      <c r="VX65" s="447"/>
      <c r="VY65" s="447"/>
      <c r="VZ65" s="447"/>
      <c r="WA65" s="447"/>
      <c r="WB65" s="447"/>
      <c r="WC65" s="447"/>
      <c r="WD65" s="447"/>
      <c r="WE65" s="447"/>
      <c r="WF65" s="447"/>
      <c r="WG65" s="447"/>
      <c r="WH65" s="447"/>
      <c r="WI65" s="447"/>
      <c r="WJ65" s="447"/>
      <c r="WK65" s="447"/>
      <c r="WL65" s="447"/>
      <c r="WM65" s="447"/>
      <c r="WN65" s="447"/>
      <c r="WO65" s="447"/>
      <c r="WP65" s="447"/>
      <c r="WQ65" s="447"/>
      <c r="WR65" s="447"/>
      <c r="WS65" s="447"/>
      <c r="WT65" s="447"/>
      <c r="WU65" s="447"/>
      <c r="WV65" s="447"/>
      <c r="WW65" s="447"/>
      <c r="WX65" s="447"/>
      <c r="WY65" s="447"/>
      <c r="WZ65" s="447"/>
      <c r="XA65" s="447"/>
      <c r="XB65" s="447"/>
      <c r="XC65" s="447"/>
      <c r="XD65" s="447"/>
      <c r="XE65" s="447"/>
      <c r="XF65" s="447"/>
      <c r="XG65" s="447"/>
      <c r="XH65" s="447"/>
      <c r="XI65" s="447"/>
      <c r="XJ65" s="447"/>
      <c r="XK65" s="447"/>
      <c r="XL65" s="447"/>
      <c r="XM65" s="447"/>
      <c r="XN65" s="447"/>
      <c r="XO65" s="447"/>
      <c r="XP65" s="447"/>
      <c r="XQ65" s="447"/>
      <c r="XR65" s="447"/>
      <c r="XS65" s="447"/>
      <c r="XT65" s="447"/>
      <c r="XU65" s="447"/>
      <c r="XV65" s="447"/>
      <c r="XW65" s="447"/>
      <c r="XX65" s="447"/>
      <c r="XY65" s="447"/>
      <c r="XZ65" s="447"/>
      <c r="YA65" s="447"/>
      <c r="YB65" s="447"/>
      <c r="YC65" s="447"/>
      <c r="YD65" s="447"/>
      <c r="YE65" s="447"/>
      <c r="YF65" s="447"/>
      <c r="YG65" s="447"/>
      <c r="YH65" s="447"/>
      <c r="YI65" s="447"/>
      <c r="YJ65" s="447"/>
      <c r="YK65" s="447"/>
      <c r="YL65" s="447"/>
      <c r="YM65" s="447"/>
      <c r="YN65" s="447"/>
      <c r="YO65" s="447"/>
      <c r="YP65" s="447"/>
      <c r="YQ65" s="447"/>
      <c r="YR65" s="447"/>
      <c r="YS65" s="447"/>
      <c r="YT65" s="447"/>
      <c r="YU65" s="447"/>
      <c r="YV65" s="447"/>
      <c r="YW65" s="447"/>
      <c r="YX65" s="447"/>
      <c r="YY65" s="447"/>
      <c r="YZ65" s="447"/>
      <c r="ZA65" s="447"/>
      <c r="ZB65" s="447"/>
      <c r="ZC65" s="447"/>
      <c r="ZD65" s="447"/>
      <c r="ZE65" s="447"/>
      <c r="ZF65" s="447"/>
      <c r="ZG65" s="447"/>
      <c r="ZH65" s="447"/>
      <c r="ZI65" s="447"/>
      <c r="ZJ65" s="447"/>
      <c r="ZK65" s="447"/>
      <c r="ZL65" s="447"/>
      <c r="ZM65" s="447"/>
      <c r="ZN65" s="447"/>
      <c r="ZO65" s="447"/>
      <c r="ZP65" s="447"/>
      <c r="ZQ65" s="447"/>
      <c r="ZR65" s="447"/>
      <c r="ZS65" s="447"/>
      <c r="ZT65" s="447"/>
      <c r="ZU65" s="447"/>
      <c r="ZV65" s="447"/>
      <c r="ZW65" s="447"/>
      <c r="ZX65" s="447"/>
      <c r="ZY65" s="447"/>
      <c r="ZZ65" s="447"/>
      <c r="AAA65" s="447"/>
      <c r="AAB65" s="447"/>
      <c r="AAC65" s="447"/>
      <c r="AAD65" s="447"/>
      <c r="AAE65" s="447"/>
      <c r="AAF65" s="447"/>
      <c r="AAG65" s="447"/>
      <c r="AAH65" s="447"/>
      <c r="AAI65" s="447"/>
      <c r="AAJ65" s="447"/>
      <c r="AAK65" s="447"/>
      <c r="AAL65" s="447"/>
      <c r="AAM65" s="447"/>
      <c r="AAN65" s="447"/>
      <c r="AAO65" s="447"/>
      <c r="AAP65" s="447"/>
      <c r="AAQ65" s="447"/>
      <c r="AAR65" s="447"/>
      <c r="AAS65" s="447"/>
      <c r="AAT65" s="447"/>
      <c r="AAU65" s="447"/>
      <c r="AAV65" s="447"/>
      <c r="AAW65" s="447"/>
      <c r="AAX65" s="447"/>
      <c r="AAY65" s="447"/>
      <c r="AAZ65" s="447"/>
      <c r="ABA65" s="447"/>
      <c r="ABB65" s="447"/>
      <c r="ABC65" s="447"/>
      <c r="ABD65" s="447"/>
      <c r="ABE65" s="447"/>
      <c r="ABF65" s="447"/>
      <c r="ABG65" s="447"/>
      <c r="ABH65" s="447"/>
      <c r="ABI65" s="447"/>
      <c r="ABJ65" s="447"/>
      <c r="ABK65" s="447"/>
      <c r="ABL65" s="447"/>
      <c r="ABM65" s="447"/>
      <c r="ABN65" s="447"/>
      <c r="ABO65" s="447"/>
      <c r="ABP65" s="447"/>
      <c r="ABQ65" s="447"/>
      <c r="ABR65" s="447"/>
      <c r="ABS65" s="447"/>
      <c r="ABT65" s="447"/>
      <c r="ABU65" s="447"/>
      <c r="ABV65" s="447"/>
      <c r="ABW65" s="447"/>
      <c r="ABX65" s="447"/>
      <c r="ABY65" s="447"/>
      <c r="ABZ65" s="447"/>
      <c r="ACA65" s="447"/>
      <c r="ACB65" s="447"/>
      <c r="ACC65" s="447"/>
      <c r="ACD65" s="447"/>
      <c r="ACE65" s="447"/>
      <c r="ACF65" s="447"/>
      <c r="ACG65" s="447"/>
      <c r="ACH65" s="447"/>
      <c r="ACI65" s="447"/>
      <c r="ACJ65" s="447"/>
      <c r="ACK65" s="447"/>
      <c r="ACL65" s="447"/>
      <c r="ACM65" s="447"/>
      <c r="ACN65" s="447"/>
      <c r="ACO65" s="447"/>
      <c r="ACP65" s="447"/>
      <c r="ACQ65" s="447"/>
      <c r="ACR65" s="447"/>
      <c r="ACS65" s="447"/>
      <c r="ACT65" s="447"/>
      <c r="ACU65" s="447"/>
      <c r="ACV65" s="447"/>
      <c r="ACW65" s="447"/>
      <c r="ACX65" s="447"/>
      <c r="ACY65" s="447"/>
      <c r="ACZ65" s="447"/>
      <c r="ADA65" s="447"/>
      <c r="ADB65" s="447"/>
      <c r="ADC65" s="447"/>
      <c r="ADD65" s="447"/>
      <c r="ADE65" s="447"/>
      <c r="ADF65" s="447"/>
      <c r="ADG65" s="447"/>
      <c r="ADH65" s="447"/>
      <c r="ADI65" s="447"/>
      <c r="ADJ65" s="447"/>
      <c r="ADK65" s="447"/>
      <c r="ADL65" s="447"/>
      <c r="ADM65" s="447"/>
      <c r="ADN65" s="447"/>
      <c r="ADO65" s="447"/>
      <c r="ADP65" s="447"/>
      <c r="ADQ65" s="447"/>
      <c r="ADR65" s="447"/>
      <c r="ADS65" s="447"/>
      <c r="ADT65" s="447"/>
      <c r="ADU65" s="447"/>
      <c r="ADV65" s="447"/>
      <c r="ADW65" s="447"/>
      <c r="ADX65" s="447"/>
      <c r="ADY65" s="447"/>
      <c r="ADZ65" s="447"/>
      <c r="AEA65" s="447"/>
      <c r="AEB65" s="447"/>
      <c r="AEC65" s="447"/>
      <c r="AED65" s="447"/>
      <c r="AEE65" s="447"/>
      <c r="AEF65" s="447"/>
      <c r="AEG65" s="447"/>
      <c r="AEH65" s="447"/>
      <c r="AEI65" s="447"/>
      <c r="AEJ65" s="447"/>
      <c r="AEK65" s="447"/>
      <c r="AEL65" s="447"/>
      <c r="AEM65" s="447"/>
      <c r="AEN65" s="447"/>
      <c r="AEO65" s="447"/>
      <c r="AEP65" s="447"/>
      <c r="AEQ65" s="447"/>
      <c r="AER65" s="447"/>
      <c r="AES65" s="447"/>
      <c r="AET65" s="447"/>
      <c r="AEU65" s="447"/>
      <c r="AEV65" s="447"/>
      <c r="AEW65" s="447"/>
      <c r="AEX65" s="447"/>
      <c r="AEY65" s="447"/>
      <c r="AEZ65" s="447"/>
      <c r="AFA65" s="447"/>
      <c r="AFB65" s="447"/>
      <c r="AFC65" s="447"/>
      <c r="AFD65" s="447"/>
      <c r="AFE65" s="447"/>
      <c r="AFF65" s="447"/>
      <c r="AFG65" s="447"/>
      <c r="AFH65" s="447"/>
      <c r="AFI65" s="447"/>
      <c r="AFJ65" s="447"/>
      <c r="AFK65" s="447"/>
      <c r="AFL65" s="447"/>
      <c r="AFM65" s="447"/>
      <c r="AFN65" s="447"/>
      <c r="AFO65" s="447"/>
      <c r="AFP65" s="447"/>
      <c r="AFQ65" s="447"/>
      <c r="AFR65" s="447"/>
      <c r="AFS65" s="447"/>
      <c r="AFT65" s="447"/>
      <c r="AFU65" s="447"/>
      <c r="AFV65" s="447"/>
      <c r="AFW65" s="447"/>
      <c r="AFX65" s="447"/>
      <c r="AFY65" s="447"/>
      <c r="AFZ65" s="447"/>
      <c r="AGA65" s="447"/>
      <c r="AGB65" s="447"/>
      <c r="AGC65" s="447"/>
      <c r="AGD65" s="447"/>
      <c r="AGE65" s="447"/>
      <c r="AGF65" s="447"/>
      <c r="AGG65" s="447"/>
      <c r="AGH65" s="447"/>
      <c r="AGI65" s="447"/>
      <c r="AGJ65" s="447"/>
      <c r="AGK65" s="447"/>
      <c r="AGL65" s="447"/>
      <c r="AGM65" s="447"/>
      <c r="AGN65" s="447"/>
      <c r="AGO65" s="447"/>
      <c r="AGP65" s="447"/>
      <c r="AGQ65" s="447"/>
      <c r="AGR65" s="447"/>
      <c r="AGS65" s="447"/>
      <c r="AGT65" s="447"/>
      <c r="AGU65" s="447"/>
      <c r="AGV65" s="447"/>
      <c r="AGW65" s="447"/>
      <c r="AGX65" s="447"/>
      <c r="AGY65" s="447"/>
      <c r="AGZ65" s="447"/>
      <c r="AHA65" s="447"/>
      <c r="AHB65" s="447"/>
      <c r="AHC65" s="447"/>
      <c r="AHD65" s="447"/>
      <c r="AHE65" s="447"/>
      <c r="AHF65" s="447"/>
      <c r="AHG65" s="447"/>
      <c r="AHH65" s="447"/>
      <c r="AHI65" s="447"/>
      <c r="AHJ65" s="447"/>
      <c r="AHK65" s="447"/>
      <c r="AHL65" s="447"/>
      <c r="AHM65" s="447"/>
      <c r="AHN65" s="447"/>
      <c r="AHO65" s="447"/>
      <c r="AHP65" s="447"/>
      <c r="AHQ65" s="447"/>
      <c r="AHR65" s="447"/>
      <c r="AHS65" s="447"/>
      <c r="AHT65" s="447"/>
      <c r="AHU65" s="447"/>
      <c r="AHV65" s="447"/>
      <c r="AHW65" s="447"/>
      <c r="AHX65" s="447"/>
      <c r="AHY65" s="447"/>
      <c r="AHZ65" s="447"/>
      <c r="AIA65" s="447"/>
      <c r="AIB65" s="447"/>
      <c r="AIC65" s="447"/>
      <c r="AID65" s="447"/>
      <c r="AIE65" s="447"/>
      <c r="AIF65" s="447"/>
      <c r="AIG65" s="447"/>
      <c r="AIH65" s="447"/>
      <c r="AII65" s="447"/>
      <c r="AIJ65" s="447"/>
      <c r="AIK65" s="447"/>
      <c r="AIL65" s="447"/>
      <c r="AIM65" s="447"/>
      <c r="AIN65" s="447"/>
      <c r="AIO65" s="447"/>
      <c r="AIP65" s="447"/>
      <c r="AIQ65" s="447"/>
      <c r="AIR65" s="447"/>
      <c r="AIS65" s="447"/>
      <c r="AIT65" s="447"/>
      <c r="AIU65" s="447"/>
      <c r="AIV65" s="447"/>
      <c r="AIW65" s="447"/>
      <c r="AIX65" s="447"/>
      <c r="AIY65" s="447"/>
      <c r="AIZ65" s="447"/>
      <c r="AJA65" s="447"/>
      <c r="AJB65" s="447"/>
      <c r="AJC65" s="447"/>
      <c r="AJD65" s="447"/>
      <c r="AJE65" s="447"/>
      <c r="AJF65" s="447"/>
      <c r="AJG65" s="447"/>
      <c r="AJH65" s="447"/>
      <c r="AJI65" s="447"/>
      <c r="AJJ65" s="447"/>
      <c r="AJK65" s="447"/>
      <c r="AJL65" s="447"/>
      <c r="AJM65" s="447"/>
      <c r="AJN65" s="447"/>
      <c r="AJO65" s="447"/>
      <c r="AJP65" s="447"/>
      <c r="AJQ65" s="447"/>
      <c r="AJR65" s="447"/>
      <c r="AJS65" s="447"/>
      <c r="AJT65" s="447"/>
      <c r="AJU65" s="447"/>
      <c r="AJV65" s="447"/>
      <c r="AJW65" s="447"/>
      <c r="AJX65" s="447"/>
      <c r="AJY65" s="447"/>
      <c r="AJZ65" s="447"/>
      <c r="AKA65" s="447"/>
      <c r="AKB65" s="447"/>
      <c r="AKC65" s="447"/>
      <c r="AKD65" s="447"/>
      <c r="AKE65" s="447"/>
      <c r="AKF65" s="447"/>
      <c r="AKG65" s="447"/>
      <c r="AKH65" s="447"/>
      <c r="AKI65" s="447"/>
      <c r="AKJ65" s="447"/>
      <c r="AKK65" s="447"/>
      <c r="AKL65" s="447"/>
      <c r="AKM65" s="447"/>
      <c r="AKN65" s="447"/>
      <c r="AKO65" s="447"/>
      <c r="AKP65" s="447"/>
      <c r="AKQ65" s="447"/>
      <c r="AKR65" s="447"/>
      <c r="AKS65" s="447"/>
      <c r="AKT65" s="447"/>
      <c r="AKU65" s="447"/>
      <c r="AKV65" s="447"/>
      <c r="AKW65" s="447"/>
      <c r="AKX65" s="447"/>
      <c r="AKY65" s="447"/>
      <c r="AKZ65" s="447"/>
      <c r="ALA65" s="447"/>
      <c r="ALB65" s="447"/>
      <c r="ALC65" s="447"/>
      <c r="ALD65" s="447"/>
      <c r="ALE65" s="447"/>
      <c r="ALF65" s="447"/>
      <c r="ALG65" s="447"/>
      <c r="ALH65" s="447"/>
      <c r="ALI65" s="447"/>
      <c r="ALJ65" s="447"/>
      <c r="ALK65" s="447"/>
      <c r="ALL65" s="447"/>
      <c r="ALM65" s="447"/>
      <c r="ALN65" s="447"/>
      <c r="ALO65" s="447"/>
      <c r="ALP65" s="447"/>
      <c r="ALQ65" s="447"/>
      <c r="ALR65" s="447"/>
      <c r="ALS65" s="447"/>
      <c r="ALT65" s="447"/>
      <c r="ALU65" s="447"/>
      <c r="ALV65" s="447"/>
      <c r="ALW65" s="447"/>
      <c r="ALX65" s="447"/>
      <c r="ALY65" s="447"/>
      <c r="ALZ65" s="447"/>
      <c r="AMA65" s="447"/>
      <c r="AMB65" s="447"/>
      <c r="AMC65" s="447"/>
      <c r="AMD65" s="447"/>
      <c r="AME65" s="447"/>
      <c r="AMF65" s="447"/>
      <c r="AMG65" s="447"/>
      <c r="AMH65" s="447"/>
      <c r="AMI65" s="447"/>
      <c r="AMJ65" s="447"/>
      <c r="AMK65" s="447"/>
      <c r="AML65" s="447"/>
      <c r="AMM65" s="447"/>
      <c r="AMN65" s="447"/>
      <c r="AMO65" s="447"/>
      <c r="AMP65" s="447"/>
      <c r="AMQ65" s="447"/>
      <c r="AMR65" s="447"/>
      <c r="AMS65" s="447"/>
      <c r="AMT65" s="447"/>
      <c r="AMU65" s="447"/>
      <c r="AMV65" s="447"/>
      <c r="AMW65" s="447"/>
      <c r="AMX65" s="447"/>
      <c r="AMY65" s="447"/>
      <c r="AMZ65" s="447"/>
      <c r="ANA65" s="447"/>
      <c r="ANB65" s="447"/>
      <c r="ANC65" s="447"/>
      <c r="AND65" s="447"/>
      <c r="ANE65" s="447"/>
      <c r="ANF65" s="447"/>
      <c r="ANG65" s="447"/>
      <c r="ANH65" s="447"/>
      <c r="ANI65" s="447"/>
      <c r="ANJ65" s="447"/>
      <c r="ANK65" s="447"/>
      <c r="ANL65" s="447"/>
      <c r="ANM65" s="447"/>
      <c r="ANN65" s="447"/>
      <c r="ANO65" s="447"/>
      <c r="ANP65" s="447"/>
      <c r="ANQ65" s="447"/>
      <c r="ANR65" s="447"/>
      <c r="ANS65" s="447"/>
      <c r="ANT65" s="447"/>
      <c r="ANU65" s="447"/>
      <c r="ANV65" s="447"/>
      <c r="ANW65" s="447"/>
      <c r="ANX65" s="447"/>
      <c r="ANY65" s="447"/>
      <c r="ANZ65" s="447"/>
      <c r="AOA65" s="447"/>
      <c r="AOB65" s="447"/>
      <c r="AOC65" s="447"/>
      <c r="AOD65" s="447"/>
      <c r="AOE65" s="447"/>
      <c r="AOF65" s="447"/>
      <c r="AOG65" s="447"/>
      <c r="AOH65" s="447"/>
      <c r="AOI65" s="447"/>
      <c r="AOJ65" s="447"/>
      <c r="AOK65" s="447"/>
      <c r="AOL65" s="447"/>
      <c r="AOM65" s="447"/>
      <c r="AON65" s="447"/>
      <c r="AOO65" s="447"/>
      <c r="AOP65" s="447"/>
      <c r="AOQ65" s="447"/>
      <c r="AOR65" s="447"/>
      <c r="AOS65" s="447"/>
      <c r="AOT65" s="447"/>
      <c r="AOU65" s="447"/>
      <c r="AOV65" s="447"/>
      <c r="AOW65" s="447"/>
      <c r="AOX65" s="447"/>
      <c r="AOY65" s="447"/>
      <c r="AOZ65" s="447"/>
      <c r="APA65" s="447"/>
      <c r="APB65" s="447"/>
      <c r="APC65" s="447"/>
      <c r="APD65" s="447"/>
      <c r="APE65" s="447"/>
      <c r="APF65" s="447"/>
      <c r="APG65" s="447"/>
      <c r="APH65" s="447"/>
      <c r="API65" s="447"/>
      <c r="APJ65" s="447"/>
      <c r="APK65" s="447"/>
      <c r="APL65" s="447"/>
      <c r="APM65" s="447"/>
      <c r="APN65" s="447"/>
      <c r="APO65" s="447"/>
      <c r="APP65" s="447"/>
      <c r="APQ65" s="447"/>
      <c r="APR65" s="447"/>
      <c r="APS65" s="447"/>
      <c r="APT65" s="447"/>
      <c r="APU65" s="447"/>
      <c r="APV65" s="447"/>
      <c r="APW65" s="447"/>
      <c r="APX65" s="447"/>
      <c r="APY65" s="447"/>
      <c r="APZ65" s="447"/>
      <c r="AQA65" s="447"/>
      <c r="AQB65" s="447"/>
      <c r="AQC65" s="447"/>
      <c r="AQD65" s="447"/>
      <c r="AQE65" s="447"/>
      <c r="AQF65" s="447"/>
      <c r="AQG65" s="447"/>
      <c r="AQH65" s="447"/>
      <c r="AQI65" s="447"/>
      <c r="AQJ65" s="447"/>
      <c r="AQK65" s="447"/>
      <c r="AQL65" s="447"/>
      <c r="AQM65" s="447"/>
      <c r="AQN65" s="447"/>
      <c r="AQO65" s="447"/>
      <c r="AQP65" s="447"/>
      <c r="AQQ65" s="447"/>
      <c r="AQR65" s="447"/>
      <c r="AQS65" s="447"/>
      <c r="AQT65" s="447"/>
      <c r="AQU65" s="447"/>
      <c r="AQV65" s="447"/>
      <c r="AQW65" s="447"/>
      <c r="AQX65" s="447"/>
      <c r="AQY65" s="447"/>
      <c r="AQZ65" s="447"/>
      <c r="ARA65" s="447"/>
      <c r="ARB65" s="447"/>
      <c r="ARC65" s="447"/>
      <c r="ARD65" s="447"/>
      <c r="ARE65" s="447"/>
      <c r="ARF65" s="447"/>
      <c r="ARG65" s="447"/>
      <c r="ARH65" s="447"/>
      <c r="ARI65" s="447"/>
      <c r="ARJ65" s="447"/>
      <c r="ARK65" s="447"/>
      <c r="ARL65" s="447"/>
      <c r="ARM65" s="447"/>
      <c r="ARN65" s="447"/>
      <c r="ARO65" s="447"/>
      <c r="ARP65" s="447"/>
      <c r="ARQ65" s="447"/>
      <c r="ARR65" s="447"/>
      <c r="ARS65" s="447"/>
      <c r="ART65" s="447"/>
      <c r="ARU65" s="447"/>
      <c r="ARV65" s="447"/>
      <c r="ARW65" s="447"/>
      <c r="ARX65" s="447"/>
      <c r="ARY65" s="447"/>
      <c r="ARZ65" s="447"/>
      <c r="ASA65" s="447"/>
      <c r="ASB65" s="447"/>
      <c r="ASC65" s="447"/>
      <c r="ASD65" s="447"/>
      <c r="ASE65" s="447"/>
      <c r="ASF65" s="447"/>
      <c r="ASG65" s="447"/>
      <c r="ASH65" s="447"/>
      <c r="ASI65" s="447"/>
      <c r="ASJ65" s="447"/>
      <c r="ASK65" s="447"/>
      <c r="ASL65" s="447"/>
      <c r="ASM65" s="447"/>
      <c r="ASN65" s="447"/>
      <c r="ASO65" s="447"/>
      <c r="ASP65" s="447"/>
      <c r="ASQ65" s="447"/>
      <c r="ASR65" s="447"/>
      <c r="ASS65" s="447"/>
      <c r="AST65" s="447"/>
      <c r="ASU65" s="447"/>
      <c r="ASV65" s="447"/>
      <c r="ASW65" s="447"/>
      <c r="ASX65" s="447"/>
      <c r="ASY65" s="447"/>
      <c r="ASZ65" s="447"/>
      <c r="ATA65" s="447"/>
      <c r="ATB65" s="447"/>
      <c r="ATC65" s="447"/>
      <c r="ATD65" s="447"/>
      <c r="ATE65" s="447"/>
      <c r="ATF65" s="447"/>
      <c r="ATG65" s="447"/>
      <c r="ATH65" s="447"/>
      <c r="ATI65" s="447"/>
      <c r="ATJ65" s="447"/>
      <c r="ATK65" s="447"/>
      <c r="ATL65" s="447"/>
      <c r="ATM65" s="447"/>
      <c r="ATN65" s="447"/>
      <c r="ATO65" s="447"/>
      <c r="ATP65" s="447"/>
      <c r="ATQ65" s="447"/>
      <c r="ATR65" s="447"/>
      <c r="ATS65" s="447"/>
      <c r="ATT65" s="447"/>
      <c r="ATU65" s="447"/>
      <c r="ATV65" s="447"/>
      <c r="ATW65" s="447"/>
      <c r="ATX65" s="447"/>
      <c r="ATY65" s="447"/>
      <c r="ATZ65" s="447"/>
      <c r="AUA65" s="447"/>
      <c r="AUB65" s="447"/>
      <c r="AUC65" s="447"/>
      <c r="AUD65" s="447"/>
      <c r="AUE65" s="447"/>
      <c r="AUF65" s="447"/>
      <c r="AUG65" s="447"/>
      <c r="AUH65" s="447"/>
      <c r="AUI65" s="447"/>
      <c r="AUJ65" s="447"/>
      <c r="AUK65" s="447"/>
      <c r="AUL65" s="447"/>
      <c r="AUM65" s="447"/>
      <c r="AUN65" s="447"/>
      <c r="AUO65" s="447"/>
      <c r="AUP65" s="447"/>
      <c r="AUQ65" s="447"/>
      <c r="AUR65" s="447"/>
      <c r="AUS65" s="447"/>
      <c r="AUT65" s="447"/>
      <c r="AUU65" s="447"/>
      <c r="AUV65" s="447"/>
      <c r="AUW65" s="447"/>
      <c r="AUX65" s="447"/>
      <c r="AUY65" s="447"/>
      <c r="AUZ65" s="447"/>
      <c r="AVA65" s="447"/>
      <c r="AVB65" s="447"/>
      <c r="AVC65" s="447"/>
      <c r="AVD65" s="447"/>
      <c r="AVE65" s="447"/>
      <c r="AVF65" s="447"/>
      <c r="AVG65" s="447"/>
      <c r="AVH65" s="447"/>
      <c r="AVI65" s="447"/>
      <c r="AVJ65" s="447"/>
      <c r="AVK65" s="447"/>
      <c r="AVL65" s="447"/>
      <c r="AVM65" s="447"/>
      <c r="AVN65" s="447"/>
      <c r="AVO65" s="447"/>
      <c r="AVP65" s="447"/>
      <c r="AVQ65" s="447"/>
      <c r="AVR65" s="447"/>
      <c r="AVS65" s="447"/>
      <c r="AVT65" s="447"/>
      <c r="AVU65" s="447"/>
      <c r="AVV65" s="447"/>
      <c r="AVW65" s="447"/>
      <c r="AVX65" s="447"/>
      <c r="AVY65" s="447"/>
      <c r="AVZ65" s="447"/>
      <c r="AWA65" s="447"/>
      <c r="AWB65" s="447"/>
      <c r="AWC65" s="447"/>
      <c r="AWD65" s="447"/>
      <c r="AWE65" s="447"/>
      <c r="AWF65" s="447"/>
      <c r="AWG65" s="447"/>
      <c r="AWH65" s="447"/>
      <c r="AWI65" s="447"/>
      <c r="AWJ65" s="447"/>
      <c r="AWK65" s="447"/>
      <c r="AWL65" s="447"/>
      <c r="AWM65" s="447"/>
      <c r="AWN65" s="447"/>
      <c r="AWO65" s="447"/>
      <c r="AWP65" s="447"/>
      <c r="AWQ65" s="447"/>
      <c r="AWR65" s="447"/>
      <c r="AWS65" s="447"/>
      <c r="AWT65" s="447"/>
      <c r="AWU65" s="447"/>
      <c r="AWV65" s="447"/>
      <c r="AWW65" s="447"/>
      <c r="AWX65" s="447"/>
      <c r="AWY65" s="447"/>
      <c r="AWZ65" s="447"/>
      <c r="AXA65" s="447"/>
      <c r="AXB65" s="447"/>
      <c r="AXC65" s="447"/>
      <c r="AXD65" s="447"/>
      <c r="AXE65" s="447"/>
      <c r="AXF65" s="447"/>
      <c r="AXG65" s="447"/>
      <c r="AXH65" s="447"/>
      <c r="AXI65" s="447"/>
      <c r="AXJ65" s="447"/>
      <c r="AXK65" s="447"/>
      <c r="AXL65" s="447"/>
      <c r="AXM65" s="447"/>
      <c r="AXN65" s="447"/>
      <c r="AXO65" s="447"/>
      <c r="AXP65" s="447"/>
      <c r="AXQ65" s="447"/>
      <c r="AXR65" s="447"/>
      <c r="AXS65" s="447"/>
      <c r="AXT65" s="447"/>
      <c r="AXU65" s="447"/>
      <c r="AXV65" s="447"/>
      <c r="AXW65" s="447"/>
      <c r="AXX65" s="447"/>
      <c r="AXY65" s="447"/>
      <c r="AXZ65" s="447"/>
      <c r="AYA65" s="447"/>
      <c r="AYB65" s="447"/>
      <c r="AYC65" s="447"/>
      <c r="AYD65" s="447"/>
      <c r="AYE65" s="447"/>
      <c r="AYF65" s="447"/>
      <c r="AYG65" s="447"/>
      <c r="AYH65" s="447"/>
      <c r="AYI65" s="447"/>
      <c r="AYJ65" s="447"/>
      <c r="AYK65" s="447"/>
      <c r="AYL65" s="447"/>
      <c r="AYM65" s="447"/>
      <c r="AYN65" s="447"/>
      <c r="AYO65" s="447"/>
      <c r="AYP65" s="447"/>
      <c r="AYQ65" s="447"/>
      <c r="AYR65" s="447"/>
      <c r="AYS65" s="447"/>
      <c r="AYT65" s="447"/>
      <c r="AYU65" s="447"/>
      <c r="AYV65" s="447"/>
      <c r="AYW65" s="447"/>
      <c r="AYX65" s="447"/>
      <c r="AYY65" s="447"/>
      <c r="AYZ65" s="447"/>
      <c r="AZA65" s="447"/>
      <c r="AZB65" s="447"/>
      <c r="AZC65" s="447"/>
      <c r="AZD65" s="447"/>
      <c r="AZE65" s="447"/>
      <c r="AZF65" s="447"/>
      <c r="AZG65" s="447"/>
      <c r="AZH65" s="447"/>
      <c r="AZI65" s="447"/>
      <c r="AZJ65" s="447"/>
      <c r="AZK65" s="447"/>
      <c r="AZL65" s="447"/>
      <c r="AZM65" s="447"/>
      <c r="AZN65" s="447"/>
      <c r="AZO65" s="447"/>
      <c r="AZP65" s="447"/>
      <c r="AZQ65" s="447"/>
      <c r="AZR65" s="447"/>
      <c r="AZS65" s="447"/>
      <c r="AZT65" s="447"/>
      <c r="AZU65" s="447"/>
      <c r="AZV65" s="447"/>
      <c r="AZW65" s="447"/>
      <c r="AZX65" s="447"/>
      <c r="AZY65" s="447"/>
      <c r="AZZ65" s="447"/>
      <c r="BAA65" s="447"/>
      <c r="BAB65" s="447"/>
      <c r="BAC65" s="447"/>
      <c r="BAD65" s="447"/>
      <c r="BAE65" s="447"/>
      <c r="BAF65" s="447"/>
      <c r="BAG65" s="447"/>
      <c r="BAH65" s="447"/>
      <c r="BAI65" s="447"/>
      <c r="BAJ65" s="447"/>
      <c r="BAK65" s="447"/>
      <c r="BAL65" s="447"/>
      <c r="BAM65" s="447"/>
      <c r="BAN65" s="447"/>
      <c r="BAO65" s="447"/>
      <c r="BAP65" s="447"/>
      <c r="BAQ65" s="447"/>
      <c r="BAR65" s="447"/>
      <c r="BAS65" s="447"/>
      <c r="BAT65" s="447"/>
      <c r="BAU65" s="447"/>
      <c r="BAV65" s="447"/>
      <c r="BAW65" s="447"/>
      <c r="BAX65" s="447"/>
      <c r="BAY65" s="447"/>
      <c r="BAZ65" s="447"/>
      <c r="BBA65" s="447"/>
      <c r="BBB65" s="447"/>
      <c r="BBC65" s="447"/>
      <c r="BBD65" s="447"/>
      <c r="BBE65" s="447"/>
      <c r="BBF65" s="447"/>
      <c r="BBG65" s="447"/>
      <c r="BBH65" s="447"/>
      <c r="BBI65" s="447"/>
      <c r="BBJ65" s="447"/>
      <c r="BBK65" s="447"/>
      <c r="BBL65" s="447"/>
      <c r="BBM65" s="447"/>
      <c r="BBN65" s="447"/>
      <c r="BBO65" s="447"/>
      <c r="BBP65" s="447"/>
      <c r="BBQ65" s="447"/>
      <c r="BBR65" s="447"/>
      <c r="BBS65" s="447"/>
      <c r="BBT65" s="447"/>
      <c r="BBU65" s="447"/>
      <c r="BBV65" s="447"/>
      <c r="BBW65" s="447"/>
      <c r="BBX65" s="447"/>
      <c r="BBY65" s="447"/>
      <c r="BBZ65" s="447"/>
      <c r="BCA65" s="447"/>
      <c r="BCB65" s="447"/>
      <c r="BCC65" s="447"/>
      <c r="BCD65" s="447"/>
      <c r="BCE65" s="447"/>
      <c r="BCF65" s="447"/>
      <c r="BCG65" s="447"/>
      <c r="BCH65" s="447"/>
      <c r="BCI65" s="447"/>
      <c r="BCJ65" s="447"/>
      <c r="BCK65" s="447"/>
      <c r="BCL65" s="447"/>
      <c r="BCM65" s="447"/>
      <c r="BCN65" s="447"/>
      <c r="BCO65" s="447"/>
      <c r="BCP65" s="447"/>
      <c r="BCQ65" s="447"/>
      <c r="BCR65" s="447"/>
      <c r="BCS65" s="447"/>
      <c r="BCT65" s="447"/>
      <c r="BCU65" s="447"/>
      <c r="BCV65" s="447"/>
      <c r="BCW65" s="447"/>
      <c r="BCX65" s="447"/>
      <c r="BCY65" s="447"/>
      <c r="BCZ65" s="447"/>
      <c r="BDA65" s="447"/>
      <c r="BDB65" s="447"/>
      <c r="BDC65" s="447"/>
      <c r="BDD65" s="447"/>
      <c r="BDE65" s="447"/>
      <c r="BDF65" s="447"/>
      <c r="BDG65" s="447"/>
      <c r="BDH65" s="447"/>
      <c r="BDI65" s="447"/>
      <c r="BDJ65" s="447"/>
      <c r="BDK65" s="447"/>
      <c r="BDL65" s="447"/>
      <c r="BDM65" s="447"/>
      <c r="BDN65" s="447"/>
      <c r="BDO65" s="447"/>
      <c r="BDP65" s="447"/>
      <c r="BDQ65" s="447"/>
      <c r="BDR65" s="447"/>
      <c r="BDS65" s="447"/>
      <c r="BDT65" s="447"/>
      <c r="BDU65" s="447"/>
      <c r="BDV65" s="447"/>
      <c r="BDW65" s="447"/>
      <c r="BDX65" s="447"/>
      <c r="BDY65" s="447"/>
      <c r="BDZ65" s="447"/>
      <c r="BEA65" s="447"/>
      <c r="BEB65" s="447"/>
      <c r="BEC65" s="447"/>
      <c r="BED65" s="447"/>
      <c r="BEE65" s="447"/>
      <c r="BEF65" s="447"/>
      <c r="BEG65" s="447"/>
      <c r="BEH65" s="447"/>
      <c r="BEI65" s="447"/>
      <c r="BEJ65" s="447"/>
      <c r="BEK65" s="447"/>
      <c r="BEL65" s="447"/>
      <c r="BEM65" s="447"/>
      <c r="BEN65" s="447"/>
      <c r="BEO65" s="447"/>
      <c r="BEP65" s="447"/>
      <c r="BEQ65" s="447"/>
      <c r="BER65" s="447"/>
      <c r="BES65" s="447"/>
      <c r="BET65" s="447"/>
      <c r="BEU65" s="447"/>
      <c r="BEV65" s="447"/>
      <c r="BEW65" s="447"/>
      <c r="BEX65" s="447"/>
      <c r="BEY65" s="447"/>
      <c r="BEZ65" s="447"/>
      <c r="BFA65" s="447"/>
      <c r="BFB65" s="447"/>
      <c r="BFC65" s="447"/>
      <c r="BFD65" s="447"/>
      <c r="BFE65" s="447"/>
      <c r="BFF65" s="447"/>
      <c r="BFG65" s="447"/>
      <c r="BFH65" s="447"/>
      <c r="BFI65" s="447"/>
      <c r="BFJ65" s="447"/>
      <c r="BFK65" s="447"/>
      <c r="BFL65" s="447"/>
      <c r="BFM65" s="447"/>
      <c r="BFN65" s="447"/>
      <c r="BFO65" s="447"/>
      <c r="BFP65" s="447"/>
      <c r="BFQ65" s="447"/>
      <c r="BFR65" s="447"/>
      <c r="BFS65" s="447"/>
      <c r="BFT65" s="447"/>
      <c r="BFU65" s="447"/>
      <c r="BFV65" s="447"/>
      <c r="BFW65" s="447"/>
      <c r="BFX65" s="447"/>
      <c r="BFY65" s="447"/>
      <c r="BFZ65" s="447"/>
      <c r="BGA65" s="447"/>
      <c r="BGB65" s="447"/>
      <c r="BGC65" s="447"/>
      <c r="BGD65" s="447"/>
      <c r="BGE65" s="447"/>
      <c r="BGF65" s="447"/>
      <c r="BGG65" s="447"/>
      <c r="BGH65" s="447"/>
      <c r="BGI65" s="447"/>
      <c r="BGJ65" s="447"/>
      <c r="BGK65" s="447"/>
      <c r="BGL65" s="447"/>
      <c r="BGM65" s="447"/>
      <c r="BGN65" s="447"/>
      <c r="BGO65" s="447"/>
      <c r="BGP65" s="447"/>
      <c r="BGQ65" s="447"/>
      <c r="BGR65" s="447"/>
      <c r="BGS65" s="447"/>
      <c r="BGT65" s="447"/>
      <c r="BGU65" s="447"/>
      <c r="BGV65" s="447"/>
      <c r="BGW65" s="447"/>
      <c r="BGX65" s="447"/>
      <c r="BGY65" s="447"/>
      <c r="BGZ65" s="447"/>
      <c r="BHA65" s="447"/>
      <c r="BHB65" s="447"/>
      <c r="BHC65" s="447"/>
      <c r="BHD65" s="447"/>
      <c r="BHE65" s="447"/>
      <c r="BHF65" s="447"/>
      <c r="BHG65" s="447"/>
      <c r="BHH65" s="447"/>
      <c r="BHI65" s="447"/>
      <c r="BHJ65" s="447"/>
      <c r="BHK65" s="447"/>
      <c r="BHL65" s="447"/>
      <c r="BHM65" s="447"/>
      <c r="BHN65" s="447"/>
      <c r="BHO65" s="447"/>
      <c r="BHP65" s="447"/>
      <c r="BHQ65" s="447"/>
      <c r="BHR65" s="447"/>
      <c r="BHS65" s="447"/>
      <c r="BHT65" s="447"/>
      <c r="BHU65" s="447"/>
      <c r="BHV65" s="447"/>
      <c r="BHW65" s="447"/>
      <c r="BHX65" s="447"/>
      <c r="BHY65" s="447"/>
      <c r="BHZ65" s="447"/>
      <c r="BIA65" s="447"/>
      <c r="BIB65" s="447"/>
      <c r="BIC65" s="447"/>
      <c r="BID65" s="447"/>
      <c r="BIE65" s="447"/>
      <c r="BIF65" s="447"/>
      <c r="BIG65" s="447"/>
      <c r="BIH65" s="447"/>
      <c r="BII65" s="447"/>
      <c r="BIJ65" s="447"/>
      <c r="BIK65" s="447"/>
      <c r="BIL65" s="447"/>
      <c r="BIM65" s="447"/>
      <c r="BIN65" s="447"/>
      <c r="BIO65" s="447"/>
      <c r="BIP65" s="447"/>
      <c r="BIQ65" s="447"/>
      <c r="BIR65" s="447"/>
      <c r="BIS65" s="447"/>
      <c r="BIT65" s="447"/>
      <c r="BIU65" s="447"/>
      <c r="BIV65" s="447"/>
      <c r="BIW65" s="447"/>
      <c r="BIX65" s="447"/>
      <c r="BIY65" s="447"/>
      <c r="BIZ65" s="447"/>
      <c r="BJA65" s="447"/>
      <c r="BJB65" s="447"/>
      <c r="BJC65" s="447"/>
      <c r="BJD65" s="447"/>
      <c r="BJE65" s="447"/>
      <c r="BJF65" s="447"/>
      <c r="BJG65" s="447"/>
      <c r="BJH65" s="447"/>
      <c r="BJI65" s="447"/>
      <c r="BJJ65" s="447"/>
      <c r="BJK65" s="447"/>
      <c r="BJL65" s="447"/>
      <c r="BJM65" s="447"/>
      <c r="BJN65" s="447"/>
      <c r="BJO65" s="447"/>
      <c r="BJP65" s="447"/>
      <c r="BJQ65" s="447"/>
      <c r="BJR65" s="447"/>
      <c r="BJS65" s="447"/>
      <c r="BJT65" s="447"/>
      <c r="BJU65" s="447"/>
      <c r="BJV65" s="447"/>
      <c r="BJW65" s="447"/>
      <c r="BJX65" s="447"/>
      <c r="BJY65" s="447"/>
      <c r="BJZ65" s="447"/>
      <c r="BKA65" s="447"/>
      <c r="BKB65" s="447"/>
      <c r="BKC65" s="447"/>
      <c r="BKD65" s="447"/>
      <c r="BKE65" s="447"/>
      <c r="BKF65" s="447"/>
      <c r="BKG65" s="447"/>
      <c r="BKH65" s="447"/>
      <c r="BKI65" s="447"/>
      <c r="BKJ65" s="447"/>
      <c r="BKK65" s="447"/>
      <c r="BKL65" s="447"/>
      <c r="BKM65" s="447"/>
      <c r="BKN65" s="447"/>
      <c r="BKO65" s="447"/>
      <c r="BKP65" s="447"/>
      <c r="BKQ65" s="447"/>
      <c r="BKR65" s="447"/>
      <c r="BKS65" s="447"/>
      <c r="BKT65" s="447"/>
      <c r="BKU65" s="447"/>
      <c r="BKV65" s="447"/>
      <c r="BKW65" s="447"/>
      <c r="BKX65" s="447"/>
      <c r="BKY65" s="447"/>
      <c r="BKZ65" s="447"/>
      <c r="BLA65" s="447"/>
      <c r="BLB65" s="447"/>
      <c r="BLC65" s="447"/>
      <c r="BLD65" s="447"/>
      <c r="BLE65" s="447"/>
      <c r="BLF65" s="447"/>
      <c r="BLG65" s="447"/>
      <c r="BLH65" s="447"/>
      <c r="BLI65" s="447"/>
      <c r="BLJ65" s="447"/>
      <c r="BLK65" s="447"/>
      <c r="BLL65" s="447"/>
      <c r="BLM65" s="447"/>
      <c r="BLN65" s="447"/>
      <c r="BLO65" s="447"/>
      <c r="BLP65" s="447"/>
      <c r="BLQ65" s="447"/>
      <c r="BLR65" s="447"/>
      <c r="BLS65" s="447"/>
      <c r="BLT65" s="447"/>
      <c r="BLU65" s="447"/>
      <c r="BLV65" s="447"/>
      <c r="BLW65" s="447"/>
      <c r="BLX65" s="447"/>
      <c r="BLY65" s="447"/>
      <c r="BLZ65" s="447"/>
      <c r="BMA65" s="447"/>
      <c r="BMB65" s="447"/>
      <c r="BMC65" s="447"/>
      <c r="BMD65" s="447"/>
      <c r="BME65" s="447"/>
      <c r="BMF65" s="447"/>
      <c r="BMG65" s="447"/>
      <c r="BMH65" s="447"/>
      <c r="BMI65" s="447"/>
      <c r="BMJ65" s="447"/>
      <c r="BMK65" s="447"/>
      <c r="BML65" s="447"/>
      <c r="BMM65" s="447"/>
      <c r="BMN65" s="447"/>
      <c r="BMO65" s="447"/>
      <c r="BMP65" s="447"/>
      <c r="BMQ65" s="447"/>
      <c r="BMR65" s="447"/>
      <c r="BMS65" s="447"/>
      <c r="BMT65" s="447"/>
      <c r="BMU65" s="447"/>
      <c r="BMV65" s="447"/>
      <c r="BMW65" s="447"/>
      <c r="BMX65" s="447"/>
      <c r="BMY65" s="447"/>
      <c r="BMZ65" s="447"/>
      <c r="BNA65" s="447"/>
      <c r="BNB65" s="447"/>
      <c r="BNC65" s="447"/>
      <c r="BND65" s="447"/>
      <c r="BNE65" s="447"/>
      <c r="BNF65" s="447"/>
      <c r="BNG65" s="447"/>
      <c r="BNH65" s="447"/>
      <c r="BNI65" s="447"/>
      <c r="BNJ65" s="447"/>
      <c r="BNK65" s="447"/>
      <c r="BNL65" s="447"/>
      <c r="BNM65" s="447"/>
      <c r="BNN65" s="447"/>
      <c r="BNO65" s="447"/>
      <c r="BNP65" s="447"/>
      <c r="BNQ65" s="447"/>
      <c r="BNR65" s="447"/>
      <c r="BNS65" s="447"/>
      <c r="BNT65" s="447"/>
      <c r="BNU65" s="447"/>
      <c r="BNV65" s="447"/>
      <c r="BNW65" s="447"/>
      <c r="BNX65" s="447"/>
      <c r="BNY65" s="447"/>
      <c r="BNZ65" s="447"/>
      <c r="BOA65" s="447"/>
      <c r="BOB65" s="447"/>
      <c r="BOC65" s="447"/>
      <c r="BOD65" s="447"/>
      <c r="BOE65" s="447"/>
      <c r="BOF65" s="447"/>
      <c r="BOG65" s="447"/>
      <c r="BOH65" s="447"/>
      <c r="BOI65" s="447"/>
      <c r="BOJ65" s="447"/>
      <c r="BOK65" s="447"/>
      <c r="BOL65" s="447"/>
      <c r="BOM65" s="447"/>
      <c r="BON65" s="447"/>
      <c r="BOO65" s="447"/>
      <c r="BOP65" s="447"/>
      <c r="BOQ65" s="447"/>
      <c r="BOR65" s="447"/>
      <c r="BOS65" s="447"/>
      <c r="BOT65" s="447"/>
      <c r="BOU65" s="447"/>
      <c r="BOV65" s="447"/>
      <c r="BOW65" s="447"/>
      <c r="BOX65" s="447"/>
      <c r="BOY65" s="447"/>
      <c r="BOZ65" s="447"/>
      <c r="BPA65" s="447"/>
      <c r="BPB65" s="447"/>
      <c r="BPC65" s="447"/>
      <c r="BPD65" s="447"/>
      <c r="BPE65" s="447"/>
      <c r="BPF65" s="447"/>
      <c r="BPG65" s="447"/>
      <c r="BPH65" s="447"/>
      <c r="BPI65" s="447"/>
      <c r="BPJ65" s="447"/>
      <c r="BPK65" s="447"/>
      <c r="BPL65" s="447"/>
      <c r="BPM65" s="447"/>
      <c r="BPN65" s="447"/>
      <c r="BPO65" s="447"/>
      <c r="BPP65" s="447"/>
      <c r="BPQ65" s="447"/>
      <c r="BPR65" s="447"/>
      <c r="BPS65" s="447"/>
      <c r="BPT65" s="447"/>
      <c r="BPU65" s="447"/>
      <c r="BPV65" s="447"/>
      <c r="BPW65" s="447"/>
      <c r="BPX65" s="447"/>
      <c r="BPY65" s="447"/>
      <c r="BPZ65" s="447"/>
      <c r="BQA65" s="447"/>
      <c r="BQB65" s="447"/>
      <c r="BQC65" s="447"/>
      <c r="BQD65" s="447"/>
      <c r="BQE65" s="447"/>
      <c r="BQF65" s="447"/>
      <c r="BQG65" s="447"/>
      <c r="BQH65" s="447"/>
      <c r="BQI65" s="447"/>
      <c r="BQJ65" s="447"/>
      <c r="BQK65" s="447"/>
      <c r="BQL65" s="447"/>
      <c r="BQM65" s="447"/>
      <c r="BQN65" s="447"/>
      <c r="BQO65" s="447"/>
      <c r="BQP65" s="447"/>
      <c r="BQQ65" s="447"/>
      <c r="BQR65" s="447"/>
      <c r="BQS65" s="447"/>
      <c r="BQT65" s="447"/>
      <c r="BQU65" s="447"/>
      <c r="BQV65" s="447"/>
      <c r="BQW65" s="447"/>
      <c r="BQX65" s="447"/>
      <c r="BQY65" s="447"/>
      <c r="BQZ65" s="447"/>
      <c r="BRA65" s="447"/>
      <c r="BRB65" s="447"/>
      <c r="BRC65" s="447"/>
      <c r="BRD65" s="447"/>
      <c r="BRE65" s="447"/>
      <c r="BRF65" s="447"/>
      <c r="BRG65" s="447"/>
      <c r="BRH65" s="447"/>
      <c r="BRI65" s="447"/>
      <c r="BRJ65" s="447"/>
      <c r="BRK65" s="447"/>
      <c r="BRL65" s="447"/>
      <c r="BRM65" s="447"/>
      <c r="BRN65" s="447"/>
      <c r="BRO65" s="447"/>
      <c r="BRP65" s="447"/>
      <c r="BRQ65" s="447"/>
      <c r="BRR65" s="447"/>
      <c r="BRS65" s="447"/>
      <c r="BRT65" s="447"/>
      <c r="BRU65" s="447"/>
      <c r="BRV65" s="447"/>
      <c r="BRW65" s="447"/>
      <c r="BRX65" s="447"/>
      <c r="BRY65" s="447"/>
      <c r="BRZ65" s="447"/>
      <c r="BSA65" s="447"/>
      <c r="BSB65" s="447"/>
      <c r="BSC65" s="447"/>
      <c r="BSD65" s="447"/>
      <c r="BSE65" s="447"/>
      <c r="BSF65" s="447"/>
      <c r="BSG65" s="447"/>
      <c r="BSH65" s="447"/>
      <c r="BSI65" s="447"/>
      <c r="BSJ65" s="447"/>
      <c r="BSK65" s="447"/>
      <c r="BSL65" s="447"/>
      <c r="BSM65" s="447"/>
      <c r="BSN65" s="447"/>
      <c r="BSO65" s="447"/>
      <c r="BSP65" s="447"/>
      <c r="BSQ65" s="447"/>
      <c r="BSR65" s="447"/>
      <c r="BSS65" s="447"/>
      <c r="BST65" s="447"/>
      <c r="BSU65" s="447"/>
      <c r="BSV65" s="447"/>
      <c r="BSW65" s="447"/>
      <c r="BSX65" s="447"/>
      <c r="BSY65" s="447"/>
      <c r="BSZ65" s="447"/>
      <c r="BTA65" s="447"/>
      <c r="BTB65" s="447"/>
      <c r="BTC65" s="447"/>
      <c r="BTD65" s="447"/>
      <c r="BTE65" s="447"/>
      <c r="BTF65" s="447"/>
      <c r="BTG65" s="447"/>
      <c r="BTH65" s="447"/>
      <c r="BTI65" s="447"/>
      <c r="BTJ65" s="447"/>
      <c r="BTK65" s="447"/>
      <c r="BTL65" s="447"/>
      <c r="BTM65" s="447"/>
      <c r="BTN65" s="447"/>
      <c r="BTO65" s="447"/>
      <c r="BTP65" s="447"/>
      <c r="BTQ65" s="447"/>
      <c r="BTR65" s="447"/>
      <c r="BTS65" s="447"/>
      <c r="BTT65" s="447"/>
      <c r="BTU65" s="447"/>
      <c r="BTV65" s="447"/>
      <c r="BTW65" s="447"/>
      <c r="BTX65" s="447"/>
      <c r="BTY65" s="447"/>
      <c r="BTZ65" s="447"/>
      <c r="BUA65" s="447"/>
      <c r="BUB65" s="447"/>
      <c r="BUC65" s="447"/>
      <c r="BUD65" s="447"/>
      <c r="BUE65" s="447"/>
      <c r="BUF65" s="447"/>
      <c r="BUG65" s="447"/>
      <c r="BUH65" s="447"/>
      <c r="BUI65" s="447"/>
      <c r="BUJ65" s="447"/>
      <c r="BUK65" s="447"/>
      <c r="BUL65" s="447"/>
      <c r="BUM65" s="447"/>
      <c r="BUN65" s="447"/>
      <c r="BUO65" s="447"/>
      <c r="BUP65" s="447"/>
      <c r="BUQ65" s="447"/>
      <c r="BUR65" s="447"/>
      <c r="BUS65" s="447"/>
      <c r="BUT65" s="447"/>
      <c r="BUU65" s="447"/>
      <c r="BUV65" s="447"/>
      <c r="BUW65" s="447"/>
      <c r="BUX65" s="447"/>
      <c r="BUY65" s="447"/>
      <c r="BUZ65" s="447"/>
      <c r="BVA65" s="447"/>
      <c r="BVB65" s="447"/>
      <c r="BVC65" s="447"/>
      <c r="BVD65" s="447"/>
      <c r="BVE65" s="447"/>
      <c r="BVF65" s="447"/>
      <c r="BVG65" s="447"/>
      <c r="BVH65" s="447"/>
      <c r="BVI65" s="447"/>
      <c r="BVJ65" s="447"/>
      <c r="BVK65" s="447"/>
      <c r="BVL65" s="447"/>
      <c r="BVM65" s="447"/>
      <c r="BVN65" s="447"/>
      <c r="BVO65" s="447"/>
      <c r="BVP65" s="447"/>
      <c r="BVQ65" s="447"/>
      <c r="BVR65" s="447"/>
      <c r="BVS65" s="447"/>
      <c r="BVT65" s="447"/>
      <c r="BVU65" s="447"/>
      <c r="BVV65" s="447"/>
      <c r="BVW65" s="447"/>
      <c r="BVX65" s="447"/>
      <c r="BVY65" s="447"/>
      <c r="BVZ65" s="447"/>
      <c r="BWA65" s="447"/>
      <c r="BWB65" s="447"/>
      <c r="BWC65" s="447"/>
      <c r="BWD65" s="447"/>
      <c r="BWE65" s="447"/>
      <c r="BWF65" s="447"/>
      <c r="BWG65" s="447"/>
      <c r="BWH65" s="447"/>
      <c r="BWI65" s="447"/>
      <c r="BWJ65" s="447"/>
      <c r="BWK65" s="447"/>
      <c r="BWL65" s="447"/>
      <c r="BWM65" s="447"/>
      <c r="BWN65" s="447"/>
      <c r="BWO65" s="447"/>
      <c r="BWP65" s="447"/>
      <c r="BWQ65" s="447"/>
      <c r="BWR65" s="447"/>
      <c r="BWS65" s="447"/>
      <c r="BWT65" s="447"/>
      <c r="BWU65" s="447"/>
      <c r="BWV65" s="447"/>
      <c r="BWW65" s="447"/>
      <c r="BWX65" s="447"/>
      <c r="BWY65" s="447"/>
      <c r="BWZ65" s="447"/>
      <c r="BXA65" s="447"/>
      <c r="BXB65" s="447"/>
      <c r="BXC65" s="447"/>
      <c r="BXD65" s="447"/>
      <c r="BXE65" s="447"/>
      <c r="BXF65" s="447"/>
      <c r="BXG65" s="447"/>
      <c r="BXH65" s="447"/>
      <c r="BXI65" s="447"/>
      <c r="BXJ65" s="447"/>
      <c r="BXK65" s="447"/>
      <c r="BXL65" s="447"/>
      <c r="BXM65" s="447"/>
      <c r="BXN65" s="447"/>
      <c r="BXO65" s="447"/>
      <c r="BXP65" s="447"/>
      <c r="BXQ65" s="447"/>
      <c r="BXR65" s="447"/>
      <c r="BXS65" s="447"/>
      <c r="BXT65" s="447"/>
      <c r="BXU65" s="447"/>
      <c r="BXV65" s="447"/>
      <c r="BXW65" s="447"/>
      <c r="BXX65" s="447"/>
      <c r="BXY65" s="447"/>
      <c r="BXZ65" s="447"/>
      <c r="BYA65" s="447"/>
      <c r="BYB65" s="447"/>
      <c r="BYC65" s="447"/>
      <c r="BYD65" s="447"/>
      <c r="BYE65" s="447"/>
      <c r="BYF65" s="447"/>
      <c r="BYG65" s="447"/>
      <c r="BYH65" s="447"/>
      <c r="BYI65" s="447"/>
      <c r="BYJ65" s="447"/>
      <c r="BYK65" s="447"/>
      <c r="BYL65" s="447"/>
      <c r="BYM65" s="447"/>
      <c r="BYN65" s="447"/>
      <c r="BYO65" s="447"/>
      <c r="BYP65" s="447"/>
      <c r="BYQ65" s="447"/>
      <c r="BYR65" s="447"/>
      <c r="BYS65" s="447"/>
      <c r="BYT65" s="447"/>
      <c r="BYU65" s="447"/>
      <c r="BYV65" s="447"/>
      <c r="BYW65" s="447"/>
      <c r="BYX65" s="447"/>
      <c r="BYY65" s="447"/>
      <c r="BYZ65" s="447"/>
      <c r="BZA65" s="447"/>
      <c r="BZB65" s="447"/>
      <c r="BZC65" s="447"/>
      <c r="BZD65" s="447"/>
      <c r="BZE65" s="447"/>
      <c r="BZF65" s="447"/>
      <c r="BZG65" s="447"/>
      <c r="BZH65" s="447"/>
      <c r="BZI65" s="447"/>
      <c r="BZJ65" s="447"/>
      <c r="BZK65" s="447"/>
      <c r="BZL65" s="447"/>
      <c r="BZM65" s="447"/>
      <c r="BZN65" s="447"/>
      <c r="BZO65" s="447"/>
      <c r="BZP65" s="447"/>
      <c r="BZQ65" s="447"/>
      <c r="BZR65" s="447"/>
      <c r="BZS65" s="447"/>
      <c r="BZT65" s="447"/>
      <c r="BZU65" s="447"/>
      <c r="BZV65" s="447"/>
      <c r="BZW65" s="447"/>
      <c r="BZX65" s="447"/>
      <c r="BZY65" s="447"/>
      <c r="BZZ65" s="447"/>
      <c r="CAA65" s="447"/>
      <c r="CAB65" s="447"/>
      <c r="CAC65" s="447"/>
      <c r="CAD65" s="447"/>
      <c r="CAE65" s="447"/>
      <c r="CAF65" s="447"/>
      <c r="CAG65" s="447"/>
      <c r="CAH65" s="447"/>
      <c r="CAI65" s="447"/>
      <c r="CAJ65" s="447"/>
      <c r="CAK65" s="447"/>
      <c r="CAL65" s="447"/>
      <c r="CAM65" s="447"/>
      <c r="CAN65" s="447"/>
      <c r="CAO65" s="447"/>
      <c r="CAP65" s="447"/>
      <c r="CAQ65" s="447"/>
      <c r="CAR65" s="447"/>
      <c r="CAS65" s="447"/>
      <c r="CAT65" s="447"/>
      <c r="CAU65" s="447"/>
      <c r="CAV65" s="447"/>
      <c r="CAW65" s="447"/>
      <c r="CAX65" s="447"/>
      <c r="CAY65" s="447"/>
      <c r="CAZ65" s="447"/>
      <c r="CBA65" s="447"/>
      <c r="CBB65" s="447"/>
      <c r="CBC65" s="447"/>
      <c r="CBD65" s="447"/>
      <c r="CBE65" s="447"/>
      <c r="CBF65" s="447"/>
      <c r="CBG65" s="447"/>
      <c r="CBH65" s="447"/>
      <c r="CBI65" s="447"/>
      <c r="CBJ65" s="447"/>
      <c r="CBK65" s="447"/>
      <c r="CBL65" s="447"/>
      <c r="CBM65" s="447"/>
      <c r="CBN65" s="447"/>
      <c r="CBO65" s="447"/>
      <c r="CBP65" s="447"/>
      <c r="CBQ65" s="447"/>
      <c r="CBR65" s="447"/>
      <c r="CBS65" s="447"/>
      <c r="CBT65" s="447"/>
      <c r="CBU65" s="447"/>
      <c r="CBV65" s="447"/>
      <c r="CBW65" s="447"/>
      <c r="CBX65" s="447"/>
      <c r="CBY65" s="447"/>
      <c r="CBZ65" s="447"/>
      <c r="CCA65" s="447"/>
      <c r="CCB65" s="447"/>
      <c r="CCC65" s="447"/>
      <c r="CCD65" s="447"/>
      <c r="CCE65" s="447"/>
      <c r="CCF65" s="447"/>
      <c r="CCG65" s="447"/>
      <c r="CCH65" s="447"/>
      <c r="CCI65" s="447"/>
      <c r="CCJ65" s="447"/>
      <c r="CCK65" s="447"/>
      <c r="CCL65" s="447"/>
      <c r="CCM65" s="447"/>
      <c r="CCN65" s="447"/>
      <c r="CCO65" s="447"/>
      <c r="CCP65" s="447"/>
      <c r="CCQ65" s="447"/>
      <c r="CCR65" s="447"/>
      <c r="CCS65" s="447"/>
      <c r="CCT65" s="447"/>
      <c r="CCU65" s="447"/>
      <c r="CCV65" s="447"/>
      <c r="CCW65" s="447"/>
      <c r="CCX65" s="447"/>
      <c r="CCY65" s="447"/>
      <c r="CCZ65" s="447"/>
      <c r="CDA65" s="447"/>
      <c r="CDB65" s="447"/>
      <c r="CDC65" s="447"/>
      <c r="CDD65" s="447"/>
      <c r="CDE65" s="447"/>
      <c r="CDF65" s="447"/>
      <c r="CDG65" s="447"/>
      <c r="CDH65" s="447"/>
      <c r="CDI65" s="447"/>
      <c r="CDJ65" s="447"/>
      <c r="CDK65" s="447"/>
      <c r="CDL65" s="447"/>
      <c r="CDM65" s="447"/>
      <c r="CDN65" s="447"/>
      <c r="CDO65" s="447"/>
      <c r="CDP65" s="447"/>
      <c r="CDQ65" s="447"/>
      <c r="CDR65" s="447"/>
      <c r="CDS65" s="447"/>
      <c r="CDT65" s="447"/>
      <c r="CDU65" s="447"/>
      <c r="CDV65" s="447"/>
      <c r="CDW65" s="447"/>
      <c r="CDX65" s="447"/>
      <c r="CDY65" s="447"/>
      <c r="CDZ65" s="447"/>
      <c r="CEA65" s="447"/>
      <c r="CEB65" s="447"/>
      <c r="CEC65" s="447"/>
      <c r="CED65" s="447"/>
      <c r="CEE65" s="447"/>
      <c r="CEF65" s="447"/>
      <c r="CEG65" s="447"/>
      <c r="CEH65" s="447"/>
      <c r="CEI65" s="447"/>
      <c r="CEJ65" s="447"/>
      <c r="CEK65" s="447"/>
      <c r="CEL65" s="447"/>
      <c r="CEM65" s="447"/>
      <c r="CEN65" s="447"/>
      <c r="CEO65" s="447"/>
      <c r="CEP65" s="447"/>
      <c r="CEQ65" s="447"/>
      <c r="CER65" s="447"/>
      <c r="CES65" s="447"/>
      <c r="CET65" s="447"/>
      <c r="CEU65" s="447"/>
      <c r="CEV65" s="447"/>
      <c r="CEW65" s="447"/>
      <c r="CEX65" s="447"/>
      <c r="CEY65" s="447"/>
      <c r="CEZ65" s="447"/>
      <c r="CFA65" s="447"/>
      <c r="CFB65" s="447"/>
      <c r="CFC65" s="447"/>
      <c r="CFD65" s="447"/>
      <c r="CFE65" s="447"/>
      <c r="CFF65" s="447"/>
      <c r="CFG65" s="447"/>
      <c r="CFH65" s="447"/>
      <c r="CFI65" s="447"/>
      <c r="CFJ65" s="447"/>
      <c r="CFK65" s="447"/>
      <c r="CFL65" s="447"/>
      <c r="CFM65" s="447"/>
      <c r="CFN65" s="447"/>
      <c r="CFO65" s="447"/>
      <c r="CFP65" s="447"/>
      <c r="CFQ65" s="447"/>
      <c r="CFR65" s="447"/>
      <c r="CFS65" s="447"/>
      <c r="CFT65" s="447"/>
      <c r="CFU65" s="447"/>
      <c r="CFV65" s="447"/>
      <c r="CFW65" s="447"/>
      <c r="CFX65" s="447"/>
      <c r="CFY65" s="447"/>
      <c r="CFZ65" s="447"/>
      <c r="CGA65" s="447"/>
      <c r="CGB65" s="447"/>
      <c r="CGC65" s="447"/>
      <c r="CGD65" s="447"/>
      <c r="CGE65" s="447"/>
      <c r="CGF65" s="447"/>
      <c r="CGG65" s="447"/>
      <c r="CGH65" s="447"/>
      <c r="CGI65" s="447"/>
      <c r="CGJ65" s="447"/>
      <c r="CGK65" s="447"/>
      <c r="CGL65" s="447"/>
      <c r="CGM65" s="447"/>
      <c r="CGN65" s="447"/>
      <c r="CGO65" s="447"/>
      <c r="CGP65" s="447"/>
      <c r="CGQ65" s="447"/>
      <c r="CGR65" s="447"/>
      <c r="CGS65" s="447"/>
      <c r="CGT65" s="447"/>
      <c r="CGU65" s="447"/>
      <c r="CGV65" s="447"/>
      <c r="CGW65" s="447"/>
      <c r="CGX65" s="447"/>
      <c r="CGY65" s="447"/>
      <c r="CGZ65" s="447"/>
      <c r="CHA65" s="447"/>
      <c r="CHB65" s="447"/>
      <c r="CHC65" s="447"/>
      <c r="CHD65" s="447"/>
      <c r="CHE65" s="447"/>
      <c r="CHF65" s="447"/>
      <c r="CHG65" s="447"/>
      <c r="CHH65" s="447"/>
      <c r="CHI65" s="447"/>
      <c r="CHJ65" s="447"/>
      <c r="CHK65" s="447"/>
      <c r="CHL65" s="447"/>
      <c r="CHM65" s="447"/>
      <c r="CHN65" s="447"/>
      <c r="CHO65" s="447"/>
      <c r="CHP65" s="447"/>
      <c r="CHQ65" s="447"/>
      <c r="CHR65" s="447"/>
      <c r="CHS65" s="447"/>
      <c r="CHT65" s="447"/>
      <c r="CHU65" s="447"/>
      <c r="CHV65" s="447"/>
      <c r="CHW65" s="447"/>
      <c r="CHX65" s="447"/>
      <c r="CHY65" s="447"/>
      <c r="CHZ65" s="447"/>
      <c r="CIA65" s="447"/>
      <c r="CIB65" s="447"/>
      <c r="CIC65" s="447"/>
      <c r="CID65" s="447"/>
      <c r="CIE65" s="447"/>
      <c r="CIF65" s="447"/>
      <c r="CIG65" s="447"/>
      <c r="CIH65" s="447"/>
      <c r="CII65" s="447"/>
      <c r="CIJ65" s="447"/>
      <c r="CIK65" s="447"/>
      <c r="CIL65" s="447"/>
      <c r="CIM65" s="447"/>
      <c r="CIN65" s="447"/>
      <c r="CIO65" s="447"/>
      <c r="CIP65" s="447"/>
      <c r="CIQ65" s="447"/>
      <c r="CIR65" s="447"/>
      <c r="CIS65" s="447"/>
      <c r="CIT65" s="447"/>
      <c r="CIU65" s="447"/>
      <c r="CIV65" s="447"/>
      <c r="CIW65" s="447"/>
      <c r="CIX65" s="447"/>
      <c r="CIY65" s="447"/>
      <c r="CIZ65" s="447"/>
      <c r="CJA65" s="447"/>
      <c r="CJB65" s="447"/>
      <c r="CJC65" s="447"/>
      <c r="CJD65" s="447"/>
      <c r="CJE65" s="447"/>
      <c r="CJF65" s="447"/>
      <c r="CJG65" s="447"/>
      <c r="CJH65" s="447"/>
      <c r="CJI65" s="447"/>
      <c r="CJJ65" s="447"/>
      <c r="CJK65" s="447"/>
      <c r="CJL65" s="447"/>
      <c r="CJM65" s="447"/>
      <c r="CJN65" s="447"/>
      <c r="CJO65" s="447"/>
      <c r="CJP65" s="447"/>
      <c r="CJQ65" s="447"/>
      <c r="CJR65" s="447"/>
      <c r="CJS65" s="447"/>
      <c r="CJT65" s="447"/>
      <c r="CJU65" s="447"/>
      <c r="CJV65" s="447"/>
      <c r="CJW65" s="447"/>
      <c r="CJX65" s="447"/>
      <c r="CJY65" s="447"/>
      <c r="CJZ65" s="447"/>
      <c r="CKA65" s="447"/>
      <c r="CKB65" s="447"/>
      <c r="CKC65" s="447"/>
      <c r="CKD65" s="447"/>
      <c r="CKE65" s="447"/>
      <c r="CKF65" s="447"/>
      <c r="CKG65" s="447"/>
      <c r="CKH65" s="447"/>
      <c r="CKI65" s="447"/>
      <c r="CKJ65" s="447"/>
      <c r="CKK65" s="447"/>
      <c r="CKL65" s="447"/>
      <c r="CKM65" s="447"/>
      <c r="CKN65" s="447"/>
      <c r="CKO65" s="447"/>
      <c r="CKP65" s="447"/>
      <c r="CKQ65" s="447"/>
      <c r="CKR65" s="447"/>
      <c r="CKS65" s="447"/>
      <c r="CKT65" s="447"/>
      <c r="CKU65" s="447"/>
      <c r="CKV65" s="447"/>
      <c r="CKW65" s="447"/>
      <c r="CKX65" s="447"/>
      <c r="CKY65" s="447"/>
      <c r="CKZ65" s="447"/>
      <c r="CLA65" s="447"/>
      <c r="CLB65" s="447"/>
      <c r="CLC65" s="447"/>
      <c r="CLD65" s="447"/>
      <c r="CLE65" s="447"/>
      <c r="CLF65" s="447"/>
      <c r="CLG65" s="447"/>
      <c r="CLH65" s="447"/>
      <c r="CLI65" s="447"/>
      <c r="CLJ65" s="447"/>
      <c r="CLK65" s="447"/>
      <c r="CLL65" s="447"/>
      <c r="CLM65" s="447"/>
      <c r="CLN65" s="447"/>
      <c r="CLO65" s="447"/>
      <c r="CLP65" s="447"/>
      <c r="CLQ65" s="447"/>
      <c r="CLR65" s="447"/>
      <c r="CLS65" s="447"/>
      <c r="CLT65" s="447"/>
      <c r="CLU65" s="447"/>
      <c r="CLV65" s="447"/>
      <c r="CLW65" s="447"/>
      <c r="CLX65" s="447"/>
      <c r="CLY65" s="447"/>
      <c r="CLZ65" s="447"/>
      <c r="CMA65" s="447"/>
      <c r="CMB65" s="447"/>
      <c r="CMC65" s="447"/>
      <c r="CMD65" s="447"/>
      <c r="CME65" s="447"/>
      <c r="CMF65" s="447"/>
      <c r="CMG65" s="447"/>
      <c r="CMH65" s="447"/>
      <c r="CMI65" s="447"/>
      <c r="CMJ65" s="447"/>
      <c r="CMK65" s="447"/>
      <c r="CML65" s="447"/>
      <c r="CMM65" s="447"/>
      <c r="CMN65" s="447"/>
      <c r="CMO65" s="447"/>
      <c r="CMP65" s="447"/>
      <c r="CMQ65" s="447"/>
      <c r="CMR65" s="447"/>
      <c r="CMS65" s="447"/>
      <c r="CMT65" s="447"/>
      <c r="CMU65" s="447"/>
      <c r="CMV65" s="447"/>
      <c r="CMW65" s="447"/>
      <c r="CMX65" s="447"/>
      <c r="CMY65" s="447"/>
      <c r="CMZ65" s="447"/>
      <c r="CNA65" s="447"/>
      <c r="CNB65" s="447"/>
      <c r="CNC65" s="447"/>
      <c r="CND65" s="447"/>
      <c r="CNE65" s="447"/>
      <c r="CNF65" s="447"/>
      <c r="CNG65" s="447"/>
      <c r="CNH65" s="447"/>
      <c r="CNI65" s="447"/>
      <c r="CNJ65" s="447"/>
      <c r="CNK65" s="447"/>
      <c r="CNL65" s="447"/>
      <c r="CNM65" s="447"/>
      <c r="CNN65" s="447"/>
      <c r="CNO65" s="447"/>
      <c r="CNP65" s="447"/>
      <c r="CNQ65" s="447"/>
      <c r="CNR65" s="447"/>
      <c r="CNS65" s="447"/>
      <c r="CNT65" s="447"/>
      <c r="CNU65" s="447"/>
      <c r="CNV65" s="447"/>
      <c r="CNW65" s="447"/>
      <c r="CNX65" s="447"/>
      <c r="CNY65" s="447"/>
      <c r="CNZ65" s="447"/>
      <c r="COA65" s="447"/>
      <c r="COB65" s="447"/>
      <c r="COC65" s="447"/>
      <c r="COD65" s="447"/>
      <c r="COE65" s="447"/>
      <c r="COF65" s="447"/>
      <c r="COG65" s="447"/>
      <c r="COH65" s="447"/>
      <c r="COI65" s="447"/>
      <c r="COJ65" s="447"/>
      <c r="COK65" s="447"/>
      <c r="COL65" s="447"/>
      <c r="COM65" s="447"/>
      <c r="CON65" s="447"/>
      <c r="COO65" s="447"/>
      <c r="COP65" s="447"/>
      <c r="COQ65" s="447"/>
      <c r="COR65" s="447"/>
      <c r="COS65" s="447"/>
      <c r="COT65" s="447"/>
      <c r="COU65" s="447"/>
      <c r="COV65" s="447"/>
      <c r="COW65" s="447"/>
      <c r="COX65" s="447"/>
      <c r="COY65" s="447"/>
      <c r="COZ65" s="447"/>
      <c r="CPA65" s="447"/>
      <c r="CPB65" s="447"/>
      <c r="CPC65" s="447"/>
      <c r="CPD65" s="447"/>
      <c r="CPE65" s="447"/>
      <c r="CPF65" s="447"/>
      <c r="CPG65" s="447"/>
      <c r="CPH65" s="447"/>
      <c r="CPI65" s="447"/>
      <c r="CPJ65" s="447"/>
      <c r="CPK65" s="447"/>
      <c r="CPL65" s="447"/>
      <c r="CPM65" s="447"/>
      <c r="CPN65" s="447"/>
      <c r="CPO65" s="447"/>
      <c r="CPP65" s="447"/>
      <c r="CPQ65" s="447"/>
      <c r="CPR65" s="447"/>
      <c r="CPS65" s="447"/>
      <c r="CPT65" s="447"/>
      <c r="CPU65" s="447"/>
      <c r="CPV65" s="447"/>
      <c r="CPW65" s="447"/>
      <c r="CPX65" s="447"/>
      <c r="CPY65" s="447"/>
      <c r="CPZ65" s="447"/>
      <c r="CQA65" s="447"/>
      <c r="CQB65" s="447"/>
      <c r="CQC65" s="447"/>
      <c r="CQD65" s="447"/>
      <c r="CQE65" s="447"/>
      <c r="CQF65" s="447"/>
      <c r="CQG65" s="447"/>
      <c r="CQH65" s="447"/>
      <c r="CQI65" s="447"/>
      <c r="CQJ65" s="447"/>
      <c r="CQK65" s="447"/>
      <c r="CQL65" s="447"/>
      <c r="CQM65" s="447"/>
      <c r="CQN65" s="447"/>
      <c r="CQO65" s="447"/>
      <c r="CQP65" s="447"/>
      <c r="CQQ65" s="447"/>
      <c r="CQR65" s="447"/>
      <c r="CQS65" s="447"/>
      <c r="CQT65" s="447"/>
      <c r="CQU65" s="447"/>
      <c r="CQV65" s="447"/>
      <c r="CQW65" s="447"/>
      <c r="CQX65" s="447"/>
      <c r="CQY65" s="447"/>
      <c r="CQZ65" s="447"/>
      <c r="CRA65" s="447"/>
      <c r="CRB65" s="447"/>
      <c r="CRC65" s="447"/>
      <c r="CRD65" s="447"/>
      <c r="CRE65" s="447"/>
      <c r="CRF65" s="447"/>
      <c r="CRG65" s="447"/>
      <c r="CRH65" s="447"/>
      <c r="CRI65" s="447"/>
      <c r="CRJ65" s="447"/>
      <c r="CRK65" s="447"/>
      <c r="CRL65" s="447"/>
      <c r="CRM65" s="447"/>
      <c r="CRN65" s="447"/>
      <c r="CRO65" s="447"/>
      <c r="CRP65" s="447"/>
      <c r="CRQ65" s="447"/>
      <c r="CRR65" s="447"/>
      <c r="CRS65" s="447"/>
      <c r="CRT65" s="447"/>
      <c r="CRU65" s="447"/>
      <c r="CRV65" s="447"/>
      <c r="CRW65" s="447"/>
      <c r="CRX65" s="447"/>
      <c r="CRY65" s="447"/>
      <c r="CRZ65" s="447"/>
      <c r="CSA65" s="447"/>
      <c r="CSB65" s="447"/>
      <c r="CSC65" s="447"/>
      <c r="CSD65" s="447"/>
      <c r="CSE65" s="447"/>
      <c r="CSF65" s="447"/>
      <c r="CSG65" s="447"/>
      <c r="CSH65" s="447"/>
      <c r="CSI65" s="447"/>
      <c r="CSJ65" s="447"/>
      <c r="CSK65" s="447"/>
      <c r="CSL65" s="447"/>
      <c r="CSM65" s="447"/>
      <c r="CSN65" s="447"/>
      <c r="CSO65" s="447"/>
      <c r="CSP65" s="447"/>
      <c r="CSQ65" s="447"/>
      <c r="CSR65" s="447"/>
      <c r="CSS65" s="447"/>
      <c r="CST65" s="447"/>
      <c r="CSU65" s="447"/>
      <c r="CSV65" s="447"/>
      <c r="CSW65" s="447"/>
      <c r="CSX65" s="447"/>
      <c r="CSY65" s="447"/>
      <c r="CSZ65" s="447"/>
      <c r="CTA65" s="447"/>
      <c r="CTB65" s="447"/>
      <c r="CTC65" s="447"/>
      <c r="CTD65" s="447"/>
      <c r="CTE65" s="447"/>
      <c r="CTF65" s="447"/>
      <c r="CTG65" s="447"/>
      <c r="CTH65" s="447"/>
      <c r="CTI65" s="447"/>
      <c r="CTJ65" s="447"/>
      <c r="CTK65" s="447"/>
      <c r="CTL65" s="447"/>
      <c r="CTM65" s="447"/>
      <c r="CTN65" s="447"/>
      <c r="CTO65" s="447"/>
      <c r="CTP65" s="447"/>
      <c r="CTQ65" s="447"/>
      <c r="CTR65" s="447"/>
      <c r="CTS65" s="447"/>
      <c r="CTT65" s="447"/>
      <c r="CTU65" s="447"/>
      <c r="CTV65" s="447"/>
      <c r="CTW65" s="447"/>
      <c r="CTX65" s="447"/>
      <c r="CTY65" s="447"/>
      <c r="CTZ65" s="447"/>
      <c r="CUA65" s="447"/>
      <c r="CUB65" s="447"/>
      <c r="CUC65" s="447"/>
      <c r="CUD65" s="447"/>
      <c r="CUE65" s="447"/>
      <c r="CUF65" s="447"/>
      <c r="CUG65" s="447"/>
      <c r="CUH65" s="447"/>
      <c r="CUI65" s="447"/>
      <c r="CUJ65" s="447"/>
      <c r="CUK65" s="447"/>
      <c r="CUL65" s="447"/>
      <c r="CUM65" s="447"/>
      <c r="CUN65" s="447"/>
      <c r="CUO65" s="447"/>
      <c r="CUP65" s="447"/>
      <c r="CUQ65" s="447"/>
      <c r="CUR65" s="447"/>
      <c r="CUS65" s="447"/>
      <c r="CUT65" s="447"/>
      <c r="CUU65" s="447"/>
      <c r="CUV65" s="447"/>
      <c r="CUW65" s="447"/>
      <c r="CUX65" s="447"/>
      <c r="CUY65" s="447"/>
      <c r="CUZ65" s="447"/>
      <c r="CVA65" s="447"/>
      <c r="CVB65" s="447"/>
      <c r="CVC65" s="447"/>
      <c r="CVD65" s="447"/>
      <c r="CVE65" s="447"/>
      <c r="CVF65" s="447"/>
      <c r="CVG65" s="447"/>
      <c r="CVH65" s="447"/>
      <c r="CVI65" s="447"/>
      <c r="CVJ65" s="447"/>
      <c r="CVK65" s="447"/>
      <c r="CVL65" s="447"/>
      <c r="CVM65" s="447"/>
      <c r="CVN65" s="447"/>
      <c r="CVO65" s="447"/>
      <c r="CVP65" s="447"/>
      <c r="CVQ65" s="447"/>
      <c r="CVR65" s="447"/>
      <c r="CVS65" s="447"/>
      <c r="CVT65" s="447"/>
      <c r="CVU65" s="447"/>
      <c r="CVV65" s="447"/>
      <c r="CVW65" s="447"/>
      <c r="CVX65" s="447"/>
      <c r="CVY65" s="447"/>
      <c r="CVZ65" s="447"/>
      <c r="CWA65" s="447"/>
      <c r="CWB65" s="447"/>
      <c r="CWC65" s="447"/>
      <c r="CWD65" s="447"/>
      <c r="CWE65" s="447"/>
      <c r="CWF65" s="447"/>
      <c r="CWG65" s="447"/>
      <c r="CWH65" s="447"/>
      <c r="CWI65" s="447"/>
      <c r="CWJ65" s="447"/>
      <c r="CWK65" s="447"/>
      <c r="CWL65" s="447"/>
      <c r="CWM65" s="447"/>
      <c r="CWN65" s="447"/>
      <c r="CWO65" s="447"/>
      <c r="CWP65" s="447"/>
      <c r="CWQ65" s="447"/>
      <c r="CWR65" s="447"/>
      <c r="CWS65" s="447"/>
      <c r="CWT65" s="447"/>
      <c r="CWU65" s="447"/>
      <c r="CWV65" s="447"/>
      <c r="CWW65" s="447"/>
      <c r="CWX65" s="447"/>
      <c r="CWY65" s="447"/>
      <c r="CWZ65" s="447"/>
      <c r="CXA65" s="447"/>
      <c r="CXB65" s="447"/>
      <c r="CXC65" s="447"/>
      <c r="CXD65" s="447"/>
      <c r="CXE65" s="447"/>
      <c r="CXF65" s="447"/>
      <c r="CXG65" s="447"/>
      <c r="CXH65" s="447"/>
      <c r="CXI65" s="447"/>
      <c r="CXJ65" s="447"/>
      <c r="CXK65" s="447"/>
      <c r="CXL65" s="447"/>
      <c r="CXM65" s="447"/>
      <c r="CXN65" s="447"/>
      <c r="CXO65" s="447"/>
      <c r="CXP65" s="447"/>
      <c r="CXQ65" s="447"/>
      <c r="CXR65" s="447"/>
      <c r="CXS65" s="447"/>
      <c r="CXT65" s="447"/>
      <c r="CXU65" s="447"/>
      <c r="CXV65" s="447"/>
      <c r="CXW65" s="447"/>
      <c r="CXX65" s="447"/>
      <c r="CXY65" s="447"/>
      <c r="CXZ65" s="447"/>
      <c r="CYA65" s="447"/>
      <c r="CYB65" s="447"/>
      <c r="CYC65" s="447"/>
      <c r="CYD65" s="447"/>
      <c r="CYE65" s="447"/>
      <c r="CYF65" s="447"/>
      <c r="CYG65" s="447"/>
      <c r="CYH65" s="447"/>
      <c r="CYI65" s="447"/>
      <c r="CYJ65" s="447"/>
      <c r="CYK65" s="447"/>
      <c r="CYL65" s="447"/>
      <c r="CYM65" s="447"/>
      <c r="CYN65" s="447"/>
      <c r="CYO65" s="447"/>
      <c r="CYP65" s="447"/>
      <c r="CYQ65" s="447"/>
      <c r="CYR65" s="447"/>
      <c r="CYS65" s="447"/>
      <c r="CYT65" s="447"/>
      <c r="CYU65" s="447"/>
      <c r="CYV65" s="447"/>
      <c r="CYW65" s="447"/>
      <c r="CYX65" s="447"/>
      <c r="CYY65" s="447"/>
      <c r="CYZ65" s="447"/>
      <c r="CZA65" s="447"/>
      <c r="CZB65" s="447"/>
      <c r="CZC65" s="447"/>
      <c r="CZD65" s="447"/>
      <c r="CZE65" s="447"/>
      <c r="CZF65" s="447"/>
      <c r="CZG65" s="447"/>
      <c r="CZH65" s="447"/>
      <c r="CZI65" s="447"/>
      <c r="CZJ65" s="447"/>
      <c r="CZK65" s="447"/>
      <c r="CZL65" s="447"/>
      <c r="CZM65" s="447"/>
      <c r="CZN65" s="447"/>
      <c r="CZO65" s="447"/>
      <c r="CZP65" s="447"/>
      <c r="CZQ65" s="447"/>
      <c r="CZR65" s="447"/>
      <c r="CZS65" s="447"/>
      <c r="CZT65" s="447"/>
      <c r="CZU65" s="447"/>
      <c r="CZV65" s="447"/>
      <c r="CZW65" s="447"/>
      <c r="CZX65" s="447"/>
      <c r="CZY65" s="447"/>
      <c r="CZZ65" s="447"/>
      <c r="DAA65" s="447"/>
      <c r="DAB65" s="447"/>
      <c r="DAC65" s="447"/>
      <c r="DAD65" s="447"/>
      <c r="DAE65" s="447"/>
      <c r="DAF65" s="447"/>
      <c r="DAG65" s="447"/>
      <c r="DAH65" s="447"/>
      <c r="DAI65" s="447"/>
      <c r="DAJ65" s="447"/>
      <c r="DAK65" s="447"/>
      <c r="DAL65" s="447"/>
      <c r="DAM65" s="447"/>
      <c r="DAN65" s="447"/>
      <c r="DAO65" s="447"/>
      <c r="DAP65" s="447"/>
      <c r="DAQ65" s="447"/>
      <c r="DAR65" s="447"/>
      <c r="DAS65" s="447"/>
      <c r="DAT65" s="447"/>
      <c r="DAU65" s="447"/>
      <c r="DAV65" s="447"/>
      <c r="DAW65" s="447"/>
      <c r="DAX65" s="447"/>
      <c r="DAY65" s="447"/>
      <c r="DAZ65" s="447"/>
      <c r="DBA65" s="447"/>
      <c r="DBB65" s="447"/>
      <c r="DBC65" s="447"/>
      <c r="DBD65" s="447"/>
      <c r="DBE65" s="447"/>
      <c r="DBF65" s="447"/>
      <c r="DBG65" s="447"/>
      <c r="DBH65" s="447"/>
      <c r="DBI65" s="447"/>
      <c r="DBJ65" s="447"/>
      <c r="DBK65" s="447"/>
      <c r="DBL65" s="447"/>
      <c r="DBM65" s="447"/>
      <c r="DBN65" s="447"/>
      <c r="DBO65" s="447"/>
      <c r="DBP65" s="447"/>
      <c r="DBQ65" s="447"/>
      <c r="DBR65" s="447"/>
      <c r="DBS65" s="447"/>
      <c r="DBT65" s="447"/>
      <c r="DBU65" s="447"/>
      <c r="DBV65" s="447"/>
      <c r="DBW65" s="447"/>
      <c r="DBX65" s="447"/>
      <c r="DBY65" s="447"/>
      <c r="DBZ65" s="447"/>
      <c r="DCA65" s="447"/>
      <c r="DCB65" s="447"/>
      <c r="DCC65" s="447"/>
      <c r="DCD65" s="447"/>
      <c r="DCE65" s="447"/>
      <c r="DCF65" s="447"/>
      <c r="DCG65" s="447"/>
      <c r="DCH65" s="447"/>
      <c r="DCI65" s="447"/>
      <c r="DCJ65" s="447"/>
      <c r="DCK65" s="447"/>
      <c r="DCL65" s="447"/>
      <c r="DCM65" s="447"/>
      <c r="DCN65" s="447"/>
      <c r="DCO65" s="447"/>
      <c r="DCP65" s="447"/>
      <c r="DCQ65" s="447"/>
      <c r="DCR65" s="447"/>
      <c r="DCS65" s="447"/>
      <c r="DCT65" s="447"/>
      <c r="DCU65" s="447"/>
      <c r="DCV65" s="447"/>
      <c r="DCW65" s="447"/>
      <c r="DCX65" s="447"/>
      <c r="DCY65" s="447"/>
      <c r="DCZ65" s="447"/>
      <c r="DDA65" s="447"/>
      <c r="DDB65" s="447"/>
      <c r="DDC65" s="447"/>
      <c r="DDD65" s="447"/>
      <c r="DDE65" s="447"/>
      <c r="DDF65" s="447"/>
      <c r="DDG65" s="447"/>
      <c r="DDH65" s="447"/>
      <c r="DDI65" s="447"/>
      <c r="DDJ65" s="447"/>
      <c r="DDK65" s="447"/>
      <c r="DDL65" s="447"/>
      <c r="DDM65" s="447"/>
      <c r="DDN65" s="447"/>
      <c r="DDO65" s="447"/>
      <c r="DDP65" s="447"/>
      <c r="DDQ65" s="447"/>
      <c r="DDR65" s="447"/>
      <c r="DDS65" s="447"/>
      <c r="DDT65" s="447"/>
      <c r="DDU65" s="447"/>
      <c r="DDV65" s="447"/>
      <c r="DDW65" s="447"/>
      <c r="DDX65" s="447"/>
      <c r="DDY65" s="447"/>
      <c r="DDZ65" s="447"/>
      <c r="DEA65" s="447"/>
      <c r="DEB65" s="447"/>
      <c r="DEC65" s="447"/>
      <c r="DED65" s="447"/>
      <c r="DEE65" s="447"/>
      <c r="DEF65" s="447"/>
      <c r="DEG65" s="447"/>
      <c r="DEH65" s="447"/>
      <c r="DEI65" s="447"/>
      <c r="DEJ65" s="447"/>
      <c r="DEK65" s="447"/>
      <c r="DEL65" s="447"/>
      <c r="DEM65" s="447"/>
      <c r="DEN65" s="447"/>
      <c r="DEO65" s="447"/>
      <c r="DEP65" s="447"/>
      <c r="DEQ65" s="447"/>
      <c r="DER65" s="447"/>
      <c r="DES65" s="447"/>
      <c r="DET65" s="447"/>
      <c r="DEU65" s="447"/>
      <c r="DEV65" s="447"/>
      <c r="DEW65" s="447"/>
      <c r="DEX65" s="447"/>
      <c r="DEY65" s="447"/>
      <c r="DEZ65" s="447"/>
      <c r="DFA65" s="447"/>
      <c r="DFB65" s="447"/>
      <c r="DFC65" s="447"/>
      <c r="DFD65" s="447"/>
      <c r="DFE65" s="447"/>
      <c r="DFF65" s="447"/>
      <c r="DFG65" s="447"/>
      <c r="DFH65" s="447"/>
      <c r="DFI65" s="447"/>
      <c r="DFJ65" s="447"/>
      <c r="DFK65" s="447"/>
      <c r="DFL65" s="447"/>
      <c r="DFM65" s="447"/>
      <c r="DFN65" s="447"/>
      <c r="DFO65" s="447"/>
      <c r="DFP65" s="447"/>
      <c r="DFQ65" s="447"/>
      <c r="DFR65" s="447"/>
      <c r="DFS65" s="447"/>
      <c r="DFT65" s="447"/>
      <c r="DFU65" s="447"/>
      <c r="DFV65" s="447"/>
      <c r="DFW65" s="447"/>
      <c r="DFX65" s="447"/>
      <c r="DFY65" s="447"/>
      <c r="DFZ65" s="447"/>
      <c r="DGA65" s="447"/>
      <c r="DGB65" s="447"/>
      <c r="DGC65" s="447"/>
      <c r="DGD65" s="447"/>
      <c r="DGE65" s="447"/>
      <c r="DGF65" s="447"/>
      <c r="DGG65" s="447"/>
      <c r="DGH65" s="447"/>
      <c r="DGI65" s="447"/>
      <c r="DGJ65" s="447"/>
      <c r="DGK65" s="447"/>
      <c r="DGL65" s="447"/>
      <c r="DGM65" s="447"/>
      <c r="DGN65" s="447"/>
      <c r="DGO65" s="447"/>
      <c r="DGP65" s="447"/>
      <c r="DGQ65" s="447"/>
      <c r="DGR65" s="447"/>
      <c r="DGS65" s="447"/>
      <c r="DGT65" s="447"/>
      <c r="DGU65" s="447"/>
      <c r="DGV65" s="447"/>
      <c r="DGW65" s="447"/>
      <c r="DGX65" s="447"/>
      <c r="DGY65" s="447"/>
      <c r="DGZ65" s="447"/>
      <c r="DHA65" s="447"/>
      <c r="DHB65" s="447"/>
      <c r="DHC65" s="447"/>
      <c r="DHD65" s="447"/>
      <c r="DHE65" s="447"/>
      <c r="DHF65" s="447"/>
      <c r="DHG65" s="447"/>
      <c r="DHH65" s="447"/>
      <c r="DHI65" s="447"/>
      <c r="DHJ65" s="447"/>
      <c r="DHK65" s="447"/>
      <c r="DHL65" s="447"/>
      <c r="DHM65" s="447"/>
      <c r="DHN65" s="447"/>
      <c r="DHO65" s="447"/>
      <c r="DHP65" s="447"/>
      <c r="DHQ65" s="447"/>
      <c r="DHR65" s="447"/>
      <c r="DHS65" s="447"/>
      <c r="DHT65" s="447"/>
      <c r="DHU65" s="447"/>
      <c r="DHV65" s="447"/>
      <c r="DHW65" s="447"/>
      <c r="DHX65" s="447"/>
      <c r="DHY65" s="447"/>
      <c r="DHZ65" s="447"/>
      <c r="DIA65" s="447"/>
      <c r="DIB65" s="447"/>
      <c r="DIC65" s="447"/>
      <c r="DID65" s="447"/>
      <c r="DIE65" s="447"/>
      <c r="DIF65" s="447"/>
      <c r="DIG65" s="447"/>
      <c r="DIH65" s="447"/>
      <c r="DII65" s="447"/>
      <c r="DIJ65" s="447"/>
      <c r="DIK65" s="447"/>
      <c r="DIL65" s="447"/>
      <c r="DIM65" s="447"/>
      <c r="DIN65" s="447"/>
      <c r="DIO65" s="447"/>
      <c r="DIP65" s="447"/>
      <c r="DIQ65" s="447"/>
      <c r="DIR65" s="447"/>
      <c r="DIS65" s="447"/>
      <c r="DIT65" s="447"/>
      <c r="DIU65" s="447"/>
      <c r="DIV65" s="447"/>
      <c r="DIW65" s="447"/>
      <c r="DIX65" s="447"/>
      <c r="DIY65" s="447"/>
      <c r="DIZ65" s="447"/>
      <c r="DJA65" s="447"/>
      <c r="DJB65" s="447"/>
      <c r="DJC65" s="447"/>
      <c r="DJD65" s="447"/>
      <c r="DJE65" s="447"/>
      <c r="DJF65" s="447"/>
      <c r="DJG65" s="447"/>
      <c r="DJH65" s="447"/>
      <c r="DJI65" s="447"/>
      <c r="DJJ65" s="447"/>
      <c r="DJK65" s="447"/>
      <c r="DJL65" s="447"/>
      <c r="DJM65" s="447"/>
      <c r="DJN65" s="447"/>
      <c r="DJO65" s="447"/>
      <c r="DJP65" s="447"/>
      <c r="DJQ65" s="447"/>
      <c r="DJR65" s="447"/>
      <c r="DJS65" s="447"/>
      <c r="DJT65" s="447"/>
      <c r="DJU65" s="447"/>
      <c r="DJV65" s="447"/>
      <c r="DJW65" s="447"/>
      <c r="DJX65" s="447"/>
      <c r="DJY65" s="447"/>
      <c r="DJZ65" s="447"/>
      <c r="DKA65" s="447"/>
      <c r="DKB65" s="447"/>
      <c r="DKC65" s="447"/>
      <c r="DKD65" s="447"/>
      <c r="DKE65" s="447"/>
      <c r="DKF65" s="447"/>
      <c r="DKG65" s="447"/>
      <c r="DKH65" s="447"/>
      <c r="DKI65" s="447"/>
      <c r="DKJ65" s="447"/>
      <c r="DKK65" s="447"/>
      <c r="DKL65" s="447"/>
      <c r="DKM65" s="447"/>
      <c r="DKN65" s="447"/>
      <c r="DKO65" s="447"/>
      <c r="DKP65" s="447"/>
      <c r="DKQ65" s="447"/>
      <c r="DKR65" s="447"/>
      <c r="DKS65" s="447"/>
      <c r="DKT65" s="447"/>
      <c r="DKU65" s="447"/>
      <c r="DKV65" s="447"/>
      <c r="DKW65" s="447"/>
      <c r="DKX65" s="447"/>
      <c r="DKY65" s="447"/>
      <c r="DKZ65" s="447"/>
      <c r="DLA65" s="447"/>
      <c r="DLB65" s="447"/>
      <c r="DLC65" s="447"/>
      <c r="DLD65" s="447"/>
      <c r="DLE65" s="447"/>
      <c r="DLF65" s="447"/>
      <c r="DLG65" s="447"/>
      <c r="DLH65" s="447"/>
      <c r="DLI65" s="447"/>
      <c r="DLJ65" s="447"/>
      <c r="DLK65" s="447"/>
      <c r="DLL65" s="447"/>
      <c r="DLM65" s="447"/>
      <c r="DLN65" s="447"/>
      <c r="DLO65" s="447"/>
      <c r="DLP65" s="447"/>
      <c r="DLQ65" s="447"/>
      <c r="DLR65" s="447"/>
      <c r="DLS65" s="447"/>
      <c r="DLT65" s="447"/>
      <c r="DLU65" s="447"/>
      <c r="DLV65" s="447"/>
      <c r="DLW65" s="447"/>
      <c r="DLX65" s="447"/>
      <c r="DLY65" s="447"/>
      <c r="DLZ65" s="447"/>
      <c r="DMA65" s="447"/>
      <c r="DMB65" s="447"/>
      <c r="DMC65" s="447"/>
      <c r="DMD65" s="447"/>
      <c r="DME65" s="447"/>
      <c r="DMF65" s="447"/>
      <c r="DMG65" s="447"/>
      <c r="DMH65" s="447"/>
      <c r="DMI65" s="447"/>
      <c r="DMJ65" s="447"/>
      <c r="DMK65" s="447"/>
      <c r="DML65" s="447"/>
      <c r="DMM65" s="447"/>
      <c r="DMN65" s="447"/>
      <c r="DMO65" s="447"/>
      <c r="DMP65" s="447"/>
      <c r="DMQ65" s="447"/>
      <c r="DMR65" s="447"/>
      <c r="DMS65" s="447"/>
      <c r="DMT65" s="447"/>
      <c r="DMU65" s="447"/>
      <c r="DMV65" s="447"/>
      <c r="DMW65" s="447"/>
      <c r="DMX65" s="447"/>
      <c r="DMY65" s="447"/>
      <c r="DMZ65" s="447"/>
      <c r="DNA65" s="447"/>
      <c r="DNB65" s="447"/>
      <c r="DNC65" s="447"/>
      <c r="DND65" s="447"/>
      <c r="DNE65" s="447"/>
      <c r="DNF65" s="447"/>
      <c r="DNG65" s="447"/>
      <c r="DNH65" s="447"/>
      <c r="DNI65" s="447"/>
      <c r="DNJ65" s="447"/>
      <c r="DNK65" s="447"/>
      <c r="DNL65" s="447"/>
      <c r="DNM65" s="447"/>
      <c r="DNN65" s="447"/>
      <c r="DNO65" s="447"/>
      <c r="DNP65" s="447"/>
      <c r="DNQ65" s="447"/>
      <c r="DNR65" s="447"/>
      <c r="DNS65" s="447"/>
      <c r="DNT65" s="447"/>
      <c r="DNU65" s="447"/>
      <c r="DNV65" s="447"/>
      <c r="DNW65" s="447"/>
      <c r="DNX65" s="447"/>
      <c r="DNY65" s="447"/>
      <c r="DNZ65" s="447"/>
      <c r="DOA65" s="447"/>
      <c r="DOB65" s="447"/>
      <c r="DOC65" s="447"/>
      <c r="DOD65" s="447"/>
      <c r="DOE65" s="447"/>
      <c r="DOF65" s="447"/>
      <c r="DOG65" s="447"/>
      <c r="DOH65" s="447"/>
      <c r="DOI65" s="447"/>
      <c r="DOJ65" s="447"/>
      <c r="DOK65" s="447"/>
      <c r="DOL65" s="447"/>
      <c r="DOM65" s="447"/>
      <c r="DON65" s="447"/>
      <c r="DOO65" s="447"/>
      <c r="DOP65" s="447"/>
      <c r="DOQ65" s="447"/>
      <c r="DOR65" s="447"/>
      <c r="DOS65" s="447"/>
      <c r="DOT65" s="447"/>
      <c r="DOU65" s="447"/>
      <c r="DOV65" s="447"/>
      <c r="DOW65" s="447"/>
      <c r="DOX65" s="447"/>
      <c r="DOY65" s="447"/>
      <c r="DOZ65" s="447"/>
      <c r="DPA65" s="447"/>
      <c r="DPB65" s="447"/>
      <c r="DPC65" s="447"/>
      <c r="DPD65" s="447"/>
      <c r="DPE65" s="447"/>
      <c r="DPF65" s="447"/>
      <c r="DPG65" s="447"/>
      <c r="DPH65" s="447"/>
      <c r="DPI65" s="447"/>
      <c r="DPJ65" s="447"/>
      <c r="DPK65" s="447"/>
      <c r="DPL65" s="447"/>
      <c r="DPM65" s="447"/>
      <c r="DPN65" s="447"/>
      <c r="DPO65" s="447"/>
      <c r="DPP65" s="447"/>
      <c r="DPQ65" s="447"/>
      <c r="DPR65" s="447"/>
      <c r="DPS65" s="447"/>
      <c r="DPT65" s="447"/>
      <c r="DPU65" s="447"/>
      <c r="DPV65" s="447"/>
      <c r="DPW65" s="447"/>
      <c r="DPX65" s="447"/>
      <c r="DPY65" s="447"/>
      <c r="DPZ65" s="447"/>
      <c r="DQA65" s="447"/>
      <c r="DQB65" s="447"/>
      <c r="DQC65" s="447"/>
      <c r="DQD65" s="447"/>
      <c r="DQE65" s="447"/>
      <c r="DQF65" s="447"/>
      <c r="DQG65" s="447"/>
      <c r="DQH65" s="447"/>
      <c r="DQI65" s="447"/>
      <c r="DQJ65" s="447"/>
      <c r="DQK65" s="447"/>
      <c r="DQL65" s="447"/>
      <c r="DQM65" s="447"/>
      <c r="DQN65" s="447"/>
      <c r="DQO65" s="447"/>
      <c r="DQP65" s="447"/>
      <c r="DQQ65" s="447"/>
      <c r="DQR65" s="447"/>
      <c r="DQS65" s="447"/>
      <c r="DQT65" s="447"/>
      <c r="DQU65" s="447"/>
      <c r="DQV65" s="447"/>
      <c r="DQW65" s="447"/>
      <c r="DQX65" s="447"/>
      <c r="DQY65" s="447"/>
      <c r="DQZ65" s="447"/>
      <c r="DRA65" s="447"/>
      <c r="DRB65" s="447"/>
      <c r="DRC65" s="447"/>
      <c r="DRD65" s="447"/>
      <c r="DRE65" s="447"/>
      <c r="DRF65" s="447"/>
      <c r="DRG65" s="447"/>
      <c r="DRH65" s="447"/>
      <c r="DRI65" s="447"/>
      <c r="DRJ65" s="447"/>
      <c r="DRK65" s="447"/>
      <c r="DRL65" s="447"/>
      <c r="DRM65" s="447"/>
      <c r="DRN65" s="447"/>
      <c r="DRO65" s="447"/>
      <c r="DRP65" s="447"/>
      <c r="DRQ65" s="447"/>
      <c r="DRR65" s="447"/>
      <c r="DRS65" s="447"/>
      <c r="DRT65" s="447"/>
      <c r="DRU65" s="447"/>
      <c r="DRV65" s="447"/>
      <c r="DRW65" s="447"/>
      <c r="DRX65" s="447"/>
      <c r="DRY65" s="447"/>
      <c r="DRZ65" s="447"/>
      <c r="DSA65" s="447"/>
      <c r="DSB65" s="447"/>
      <c r="DSC65" s="447"/>
      <c r="DSD65" s="447"/>
      <c r="DSE65" s="447"/>
      <c r="DSF65" s="447"/>
      <c r="DSG65" s="447"/>
      <c r="DSH65" s="447"/>
      <c r="DSI65" s="447"/>
      <c r="DSJ65" s="447"/>
      <c r="DSK65" s="447"/>
      <c r="DSL65" s="447"/>
      <c r="DSM65" s="447"/>
      <c r="DSN65" s="447"/>
      <c r="DSO65" s="447"/>
      <c r="DSP65" s="447"/>
      <c r="DSQ65" s="447"/>
      <c r="DSR65" s="447"/>
      <c r="DSS65" s="447"/>
      <c r="DST65" s="447"/>
      <c r="DSU65" s="447"/>
      <c r="DSV65" s="447"/>
      <c r="DSW65" s="447"/>
      <c r="DSX65" s="447"/>
      <c r="DSY65" s="447"/>
      <c r="DSZ65" s="447"/>
      <c r="DTA65" s="447"/>
      <c r="DTB65" s="447"/>
      <c r="DTC65" s="447"/>
      <c r="DTD65" s="447"/>
      <c r="DTE65" s="447"/>
      <c r="DTF65" s="447"/>
      <c r="DTG65" s="447"/>
      <c r="DTH65" s="447"/>
      <c r="DTI65" s="447"/>
      <c r="DTJ65" s="447"/>
      <c r="DTK65" s="447"/>
      <c r="DTL65" s="447"/>
      <c r="DTM65" s="447"/>
      <c r="DTN65" s="447"/>
      <c r="DTO65" s="447"/>
      <c r="DTP65" s="447"/>
      <c r="DTQ65" s="447"/>
      <c r="DTR65" s="447"/>
      <c r="DTS65" s="447"/>
      <c r="DTT65" s="447"/>
      <c r="DTU65" s="447"/>
      <c r="DTV65" s="447"/>
      <c r="DTW65" s="447"/>
      <c r="DTX65" s="447"/>
      <c r="DTY65" s="447"/>
      <c r="DTZ65" s="447"/>
      <c r="DUA65" s="447"/>
      <c r="DUB65" s="447"/>
      <c r="DUC65" s="447"/>
      <c r="DUD65" s="447"/>
      <c r="DUE65" s="447"/>
      <c r="DUF65" s="447"/>
      <c r="DUG65" s="447"/>
      <c r="DUH65" s="447"/>
      <c r="DUI65" s="447"/>
      <c r="DUJ65" s="447"/>
      <c r="DUK65" s="447"/>
      <c r="DUL65" s="447"/>
      <c r="DUM65" s="447"/>
      <c r="DUN65" s="447"/>
      <c r="DUO65" s="447"/>
      <c r="DUP65" s="447"/>
      <c r="DUQ65" s="447"/>
      <c r="DUR65" s="447"/>
      <c r="DUS65" s="447"/>
      <c r="DUT65" s="447"/>
      <c r="DUU65" s="447"/>
      <c r="DUV65" s="447"/>
      <c r="DUW65" s="447"/>
      <c r="DUX65" s="447"/>
      <c r="DUY65" s="447"/>
      <c r="DUZ65" s="447"/>
      <c r="DVA65" s="447"/>
      <c r="DVB65" s="447"/>
      <c r="DVC65" s="447"/>
      <c r="DVD65" s="447"/>
      <c r="DVE65" s="447"/>
      <c r="DVF65" s="447"/>
      <c r="DVG65" s="447"/>
      <c r="DVH65" s="447"/>
      <c r="DVI65" s="447"/>
      <c r="DVJ65" s="447"/>
      <c r="DVK65" s="447"/>
      <c r="DVL65" s="447"/>
      <c r="DVM65" s="447"/>
      <c r="DVN65" s="447"/>
      <c r="DVO65" s="447"/>
      <c r="DVP65" s="447"/>
      <c r="DVQ65" s="447"/>
      <c r="DVR65" s="447"/>
      <c r="DVS65" s="447"/>
      <c r="DVT65" s="447"/>
      <c r="DVU65" s="447"/>
      <c r="DVV65" s="447"/>
      <c r="DVW65" s="447"/>
      <c r="DVX65" s="447"/>
      <c r="DVY65" s="447"/>
      <c r="DVZ65" s="447"/>
      <c r="DWA65" s="447"/>
      <c r="DWB65" s="447"/>
      <c r="DWC65" s="447"/>
      <c r="DWD65" s="447"/>
      <c r="DWE65" s="447"/>
      <c r="DWF65" s="447"/>
      <c r="DWG65" s="447"/>
      <c r="DWH65" s="447"/>
      <c r="DWI65" s="447"/>
      <c r="DWJ65" s="447"/>
      <c r="DWK65" s="447"/>
      <c r="DWL65" s="447"/>
      <c r="DWM65" s="447"/>
      <c r="DWN65" s="447"/>
      <c r="DWO65" s="447"/>
      <c r="DWP65" s="447"/>
      <c r="DWQ65" s="447"/>
      <c r="DWR65" s="447"/>
      <c r="DWS65" s="447"/>
      <c r="DWT65" s="447"/>
      <c r="DWU65" s="447"/>
      <c r="DWV65" s="447"/>
      <c r="DWW65" s="447"/>
      <c r="DWX65" s="447"/>
      <c r="DWY65" s="447"/>
      <c r="DWZ65" s="447"/>
      <c r="DXA65" s="447"/>
      <c r="DXB65" s="447"/>
      <c r="DXC65" s="447"/>
      <c r="DXD65" s="447"/>
      <c r="DXE65" s="447"/>
      <c r="DXF65" s="447"/>
      <c r="DXG65" s="447"/>
      <c r="DXH65" s="447"/>
      <c r="DXI65" s="447"/>
      <c r="DXJ65" s="447"/>
      <c r="DXK65" s="447"/>
      <c r="DXL65" s="447"/>
      <c r="DXM65" s="447"/>
      <c r="DXN65" s="447"/>
      <c r="DXO65" s="447"/>
      <c r="DXP65" s="447"/>
      <c r="DXQ65" s="447"/>
      <c r="DXR65" s="447"/>
      <c r="DXS65" s="447"/>
      <c r="DXT65" s="447"/>
      <c r="DXU65" s="447"/>
      <c r="DXV65" s="447"/>
      <c r="DXW65" s="447"/>
      <c r="DXX65" s="447"/>
      <c r="DXY65" s="447"/>
      <c r="DXZ65" s="447"/>
      <c r="DYA65" s="447"/>
      <c r="DYB65" s="447"/>
      <c r="DYC65" s="447"/>
      <c r="DYD65" s="447"/>
      <c r="DYE65" s="447"/>
      <c r="DYF65" s="447"/>
      <c r="DYG65" s="447"/>
      <c r="DYH65" s="447"/>
      <c r="DYI65" s="447"/>
      <c r="DYJ65" s="447"/>
      <c r="DYK65" s="447"/>
      <c r="DYL65" s="447"/>
      <c r="DYM65" s="447"/>
      <c r="DYN65" s="447"/>
      <c r="DYO65" s="447"/>
      <c r="DYP65" s="447"/>
      <c r="DYQ65" s="447"/>
      <c r="DYR65" s="447"/>
      <c r="DYS65" s="447"/>
      <c r="DYT65" s="447"/>
      <c r="DYU65" s="447"/>
      <c r="DYV65" s="447"/>
      <c r="DYW65" s="447"/>
      <c r="DYX65" s="447"/>
      <c r="DYY65" s="447"/>
      <c r="DYZ65" s="447"/>
      <c r="DZA65" s="447"/>
      <c r="DZB65" s="447"/>
      <c r="DZC65" s="447"/>
      <c r="DZD65" s="447"/>
      <c r="DZE65" s="447"/>
      <c r="DZF65" s="447"/>
      <c r="DZG65" s="447"/>
      <c r="DZH65" s="447"/>
      <c r="DZI65" s="447"/>
      <c r="DZJ65" s="447"/>
      <c r="DZK65" s="447"/>
      <c r="DZL65" s="447"/>
      <c r="DZM65" s="447"/>
      <c r="DZN65" s="447"/>
      <c r="DZO65" s="447"/>
      <c r="DZP65" s="447"/>
      <c r="DZQ65" s="447"/>
      <c r="DZR65" s="447"/>
      <c r="DZS65" s="447"/>
      <c r="DZT65" s="447"/>
      <c r="DZU65" s="447"/>
      <c r="DZV65" s="447"/>
      <c r="DZW65" s="447"/>
      <c r="DZX65" s="447"/>
      <c r="DZY65" s="447"/>
      <c r="DZZ65" s="447"/>
      <c r="EAA65" s="447"/>
      <c r="EAB65" s="447"/>
      <c r="EAC65" s="447"/>
      <c r="EAD65" s="447"/>
      <c r="EAE65" s="447"/>
      <c r="EAF65" s="447"/>
      <c r="EAG65" s="447"/>
      <c r="EAH65" s="447"/>
      <c r="EAI65" s="447"/>
      <c r="EAJ65" s="447"/>
      <c r="EAK65" s="447"/>
      <c r="EAL65" s="447"/>
      <c r="EAM65" s="447"/>
      <c r="EAN65" s="447"/>
      <c r="EAO65" s="447"/>
      <c r="EAP65" s="447"/>
      <c r="EAQ65" s="447"/>
      <c r="EAR65" s="447"/>
      <c r="EAS65" s="447"/>
      <c r="EAT65" s="447"/>
      <c r="EAU65" s="447"/>
      <c r="EAV65" s="447"/>
      <c r="EAW65" s="447"/>
      <c r="EAX65" s="447"/>
      <c r="EAY65" s="447"/>
      <c r="EAZ65" s="447"/>
      <c r="EBA65" s="447"/>
      <c r="EBB65" s="447"/>
      <c r="EBC65" s="447"/>
      <c r="EBD65" s="447"/>
      <c r="EBE65" s="447"/>
      <c r="EBF65" s="447"/>
      <c r="EBG65" s="447"/>
      <c r="EBH65" s="447"/>
      <c r="EBI65" s="447"/>
      <c r="EBJ65" s="447"/>
      <c r="EBK65" s="447"/>
      <c r="EBL65" s="447"/>
      <c r="EBM65" s="447"/>
      <c r="EBN65" s="447"/>
      <c r="EBO65" s="447"/>
      <c r="EBP65" s="447"/>
      <c r="EBQ65" s="447"/>
      <c r="EBR65" s="447"/>
      <c r="EBS65" s="447"/>
      <c r="EBT65" s="447"/>
      <c r="EBU65" s="447"/>
      <c r="EBV65" s="447"/>
      <c r="EBW65" s="447"/>
      <c r="EBX65" s="447"/>
      <c r="EBY65" s="447"/>
      <c r="EBZ65" s="447"/>
      <c r="ECA65" s="447"/>
      <c r="ECB65" s="447"/>
      <c r="ECC65" s="447"/>
      <c r="ECD65" s="447"/>
      <c r="ECE65" s="447"/>
      <c r="ECF65" s="447"/>
      <c r="ECG65" s="447"/>
      <c r="ECH65" s="447"/>
      <c r="ECI65" s="447"/>
      <c r="ECJ65" s="447"/>
      <c r="ECK65" s="447"/>
      <c r="ECL65" s="447"/>
      <c r="ECM65" s="447"/>
      <c r="ECN65" s="447"/>
      <c r="ECO65" s="447"/>
      <c r="ECP65" s="447"/>
      <c r="ECQ65" s="447"/>
      <c r="ECR65" s="447"/>
      <c r="ECS65" s="447"/>
      <c r="ECT65" s="447"/>
      <c r="ECU65" s="447"/>
      <c r="ECV65" s="447"/>
      <c r="ECW65" s="447"/>
      <c r="ECX65" s="447"/>
      <c r="ECY65" s="447"/>
      <c r="ECZ65" s="447"/>
      <c r="EDA65" s="447"/>
      <c r="EDB65" s="447"/>
      <c r="EDC65" s="447"/>
      <c r="EDD65" s="447"/>
      <c r="EDE65" s="447"/>
      <c r="EDF65" s="447"/>
      <c r="EDG65" s="447"/>
      <c r="EDH65" s="447"/>
      <c r="EDI65" s="447"/>
      <c r="EDJ65" s="447"/>
      <c r="EDK65" s="447"/>
      <c r="EDL65" s="447"/>
      <c r="EDM65" s="447"/>
      <c r="EDN65" s="447"/>
      <c r="EDO65" s="447"/>
      <c r="EDP65" s="447"/>
      <c r="EDQ65" s="447"/>
      <c r="EDR65" s="447"/>
      <c r="EDS65" s="447"/>
      <c r="EDT65" s="447"/>
      <c r="EDU65" s="447"/>
      <c r="EDV65" s="447"/>
      <c r="EDW65" s="447"/>
      <c r="EDX65" s="447"/>
      <c r="EDY65" s="447"/>
      <c r="EDZ65" s="447"/>
      <c r="EEA65" s="447"/>
      <c r="EEB65" s="447"/>
      <c r="EEC65" s="447"/>
      <c r="EED65" s="447"/>
      <c r="EEE65" s="447"/>
      <c r="EEF65" s="447"/>
      <c r="EEG65" s="447"/>
      <c r="EEH65" s="447"/>
      <c r="EEI65" s="447"/>
      <c r="EEJ65" s="447"/>
      <c r="EEK65" s="447"/>
      <c r="EEL65" s="447"/>
      <c r="EEM65" s="447"/>
      <c r="EEN65" s="447"/>
      <c r="EEO65" s="447"/>
      <c r="EEP65" s="447"/>
      <c r="EEQ65" s="447"/>
      <c r="EER65" s="447"/>
      <c r="EES65" s="447"/>
      <c r="EET65" s="447"/>
      <c r="EEU65" s="447"/>
      <c r="EEV65" s="447"/>
      <c r="EEW65" s="447"/>
      <c r="EEX65" s="447"/>
      <c r="EEY65" s="447"/>
      <c r="EEZ65" s="447"/>
      <c r="EFA65" s="447"/>
      <c r="EFB65" s="447"/>
      <c r="EFC65" s="447"/>
      <c r="EFD65" s="447"/>
      <c r="EFE65" s="447"/>
      <c r="EFF65" s="447"/>
      <c r="EFG65" s="447"/>
      <c r="EFH65" s="447"/>
      <c r="EFI65" s="447"/>
      <c r="EFJ65" s="447"/>
      <c r="EFK65" s="447"/>
      <c r="EFL65" s="447"/>
      <c r="EFM65" s="447"/>
      <c r="EFN65" s="447"/>
      <c r="EFO65" s="447"/>
      <c r="EFP65" s="447"/>
      <c r="EFQ65" s="447"/>
      <c r="EFR65" s="447"/>
      <c r="EFS65" s="447"/>
      <c r="EFT65" s="447"/>
      <c r="EFU65" s="447"/>
      <c r="EFV65" s="447"/>
      <c r="EFW65" s="447"/>
      <c r="EFX65" s="447"/>
      <c r="EFY65" s="447"/>
      <c r="EFZ65" s="447"/>
      <c r="EGA65" s="447"/>
      <c r="EGB65" s="447"/>
      <c r="EGC65" s="447"/>
      <c r="EGD65" s="447"/>
      <c r="EGE65" s="447"/>
      <c r="EGF65" s="447"/>
      <c r="EGG65" s="447"/>
      <c r="EGH65" s="447"/>
      <c r="EGI65" s="447"/>
      <c r="EGJ65" s="447"/>
      <c r="EGK65" s="447"/>
      <c r="EGL65" s="447"/>
      <c r="EGM65" s="447"/>
      <c r="EGN65" s="447"/>
      <c r="EGO65" s="447"/>
      <c r="EGP65" s="447"/>
      <c r="EGQ65" s="447"/>
      <c r="EGR65" s="447"/>
      <c r="EGS65" s="447"/>
      <c r="EGT65" s="447"/>
      <c r="EGU65" s="447"/>
      <c r="EGV65" s="447"/>
      <c r="EGW65" s="447"/>
      <c r="EGX65" s="447"/>
      <c r="EGY65" s="447"/>
      <c r="EGZ65" s="447"/>
      <c r="EHA65" s="447"/>
      <c r="EHB65" s="447"/>
      <c r="EHC65" s="447"/>
      <c r="EHD65" s="447"/>
      <c r="EHE65" s="447"/>
      <c r="EHF65" s="447"/>
      <c r="EHG65" s="447"/>
      <c r="EHH65" s="447"/>
      <c r="EHI65" s="447"/>
      <c r="EHJ65" s="447"/>
      <c r="EHK65" s="447"/>
      <c r="EHL65" s="447"/>
      <c r="EHM65" s="447"/>
      <c r="EHN65" s="447"/>
      <c r="EHO65" s="447"/>
      <c r="EHP65" s="447"/>
      <c r="EHQ65" s="447"/>
      <c r="EHR65" s="447"/>
      <c r="EHS65" s="447"/>
      <c r="EHT65" s="447"/>
      <c r="EHU65" s="447"/>
      <c r="EHV65" s="447"/>
      <c r="EHW65" s="447"/>
      <c r="EHX65" s="447"/>
      <c r="EHY65" s="447"/>
      <c r="EHZ65" s="447"/>
      <c r="EIA65" s="447"/>
      <c r="EIB65" s="447"/>
      <c r="EIC65" s="447"/>
      <c r="EID65" s="447"/>
      <c r="EIE65" s="447"/>
      <c r="EIF65" s="447"/>
      <c r="EIG65" s="447"/>
      <c r="EIH65" s="447"/>
      <c r="EII65" s="447"/>
      <c r="EIJ65" s="447"/>
      <c r="EIK65" s="447"/>
      <c r="EIL65" s="447"/>
      <c r="EIM65" s="447"/>
      <c r="EIN65" s="447"/>
      <c r="EIO65" s="447"/>
      <c r="EIP65" s="447"/>
      <c r="EIQ65" s="447"/>
      <c r="EIR65" s="447"/>
      <c r="EIS65" s="447"/>
      <c r="EIT65" s="447"/>
      <c r="EIU65" s="447"/>
      <c r="EIV65" s="447"/>
      <c r="EIW65" s="447"/>
      <c r="EIX65" s="447"/>
      <c r="EIY65" s="447"/>
      <c r="EIZ65" s="447"/>
      <c r="EJA65" s="447"/>
      <c r="EJB65" s="447"/>
      <c r="EJC65" s="447"/>
      <c r="EJD65" s="447"/>
      <c r="EJE65" s="447"/>
      <c r="EJF65" s="447"/>
      <c r="EJG65" s="447"/>
      <c r="EJH65" s="447"/>
      <c r="EJI65" s="447"/>
      <c r="EJJ65" s="447"/>
      <c r="EJK65" s="447"/>
      <c r="EJL65" s="447"/>
      <c r="EJM65" s="447"/>
      <c r="EJN65" s="447"/>
      <c r="EJO65" s="447"/>
      <c r="EJP65" s="447"/>
      <c r="EJQ65" s="447"/>
      <c r="EJR65" s="447"/>
      <c r="EJS65" s="447"/>
      <c r="EJT65" s="447"/>
      <c r="EJU65" s="447"/>
      <c r="EJV65" s="447"/>
      <c r="EJW65" s="447"/>
      <c r="EJX65" s="447"/>
      <c r="EJY65" s="447"/>
      <c r="EJZ65" s="447"/>
      <c r="EKA65" s="447"/>
      <c r="EKB65" s="447"/>
      <c r="EKC65" s="447"/>
      <c r="EKD65" s="447"/>
      <c r="EKE65" s="447"/>
      <c r="EKF65" s="447"/>
      <c r="EKG65" s="447"/>
      <c r="EKH65" s="447"/>
      <c r="EKI65" s="447"/>
      <c r="EKJ65" s="447"/>
      <c r="EKK65" s="447"/>
      <c r="EKL65" s="447"/>
      <c r="EKM65" s="447"/>
      <c r="EKN65" s="447"/>
      <c r="EKO65" s="447"/>
      <c r="EKP65" s="447"/>
      <c r="EKQ65" s="447"/>
      <c r="EKR65" s="447"/>
      <c r="EKS65" s="447"/>
      <c r="EKT65" s="447"/>
      <c r="EKU65" s="447"/>
      <c r="EKV65" s="447"/>
      <c r="EKW65" s="447"/>
      <c r="EKX65" s="447"/>
      <c r="EKY65" s="447"/>
      <c r="EKZ65" s="447"/>
      <c r="ELA65" s="447"/>
      <c r="ELB65" s="447"/>
      <c r="ELC65" s="447"/>
      <c r="ELD65" s="447"/>
      <c r="ELE65" s="447"/>
      <c r="ELF65" s="447"/>
      <c r="ELG65" s="447"/>
      <c r="ELH65" s="447"/>
      <c r="ELI65" s="447"/>
      <c r="ELJ65" s="447"/>
      <c r="ELK65" s="447"/>
      <c r="ELL65" s="447"/>
      <c r="ELM65" s="447"/>
      <c r="ELN65" s="447"/>
      <c r="ELO65" s="447"/>
      <c r="ELP65" s="447"/>
      <c r="ELQ65" s="447"/>
      <c r="ELR65" s="447"/>
      <c r="ELS65" s="447"/>
      <c r="ELT65" s="447"/>
      <c r="ELU65" s="447"/>
      <c r="ELV65" s="447"/>
      <c r="ELW65" s="447"/>
      <c r="ELX65" s="447"/>
      <c r="ELY65" s="447"/>
      <c r="ELZ65" s="447"/>
      <c r="EMA65" s="447"/>
      <c r="EMB65" s="447"/>
      <c r="EMC65" s="447"/>
      <c r="EMD65" s="447"/>
      <c r="EME65" s="447"/>
      <c r="EMF65" s="447"/>
      <c r="EMG65" s="447"/>
      <c r="EMH65" s="447"/>
      <c r="EMI65" s="447"/>
      <c r="EMJ65" s="447"/>
      <c r="EMK65" s="447"/>
      <c r="EML65" s="447"/>
      <c r="EMM65" s="447"/>
      <c r="EMN65" s="447"/>
      <c r="EMO65" s="447"/>
      <c r="EMP65" s="447"/>
      <c r="EMQ65" s="447"/>
      <c r="EMR65" s="447"/>
      <c r="EMS65" s="447"/>
      <c r="EMT65" s="447"/>
      <c r="EMU65" s="447"/>
      <c r="EMV65" s="447"/>
      <c r="EMW65" s="447"/>
      <c r="EMX65" s="447"/>
      <c r="EMY65" s="447"/>
      <c r="EMZ65" s="447"/>
      <c r="ENA65" s="447"/>
      <c r="ENB65" s="447"/>
      <c r="ENC65" s="447"/>
      <c r="END65" s="447"/>
      <c r="ENE65" s="447"/>
      <c r="ENF65" s="447"/>
      <c r="ENG65" s="447"/>
      <c r="ENH65" s="447"/>
      <c r="ENI65" s="447"/>
      <c r="ENJ65" s="447"/>
      <c r="ENK65" s="447"/>
      <c r="ENL65" s="447"/>
      <c r="ENM65" s="447"/>
      <c r="ENN65" s="447"/>
      <c r="ENO65" s="447"/>
      <c r="ENP65" s="447"/>
      <c r="ENQ65" s="447"/>
      <c r="ENR65" s="447"/>
      <c r="ENS65" s="447"/>
      <c r="ENT65" s="447"/>
      <c r="ENU65" s="447"/>
      <c r="ENV65" s="447"/>
      <c r="ENW65" s="447"/>
      <c r="ENX65" s="447"/>
      <c r="ENY65" s="447"/>
      <c r="ENZ65" s="447"/>
      <c r="EOA65" s="447"/>
      <c r="EOB65" s="447"/>
      <c r="EOC65" s="447"/>
      <c r="EOD65" s="447"/>
      <c r="EOE65" s="447"/>
      <c r="EOF65" s="447"/>
      <c r="EOG65" s="447"/>
      <c r="EOH65" s="447"/>
      <c r="EOI65" s="447"/>
      <c r="EOJ65" s="447"/>
      <c r="EOK65" s="447"/>
      <c r="EOL65" s="447"/>
      <c r="EOM65" s="447"/>
      <c r="EON65" s="447"/>
      <c r="EOO65" s="447"/>
      <c r="EOP65" s="447"/>
      <c r="EOQ65" s="447"/>
      <c r="EOR65" s="447"/>
      <c r="EOS65" s="447"/>
      <c r="EOT65" s="447"/>
      <c r="EOU65" s="447"/>
      <c r="EOV65" s="447"/>
      <c r="EOW65" s="447"/>
      <c r="EOX65" s="447"/>
      <c r="EOY65" s="447"/>
      <c r="EOZ65" s="447"/>
      <c r="EPA65" s="447"/>
      <c r="EPB65" s="447"/>
      <c r="EPC65" s="447"/>
      <c r="EPD65" s="447"/>
      <c r="EPE65" s="447"/>
      <c r="EPF65" s="447"/>
      <c r="EPG65" s="447"/>
      <c r="EPH65" s="447"/>
      <c r="EPI65" s="447"/>
      <c r="EPJ65" s="447"/>
      <c r="EPK65" s="447"/>
      <c r="EPL65" s="447"/>
      <c r="EPM65" s="447"/>
      <c r="EPN65" s="447"/>
      <c r="EPO65" s="447"/>
      <c r="EPP65" s="447"/>
      <c r="EPQ65" s="447"/>
      <c r="EPR65" s="447"/>
      <c r="EPS65" s="447"/>
      <c r="EPT65" s="447"/>
      <c r="EPU65" s="447"/>
      <c r="EPV65" s="447"/>
      <c r="EPW65" s="447"/>
      <c r="EPX65" s="447"/>
      <c r="EPY65" s="447"/>
      <c r="EPZ65" s="447"/>
      <c r="EQA65" s="447"/>
      <c r="EQB65" s="447"/>
      <c r="EQC65" s="447"/>
      <c r="EQD65" s="447"/>
      <c r="EQE65" s="447"/>
      <c r="EQF65" s="447"/>
      <c r="EQG65" s="447"/>
      <c r="EQH65" s="447"/>
      <c r="EQI65" s="447"/>
      <c r="EQJ65" s="447"/>
      <c r="EQK65" s="447"/>
      <c r="EQL65" s="447"/>
      <c r="EQM65" s="447"/>
      <c r="EQN65" s="447"/>
      <c r="EQO65" s="447"/>
      <c r="EQP65" s="447"/>
      <c r="EQQ65" s="447"/>
      <c r="EQR65" s="447"/>
      <c r="EQS65" s="447"/>
      <c r="EQT65" s="447"/>
      <c r="EQU65" s="447"/>
      <c r="EQV65" s="447"/>
      <c r="EQW65" s="447"/>
      <c r="EQX65" s="447"/>
      <c r="EQY65" s="447"/>
      <c r="EQZ65" s="447"/>
      <c r="ERA65" s="447"/>
      <c r="ERB65" s="447"/>
      <c r="ERC65" s="447"/>
      <c r="ERD65" s="447"/>
      <c r="ERE65" s="447"/>
      <c r="ERF65" s="447"/>
      <c r="ERG65" s="447"/>
      <c r="ERH65" s="447"/>
      <c r="ERI65" s="447"/>
      <c r="ERJ65" s="447"/>
      <c r="ERK65" s="447"/>
      <c r="ERL65" s="447"/>
      <c r="ERM65" s="447"/>
      <c r="ERN65" s="447"/>
      <c r="ERO65" s="447"/>
      <c r="ERP65" s="447"/>
      <c r="ERQ65" s="447"/>
      <c r="ERR65" s="447"/>
      <c r="ERS65" s="447"/>
      <c r="ERT65" s="447"/>
      <c r="ERU65" s="447"/>
      <c r="ERV65" s="447"/>
      <c r="ERW65" s="447"/>
      <c r="ERX65" s="447"/>
      <c r="ERY65" s="447"/>
      <c r="ERZ65" s="447"/>
      <c r="ESA65" s="447"/>
      <c r="ESB65" s="447"/>
      <c r="ESC65" s="447"/>
      <c r="ESD65" s="447"/>
      <c r="ESE65" s="447"/>
      <c r="ESF65" s="447"/>
      <c r="ESG65" s="447"/>
      <c r="ESH65" s="447"/>
      <c r="ESI65" s="447"/>
      <c r="ESJ65" s="447"/>
      <c r="ESK65" s="447"/>
      <c r="ESL65" s="447"/>
      <c r="ESM65" s="447"/>
      <c r="ESN65" s="447"/>
      <c r="ESO65" s="447"/>
      <c r="ESP65" s="447"/>
      <c r="ESQ65" s="447"/>
      <c r="ESR65" s="447"/>
      <c r="ESS65" s="447"/>
      <c r="EST65" s="447"/>
      <c r="ESU65" s="447"/>
      <c r="ESV65" s="447"/>
      <c r="ESW65" s="447"/>
      <c r="ESX65" s="447"/>
      <c r="ESY65" s="447"/>
      <c r="ESZ65" s="447"/>
      <c r="ETA65" s="447"/>
      <c r="ETB65" s="447"/>
      <c r="ETC65" s="447"/>
      <c r="ETD65" s="447"/>
      <c r="ETE65" s="447"/>
      <c r="ETF65" s="447"/>
      <c r="ETG65" s="447"/>
      <c r="ETH65" s="447"/>
      <c r="ETI65" s="447"/>
      <c r="ETJ65" s="447"/>
      <c r="ETK65" s="447"/>
      <c r="ETL65" s="447"/>
      <c r="ETM65" s="447"/>
      <c r="ETN65" s="447"/>
      <c r="ETO65" s="447"/>
      <c r="ETP65" s="447"/>
      <c r="ETQ65" s="447"/>
      <c r="ETR65" s="447"/>
      <c r="ETS65" s="447"/>
      <c r="ETT65" s="447"/>
      <c r="ETU65" s="447"/>
      <c r="ETV65" s="447"/>
      <c r="ETW65" s="447"/>
      <c r="ETX65" s="447"/>
      <c r="ETY65" s="447"/>
      <c r="ETZ65" s="447"/>
      <c r="EUA65" s="447"/>
      <c r="EUB65" s="447"/>
      <c r="EUC65" s="447"/>
      <c r="EUD65" s="447"/>
      <c r="EUE65" s="447"/>
      <c r="EUF65" s="447"/>
      <c r="EUG65" s="447"/>
      <c r="EUH65" s="447"/>
      <c r="EUI65" s="447"/>
      <c r="EUJ65" s="447"/>
      <c r="EUK65" s="447"/>
      <c r="EUL65" s="447"/>
      <c r="EUM65" s="447"/>
      <c r="EUN65" s="447"/>
      <c r="EUO65" s="447"/>
      <c r="EUP65" s="447"/>
      <c r="EUQ65" s="447"/>
      <c r="EUR65" s="447"/>
      <c r="EUS65" s="447"/>
      <c r="EUT65" s="447"/>
      <c r="EUU65" s="447"/>
      <c r="EUV65" s="447"/>
      <c r="EUW65" s="447"/>
      <c r="EUX65" s="447"/>
      <c r="EUY65" s="447"/>
      <c r="EUZ65" s="447"/>
      <c r="EVA65" s="447"/>
      <c r="EVB65" s="447"/>
      <c r="EVC65" s="447"/>
      <c r="EVD65" s="447"/>
      <c r="EVE65" s="447"/>
      <c r="EVF65" s="447"/>
      <c r="EVG65" s="447"/>
      <c r="EVH65" s="447"/>
      <c r="EVI65" s="447"/>
      <c r="EVJ65" s="447"/>
      <c r="EVK65" s="447"/>
      <c r="EVL65" s="447"/>
      <c r="EVM65" s="447"/>
      <c r="EVN65" s="447"/>
      <c r="EVO65" s="447"/>
      <c r="EVP65" s="447"/>
      <c r="EVQ65" s="447"/>
      <c r="EVR65" s="447"/>
      <c r="EVS65" s="447"/>
      <c r="EVT65" s="447"/>
      <c r="EVU65" s="447"/>
      <c r="EVV65" s="447"/>
      <c r="EVW65" s="447"/>
      <c r="EVX65" s="447"/>
      <c r="EVY65" s="447"/>
      <c r="EVZ65" s="447"/>
      <c r="EWA65" s="447"/>
      <c r="EWB65" s="447"/>
      <c r="EWC65" s="447"/>
      <c r="EWD65" s="447"/>
      <c r="EWE65" s="447"/>
      <c r="EWF65" s="447"/>
      <c r="EWG65" s="447"/>
      <c r="EWH65" s="447"/>
      <c r="EWI65" s="447"/>
      <c r="EWJ65" s="447"/>
      <c r="EWK65" s="447"/>
      <c r="EWL65" s="447"/>
      <c r="EWM65" s="447"/>
      <c r="EWN65" s="447"/>
      <c r="EWO65" s="447"/>
      <c r="EWP65" s="447"/>
      <c r="EWQ65" s="447"/>
      <c r="EWR65" s="447"/>
      <c r="EWS65" s="447"/>
      <c r="EWT65" s="447"/>
      <c r="EWU65" s="447"/>
      <c r="EWV65" s="447"/>
      <c r="EWW65" s="447"/>
      <c r="EWX65" s="447"/>
      <c r="EWY65" s="447"/>
      <c r="EWZ65" s="447"/>
      <c r="EXA65" s="447"/>
      <c r="EXB65" s="447"/>
      <c r="EXC65" s="447"/>
      <c r="EXD65" s="447"/>
      <c r="EXE65" s="447"/>
      <c r="EXF65" s="447"/>
      <c r="EXG65" s="447"/>
      <c r="EXH65" s="447"/>
      <c r="EXI65" s="447"/>
      <c r="EXJ65" s="447"/>
      <c r="EXK65" s="447"/>
      <c r="EXL65" s="447"/>
      <c r="EXM65" s="447"/>
      <c r="EXN65" s="447"/>
      <c r="EXO65" s="447"/>
      <c r="EXP65" s="447"/>
      <c r="EXQ65" s="447"/>
      <c r="EXR65" s="447"/>
      <c r="EXS65" s="447"/>
      <c r="EXT65" s="447"/>
      <c r="EXU65" s="447"/>
      <c r="EXV65" s="447"/>
      <c r="EXW65" s="447"/>
      <c r="EXX65" s="447"/>
      <c r="EXY65" s="447"/>
      <c r="EXZ65" s="447"/>
      <c r="EYA65" s="447"/>
      <c r="EYB65" s="447"/>
      <c r="EYC65" s="447"/>
      <c r="EYD65" s="447"/>
      <c r="EYE65" s="447"/>
      <c r="EYF65" s="447"/>
      <c r="EYG65" s="447"/>
      <c r="EYH65" s="447"/>
      <c r="EYI65" s="447"/>
      <c r="EYJ65" s="447"/>
      <c r="EYK65" s="447"/>
      <c r="EYL65" s="447"/>
      <c r="EYM65" s="447"/>
      <c r="EYN65" s="447"/>
      <c r="EYO65" s="447"/>
      <c r="EYP65" s="447"/>
      <c r="EYQ65" s="447"/>
      <c r="EYR65" s="447"/>
      <c r="EYS65" s="447"/>
      <c r="EYT65" s="447"/>
      <c r="EYU65" s="447"/>
      <c r="EYV65" s="447"/>
      <c r="EYW65" s="447"/>
      <c r="EYX65" s="447"/>
      <c r="EYY65" s="447"/>
      <c r="EYZ65" s="447"/>
      <c r="EZA65" s="447"/>
      <c r="EZB65" s="447"/>
      <c r="EZC65" s="447"/>
      <c r="EZD65" s="447"/>
      <c r="EZE65" s="447"/>
      <c r="EZF65" s="447"/>
      <c r="EZG65" s="447"/>
      <c r="EZH65" s="447"/>
      <c r="EZI65" s="447"/>
      <c r="EZJ65" s="447"/>
      <c r="EZK65" s="447"/>
      <c r="EZL65" s="447"/>
      <c r="EZM65" s="447"/>
      <c r="EZN65" s="447"/>
      <c r="EZO65" s="447"/>
      <c r="EZP65" s="447"/>
      <c r="EZQ65" s="447"/>
      <c r="EZR65" s="447"/>
      <c r="EZS65" s="447"/>
      <c r="EZT65" s="447"/>
      <c r="EZU65" s="447"/>
      <c r="EZV65" s="447"/>
      <c r="EZW65" s="447"/>
      <c r="EZX65" s="447"/>
      <c r="EZY65" s="447"/>
      <c r="EZZ65" s="447"/>
      <c r="FAA65" s="447"/>
      <c r="FAB65" s="447"/>
      <c r="FAC65" s="447"/>
      <c r="FAD65" s="447"/>
      <c r="FAE65" s="447"/>
      <c r="FAF65" s="447"/>
      <c r="FAG65" s="447"/>
      <c r="FAH65" s="447"/>
      <c r="FAI65" s="447"/>
      <c r="FAJ65" s="447"/>
      <c r="FAK65" s="447"/>
      <c r="FAL65" s="447"/>
      <c r="FAM65" s="447"/>
      <c r="FAN65" s="447"/>
      <c r="FAO65" s="447"/>
      <c r="FAP65" s="447"/>
      <c r="FAQ65" s="447"/>
      <c r="FAR65" s="447"/>
      <c r="FAS65" s="447"/>
      <c r="FAT65" s="447"/>
      <c r="FAU65" s="447"/>
      <c r="FAV65" s="447"/>
      <c r="FAW65" s="447"/>
      <c r="FAX65" s="447"/>
      <c r="FAY65" s="447"/>
      <c r="FAZ65" s="447"/>
      <c r="FBA65" s="447"/>
      <c r="FBB65" s="447"/>
      <c r="FBC65" s="447"/>
      <c r="FBD65" s="447"/>
      <c r="FBE65" s="447"/>
      <c r="FBF65" s="447"/>
      <c r="FBG65" s="447"/>
      <c r="FBH65" s="447"/>
      <c r="FBI65" s="447"/>
      <c r="FBJ65" s="447"/>
      <c r="FBK65" s="447"/>
      <c r="FBL65" s="447"/>
      <c r="FBM65" s="447"/>
      <c r="FBN65" s="447"/>
      <c r="FBO65" s="447"/>
      <c r="FBP65" s="447"/>
      <c r="FBQ65" s="447"/>
      <c r="FBR65" s="447"/>
      <c r="FBS65" s="447"/>
      <c r="FBT65" s="447"/>
      <c r="FBU65" s="447"/>
      <c r="FBV65" s="447"/>
      <c r="FBW65" s="447"/>
      <c r="FBX65" s="447"/>
      <c r="FBY65" s="447"/>
      <c r="FBZ65" s="447"/>
      <c r="FCA65" s="447"/>
      <c r="FCB65" s="447"/>
      <c r="FCC65" s="447"/>
      <c r="FCD65" s="447"/>
      <c r="FCE65" s="447"/>
      <c r="FCF65" s="447"/>
      <c r="FCG65" s="447"/>
      <c r="FCH65" s="447"/>
      <c r="FCI65" s="447"/>
      <c r="FCJ65" s="447"/>
      <c r="FCK65" s="447"/>
      <c r="FCL65" s="447"/>
      <c r="FCM65" s="447"/>
      <c r="FCN65" s="447"/>
      <c r="FCO65" s="447"/>
      <c r="FCP65" s="447"/>
      <c r="FCQ65" s="447"/>
      <c r="FCR65" s="447"/>
      <c r="FCS65" s="447"/>
      <c r="FCT65" s="447"/>
      <c r="FCU65" s="447"/>
      <c r="FCV65" s="447"/>
      <c r="FCW65" s="447"/>
      <c r="FCX65" s="447"/>
      <c r="FCY65" s="447"/>
      <c r="FCZ65" s="447"/>
      <c r="FDA65" s="447"/>
      <c r="FDB65" s="447"/>
      <c r="FDC65" s="447"/>
      <c r="FDD65" s="447"/>
      <c r="FDE65" s="447"/>
      <c r="FDF65" s="447"/>
      <c r="FDG65" s="447"/>
      <c r="FDH65" s="447"/>
      <c r="FDI65" s="447"/>
      <c r="FDJ65" s="447"/>
      <c r="FDK65" s="447"/>
      <c r="FDL65" s="447"/>
      <c r="FDM65" s="447"/>
      <c r="FDN65" s="447"/>
      <c r="FDO65" s="447"/>
      <c r="FDP65" s="447"/>
      <c r="FDQ65" s="447"/>
      <c r="FDR65" s="447"/>
      <c r="FDS65" s="447"/>
      <c r="FDT65" s="447"/>
      <c r="FDU65" s="447"/>
      <c r="FDV65" s="447"/>
      <c r="FDW65" s="447"/>
      <c r="FDX65" s="447"/>
      <c r="FDY65" s="447"/>
      <c r="FDZ65" s="447"/>
      <c r="FEA65" s="447"/>
      <c r="FEB65" s="447"/>
      <c r="FEC65" s="447"/>
      <c r="FED65" s="447"/>
      <c r="FEE65" s="447"/>
      <c r="FEF65" s="447"/>
      <c r="FEG65" s="447"/>
      <c r="FEH65" s="447"/>
      <c r="FEI65" s="447"/>
      <c r="FEJ65" s="447"/>
      <c r="FEK65" s="447"/>
      <c r="FEL65" s="447"/>
      <c r="FEM65" s="447"/>
      <c r="FEN65" s="447"/>
      <c r="FEO65" s="447"/>
      <c r="FEP65" s="447"/>
      <c r="FEQ65" s="447"/>
      <c r="FER65" s="447"/>
      <c r="FES65" s="447"/>
      <c r="FET65" s="447"/>
      <c r="FEU65" s="447"/>
      <c r="FEV65" s="447"/>
      <c r="FEW65" s="447"/>
      <c r="FEX65" s="447"/>
      <c r="FEY65" s="447"/>
      <c r="FEZ65" s="447"/>
      <c r="FFA65" s="447"/>
      <c r="FFB65" s="447"/>
      <c r="FFC65" s="447"/>
      <c r="FFD65" s="447"/>
      <c r="FFE65" s="447"/>
      <c r="FFF65" s="447"/>
      <c r="FFG65" s="447"/>
      <c r="FFH65" s="447"/>
      <c r="FFI65" s="447"/>
      <c r="FFJ65" s="447"/>
      <c r="FFK65" s="447"/>
      <c r="FFL65" s="447"/>
      <c r="FFM65" s="447"/>
      <c r="FFN65" s="447"/>
      <c r="FFO65" s="447"/>
      <c r="FFP65" s="447"/>
      <c r="FFQ65" s="447"/>
      <c r="FFR65" s="447"/>
      <c r="FFS65" s="447"/>
      <c r="FFT65" s="447"/>
      <c r="FFU65" s="447"/>
      <c r="FFV65" s="447"/>
      <c r="FFW65" s="447"/>
      <c r="FFX65" s="447"/>
      <c r="FFY65" s="447"/>
      <c r="FFZ65" s="447"/>
      <c r="FGA65" s="447"/>
      <c r="FGB65" s="447"/>
      <c r="FGC65" s="447"/>
      <c r="FGD65" s="447"/>
      <c r="FGE65" s="447"/>
      <c r="FGF65" s="447"/>
      <c r="FGG65" s="447"/>
      <c r="FGH65" s="447"/>
      <c r="FGI65" s="447"/>
      <c r="FGJ65" s="447"/>
      <c r="FGK65" s="447"/>
      <c r="FGL65" s="447"/>
      <c r="FGM65" s="447"/>
      <c r="FGN65" s="447"/>
      <c r="FGO65" s="447"/>
      <c r="FGP65" s="447"/>
      <c r="FGQ65" s="447"/>
      <c r="FGR65" s="447"/>
      <c r="FGS65" s="447"/>
      <c r="FGT65" s="447"/>
      <c r="FGU65" s="447"/>
      <c r="FGV65" s="447"/>
      <c r="FGW65" s="447"/>
      <c r="FGX65" s="447"/>
      <c r="FGY65" s="447"/>
      <c r="FGZ65" s="447"/>
      <c r="FHA65" s="447"/>
      <c r="FHB65" s="447"/>
      <c r="FHC65" s="447"/>
      <c r="FHD65" s="447"/>
      <c r="FHE65" s="447"/>
      <c r="FHF65" s="447"/>
      <c r="FHG65" s="447"/>
      <c r="FHH65" s="447"/>
      <c r="FHI65" s="447"/>
      <c r="FHJ65" s="447"/>
      <c r="FHK65" s="447"/>
      <c r="FHL65" s="447"/>
      <c r="FHM65" s="447"/>
      <c r="FHN65" s="447"/>
      <c r="FHO65" s="447"/>
      <c r="FHP65" s="447"/>
      <c r="FHQ65" s="447"/>
      <c r="FHR65" s="447"/>
      <c r="FHS65" s="447"/>
      <c r="FHT65" s="447"/>
      <c r="FHU65" s="447"/>
      <c r="FHV65" s="447"/>
      <c r="FHW65" s="447"/>
      <c r="FHX65" s="447"/>
      <c r="FHY65" s="447"/>
      <c r="FHZ65" s="447"/>
      <c r="FIA65" s="447"/>
      <c r="FIB65" s="447"/>
      <c r="FIC65" s="447"/>
      <c r="FID65" s="447"/>
      <c r="FIE65" s="447"/>
      <c r="FIF65" s="447"/>
      <c r="FIG65" s="447"/>
      <c r="FIH65" s="447"/>
      <c r="FII65" s="447"/>
      <c r="FIJ65" s="447"/>
      <c r="FIK65" s="447"/>
      <c r="FIL65" s="447"/>
      <c r="FIM65" s="447"/>
      <c r="FIN65" s="447"/>
      <c r="FIO65" s="447"/>
      <c r="FIP65" s="447"/>
      <c r="FIQ65" s="447"/>
      <c r="FIR65" s="447"/>
      <c r="FIS65" s="447"/>
      <c r="FIT65" s="447"/>
      <c r="FIU65" s="447"/>
      <c r="FIV65" s="447"/>
      <c r="FIW65" s="447"/>
      <c r="FIX65" s="447"/>
      <c r="FIY65" s="447"/>
      <c r="FIZ65" s="447"/>
      <c r="FJA65" s="447"/>
      <c r="FJB65" s="447"/>
      <c r="FJC65" s="447"/>
      <c r="FJD65" s="447"/>
      <c r="FJE65" s="447"/>
      <c r="FJF65" s="447"/>
      <c r="FJG65" s="447"/>
      <c r="FJH65" s="447"/>
      <c r="FJI65" s="447"/>
      <c r="FJJ65" s="447"/>
      <c r="FJK65" s="447"/>
      <c r="FJL65" s="447"/>
      <c r="FJM65" s="447"/>
      <c r="FJN65" s="447"/>
      <c r="FJO65" s="447"/>
      <c r="FJP65" s="447"/>
      <c r="FJQ65" s="447"/>
      <c r="FJR65" s="447"/>
      <c r="FJS65" s="447"/>
      <c r="FJT65" s="447"/>
      <c r="FJU65" s="447"/>
      <c r="FJV65" s="447"/>
      <c r="FJW65" s="447"/>
      <c r="FJX65" s="447"/>
      <c r="FJY65" s="447"/>
      <c r="FJZ65" s="447"/>
      <c r="FKA65" s="447"/>
      <c r="FKB65" s="447"/>
      <c r="FKC65" s="447"/>
      <c r="FKD65" s="447"/>
      <c r="FKE65" s="447"/>
      <c r="FKF65" s="447"/>
      <c r="FKG65" s="447"/>
      <c r="FKH65" s="447"/>
      <c r="FKI65" s="447"/>
      <c r="FKJ65" s="447"/>
      <c r="FKK65" s="447"/>
      <c r="FKL65" s="447"/>
      <c r="FKM65" s="447"/>
      <c r="FKN65" s="447"/>
      <c r="FKO65" s="447"/>
      <c r="FKP65" s="447"/>
      <c r="FKQ65" s="447"/>
      <c r="FKR65" s="447"/>
      <c r="FKS65" s="447"/>
      <c r="FKT65" s="447"/>
      <c r="FKU65" s="447"/>
      <c r="FKV65" s="447"/>
      <c r="FKW65" s="447"/>
      <c r="FKX65" s="447"/>
      <c r="FKY65" s="447"/>
      <c r="FKZ65" s="447"/>
      <c r="FLA65" s="447"/>
      <c r="FLB65" s="447"/>
      <c r="FLC65" s="447"/>
      <c r="FLD65" s="447"/>
      <c r="FLE65" s="447"/>
      <c r="FLF65" s="447"/>
      <c r="FLG65" s="447"/>
      <c r="FLH65" s="447"/>
      <c r="FLI65" s="447"/>
      <c r="FLJ65" s="447"/>
      <c r="FLK65" s="447"/>
      <c r="FLL65" s="447"/>
      <c r="FLM65" s="447"/>
      <c r="FLN65" s="447"/>
      <c r="FLO65" s="447"/>
      <c r="FLP65" s="447"/>
      <c r="FLQ65" s="447"/>
      <c r="FLR65" s="447"/>
      <c r="FLS65" s="447"/>
      <c r="FLT65" s="447"/>
      <c r="FLU65" s="447"/>
      <c r="FLV65" s="447"/>
      <c r="FLW65" s="447"/>
      <c r="FLX65" s="447"/>
      <c r="FLY65" s="447"/>
      <c r="FLZ65" s="447"/>
      <c r="FMA65" s="447"/>
      <c r="FMB65" s="447"/>
      <c r="FMC65" s="447"/>
      <c r="FMD65" s="447"/>
      <c r="FME65" s="447"/>
      <c r="FMF65" s="447"/>
      <c r="FMG65" s="447"/>
      <c r="FMH65" s="447"/>
      <c r="FMI65" s="447"/>
      <c r="FMJ65" s="447"/>
      <c r="FMK65" s="447"/>
      <c r="FML65" s="447"/>
      <c r="FMM65" s="447"/>
      <c r="FMN65" s="447"/>
      <c r="FMO65" s="447"/>
      <c r="FMP65" s="447"/>
      <c r="FMQ65" s="447"/>
      <c r="FMR65" s="447"/>
      <c r="FMS65" s="447"/>
      <c r="FMT65" s="447"/>
      <c r="FMU65" s="447"/>
      <c r="FMV65" s="447"/>
      <c r="FMW65" s="447"/>
      <c r="FMX65" s="447"/>
      <c r="FMY65" s="447"/>
      <c r="FMZ65" s="447"/>
      <c r="FNA65" s="447"/>
      <c r="FNB65" s="447"/>
      <c r="FNC65" s="447"/>
      <c r="FND65" s="447"/>
      <c r="FNE65" s="447"/>
      <c r="FNF65" s="447"/>
      <c r="FNG65" s="447"/>
      <c r="FNH65" s="447"/>
      <c r="FNI65" s="447"/>
      <c r="FNJ65" s="447"/>
      <c r="FNK65" s="447"/>
      <c r="FNL65" s="447"/>
      <c r="FNM65" s="447"/>
      <c r="FNN65" s="447"/>
      <c r="FNO65" s="447"/>
      <c r="FNP65" s="447"/>
      <c r="FNQ65" s="447"/>
      <c r="FNR65" s="447"/>
      <c r="FNS65" s="447"/>
      <c r="FNT65" s="447"/>
      <c r="FNU65" s="447"/>
      <c r="FNV65" s="447"/>
      <c r="FNW65" s="447"/>
      <c r="FNX65" s="447"/>
      <c r="FNY65" s="447"/>
      <c r="FNZ65" s="447"/>
      <c r="FOA65" s="447"/>
      <c r="FOB65" s="447"/>
      <c r="FOC65" s="447"/>
      <c r="FOD65" s="447"/>
      <c r="FOE65" s="447"/>
      <c r="FOF65" s="447"/>
      <c r="FOG65" s="447"/>
      <c r="FOH65" s="447"/>
      <c r="FOI65" s="447"/>
      <c r="FOJ65" s="447"/>
      <c r="FOK65" s="447"/>
      <c r="FOL65" s="447"/>
      <c r="FOM65" s="447"/>
      <c r="FON65" s="447"/>
      <c r="FOO65" s="447"/>
      <c r="FOP65" s="447"/>
      <c r="FOQ65" s="447"/>
      <c r="FOR65" s="447"/>
      <c r="FOS65" s="447"/>
      <c r="FOT65" s="447"/>
      <c r="FOU65" s="447"/>
      <c r="FOV65" s="447"/>
      <c r="FOW65" s="447"/>
      <c r="FOX65" s="447"/>
      <c r="FOY65" s="447"/>
      <c r="FOZ65" s="447"/>
      <c r="FPA65" s="447"/>
      <c r="FPB65" s="447"/>
      <c r="FPC65" s="447"/>
      <c r="FPD65" s="447"/>
      <c r="FPE65" s="447"/>
      <c r="FPF65" s="447"/>
      <c r="FPG65" s="447"/>
      <c r="FPH65" s="447"/>
      <c r="FPI65" s="447"/>
      <c r="FPJ65" s="447"/>
      <c r="FPK65" s="447"/>
      <c r="FPL65" s="447"/>
      <c r="FPM65" s="447"/>
      <c r="FPN65" s="447"/>
      <c r="FPO65" s="447"/>
      <c r="FPP65" s="447"/>
      <c r="FPQ65" s="447"/>
      <c r="FPR65" s="447"/>
      <c r="FPS65" s="447"/>
      <c r="FPT65" s="447"/>
      <c r="FPU65" s="447"/>
      <c r="FPV65" s="447"/>
      <c r="FPW65" s="447"/>
      <c r="FPX65" s="447"/>
      <c r="FPY65" s="447"/>
      <c r="FPZ65" s="447"/>
      <c r="FQA65" s="447"/>
      <c r="FQB65" s="447"/>
      <c r="FQC65" s="447"/>
      <c r="FQD65" s="447"/>
      <c r="FQE65" s="447"/>
      <c r="FQF65" s="447"/>
      <c r="FQG65" s="447"/>
      <c r="FQH65" s="447"/>
      <c r="FQI65" s="447"/>
      <c r="FQJ65" s="447"/>
      <c r="FQK65" s="447"/>
      <c r="FQL65" s="447"/>
      <c r="FQM65" s="447"/>
      <c r="FQN65" s="447"/>
      <c r="FQO65" s="447"/>
      <c r="FQP65" s="447"/>
      <c r="FQQ65" s="447"/>
      <c r="FQR65" s="447"/>
      <c r="FQS65" s="447"/>
      <c r="FQT65" s="447"/>
      <c r="FQU65" s="447"/>
      <c r="FQV65" s="447"/>
      <c r="FQW65" s="447"/>
      <c r="FQX65" s="447"/>
      <c r="FQY65" s="447"/>
      <c r="FQZ65" s="447"/>
      <c r="FRA65" s="447"/>
      <c r="FRB65" s="447"/>
      <c r="FRC65" s="447"/>
      <c r="FRD65" s="447"/>
      <c r="FRE65" s="447"/>
      <c r="FRF65" s="447"/>
      <c r="FRG65" s="447"/>
      <c r="FRH65" s="447"/>
      <c r="FRI65" s="447"/>
      <c r="FRJ65" s="447"/>
      <c r="FRK65" s="447"/>
      <c r="FRL65" s="447"/>
      <c r="FRM65" s="447"/>
      <c r="FRN65" s="447"/>
      <c r="FRO65" s="447"/>
      <c r="FRP65" s="447"/>
      <c r="FRQ65" s="447"/>
      <c r="FRR65" s="447"/>
      <c r="FRS65" s="447"/>
      <c r="FRT65" s="447"/>
      <c r="FRU65" s="447"/>
      <c r="FRV65" s="447"/>
      <c r="FRW65" s="447"/>
      <c r="FRX65" s="447"/>
      <c r="FRY65" s="447"/>
      <c r="FRZ65" s="447"/>
      <c r="FSA65" s="447"/>
      <c r="FSB65" s="447"/>
      <c r="FSC65" s="447"/>
      <c r="FSD65" s="447"/>
      <c r="FSE65" s="447"/>
      <c r="FSF65" s="447"/>
      <c r="FSG65" s="447"/>
      <c r="FSH65" s="447"/>
      <c r="FSI65" s="447"/>
      <c r="FSJ65" s="447"/>
      <c r="FSK65" s="447"/>
      <c r="FSL65" s="447"/>
      <c r="FSM65" s="447"/>
      <c r="FSN65" s="447"/>
      <c r="FSO65" s="447"/>
      <c r="FSP65" s="447"/>
      <c r="FSQ65" s="447"/>
      <c r="FSR65" s="447"/>
      <c r="FSS65" s="447"/>
      <c r="FST65" s="447"/>
      <c r="FSU65" s="447"/>
      <c r="FSV65" s="447"/>
      <c r="FSW65" s="447"/>
      <c r="FSX65" s="447"/>
      <c r="FSY65" s="447"/>
      <c r="FSZ65" s="447"/>
      <c r="FTA65" s="447"/>
      <c r="FTB65" s="447"/>
      <c r="FTC65" s="447"/>
      <c r="FTD65" s="447"/>
      <c r="FTE65" s="447"/>
      <c r="FTF65" s="447"/>
      <c r="FTG65" s="447"/>
      <c r="FTH65" s="447"/>
      <c r="FTI65" s="447"/>
      <c r="FTJ65" s="447"/>
      <c r="FTK65" s="447"/>
      <c r="FTL65" s="447"/>
      <c r="FTM65" s="447"/>
      <c r="FTN65" s="447"/>
      <c r="FTO65" s="447"/>
      <c r="FTP65" s="447"/>
      <c r="FTQ65" s="447"/>
      <c r="FTR65" s="447"/>
      <c r="FTS65" s="447"/>
      <c r="FTT65" s="447"/>
      <c r="FTU65" s="447"/>
      <c r="FTV65" s="447"/>
      <c r="FTW65" s="447"/>
      <c r="FTX65" s="447"/>
      <c r="FTY65" s="447"/>
      <c r="FTZ65" s="447"/>
      <c r="FUA65" s="447"/>
      <c r="FUB65" s="447"/>
      <c r="FUC65" s="447"/>
      <c r="FUD65" s="447"/>
      <c r="FUE65" s="447"/>
      <c r="FUF65" s="447"/>
      <c r="FUG65" s="447"/>
      <c r="FUH65" s="447"/>
      <c r="FUI65" s="447"/>
      <c r="FUJ65" s="447"/>
      <c r="FUK65" s="447"/>
      <c r="FUL65" s="447"/>
      <c r="FUM65" s="447"/>
      <c r="FUN65" s="447"/>
      <c r="FUO65" s="447"/>
      <c r="FUP65" s="447"/>
      <c r="FUQ65" s="447"/>
      <c r="FUR65" s="447"/>
      <c r="FUS65" s="447"/>
      <c r="FUT65" s="447"/>
      <c r="FUU65" s="447"/>
      <c r="FUV65" s="447"/>
      <c r="FUW65" s="447"/>
      <c r="FUX65" s="447"/>
      <c r="FUY65" s="447"/>
      <c r="FUZ65" s="447"/>
      <c r="FVA65" s="447"/>
      <c r="FVB65" s="447"/>
      <c r="FVC65" s="447"/>
      <c r="FVD65" s="447"/>
      <c r="FVE65" s="447"/>
      <c r="FVF65" s="447"/>
      <c r="FVG65" s="447"/>
      <c r="FVH65" s="447"/>
      <c r="FVI65" s="447"/>
      <c r="FVJ65" s="447"/>
      <c r="FVK65" s="447"/>
      <c r="FVL65" s="447"/>
      <c r="FVM65" s="447"/>
      <c r="FVN65" s="447"/>
      <c r="FVO65" s="447"/>
      <c r="FVP65" s="447"/>
      <c r="FVQ65" s="447"/>
      <c r="FVR65" s="447"/>
      <c r="FVS65" s="447"/>
      <c r="FVT65" s="447"/>
      <c r="FVU65" s="447"/>
      <c r="FVV65" s="447"/>
      <c r="FVW65" s="447"/>
      <c r="FVX65" s="447"/>
      <c r="FVY65" s="447"/>
      <c r="FVZ65" s="447"/>
      <c r="FWA65" s="447"/>
      <c r="FWB65" s="447"/>
      <c r="FWC65" s="447"/>
      <c r="FWD65" s="447"/>
      <c r="FWE65" s="447"/>
      <c r="FWF65" s="447"/>
      <c r="FWG65" s="447"/>
      <c r="FWH65" s="447"/>
      <c r="FWI65" s="447"/>
      <c r="FWJ65" s="447"/>
      <c r="FWK65" s="447"/>
      <c r="FWL65" s="447"/>
      <c r="FWM65" s="447"/>
      <c r="FWN65" s="447"/>
      <c r="FWO65" s="447"/>
      <c r="FWP65" s="447"/>
      <c r="FWQ65" s="447"/>
      <c r="FWR65" s="447"/>
      <c r="FWS65" s="447"/>
      <c r="FWT65" s="447"/>
      <c r="FWU65" s="447"/>
      <c r="FWV65" s="447"/>
      <c r="FWW65" s="447"/>
      <c r="FWX65" s="447"/>
      <c r="FWY65" s="447"/>
      <c r="FWZ65" s="447"/>
      <c r="FXA65" s="447"/>
      <c r="FXB65" s="447"/>
      <c r="FXC65" s="447"/>
      <c r="FXD65" s="447"/>
      <c r="FXE65" s="447"/>
      <c r="FXF65" s="447"/>
      <c r="FXG65" s="447"/>
      <c r="FXH65" s="447"/>
      <c r="FXI65" s="447"/>
      <c r="FXJ65" s="447"/>
      <c r="FXK65" s="447"/>
      <c r="FXL65" s="447"/>
      <c r="FXM65" s="447"/>
      <c r="FXN65" s="447"/>
      <c r="FXO65" s="447"/>
      <c r="FXP65" s="447"/>
      <c r="FXQ65" s="447"/>
      <c r="FXR65" s="447"/>
      <c r="FXS65" s="447"/>
      <c r="FXT65" s="447"/>
      <c r="FXU65" s="447"/>
      <c r="FXV65" s="447"/>
      <c r="FXW65" s="447"/>
      <c r="FXX65" s="447"/>
      <c r="FXY65" s="447"/>
      <c r="FXZ65" s="447"/>
      <c r="FYA65" s="447"/>
      <c r="FYB65" s="447"/>
      <c r="FYC65" s="447"/>
      <c r="FYD65" s="447"/>
      <c r="FYE65" s="447"/>
      <c r="FYF65" s="447"/>
      <c r="FYG65" s="447"/>
      <c r="FYH65" s="447"/>
      <c r="FYI65" s="447"/>
      <c r="FYJ65" s="447"/>
      <c r="FYK65" s="447"/>
      <c r="FYL65" s="447"/>
      <c r="FYM65" s="447"/>
      <c r="FYN65" s="447"/>
      <c r="FYO65" s="447"/>
      <c r="FYP65" s="447"/>
      <c r="FYQ65" s="447"/>
      <c r="FYR65" s="447"/>
      <c r="FYS65" s="447"/>
      <c r="FYT65" s="447"/>
      <c r="FYU65" s="447"/>
      <c r="FYV65" s="447"/>
      <c r="FYW65" s="447"/>
      <c r="FYX65" s="447"/>
      <c r="FYY65" s="447"/>
      <c r="FYZ65" s="447"/>
      <c r="FZA65" s="447"/>
      <c r="FZB65" s="447"/>
      <c r="FZC65" s="447"/>
      <c r="FZD65" s="447"/>
      <c r="FZE65" s="447"/>
      <c r="FZF65" s="447"/>
      <c r="FZG65" s="447"/>
      <c r="FZH65" s="447"/>
      <c r="FZI65" s="447"/>
      <c r="FZJ65" s="447"/>
      <c r="FZK65" s="447"/>
      <c r="FZL65" s="447"/>
      <c r="FZM65" s="447"/>
      <c r="FZN65" s="447"/>
      <c r="FZO65" s="447"/>
      <c r="FZP65" s="447"/>
      <c r="FZQ65" s="447"/>
      <c r="FZR65" s="447"/>
      <c r="FZS65" s="447"/>
      <c r="FZT65" s="447"/>
      <c r="FZU65" s="447"/>
      <c r="FZV65" s="447"/>
      <c r="FZW65" s="447"/>
      <c r="FZX65" s="447"/>
      <c r="FZY65" s="447"/>
      <c r="FZZ65" s="447"/>
      <c r="GAA65" s="447"/>
      <c r="GAB65" s="447"/>
      <c r="GAC65" s="447"/>
      <c r="GAD65" s="447"/>
      <c r="GAE65" s="447"/>
      <c r="GAF65" s="447"/>
      <c r="GAG65" s="447"/>
      <c r="GAH65" s="447"/>
      <c r="GAI65" s="447"/>
      <c r="GAJ65" s="447"/>
      <c r="GAK65" s="447"/>
      <c r="GAL65" s="447"/>
      <c r="GAM65" s="447"/>
      <c r="GAN65" s="447"/>
      <c r="GAO65" s="447"/>
      <c r="GAP65" s="447"/>
      <c r="GAQ65" s="447"/>
      <c r="GAR65" s="447"/>
      <c r="GAS65" s="447"/>
      <c r="GAT65" s="447"/>
      <c r="GAU65" s="447"/>
      <c r="GAV65" s="447"/>
      <c r="GAW65" s="447"/>
      <c r="GAX65" s="447"/>
      <c r="GAY65" s="447"/>
      <c r="GAZ65" s="447"/>
      <c r="GBA65" s="447"/>
      <c r="GBB65" s="447"/>
      <c r="GBC65" s="447"/>
      <c r="GBD65" s="447"/>
      <c r="GBE65" s="447"/>
      <c r="GBF65" s="447"/>
      <c r="GBG65" s="447"/>
      <c r="GBH65" s="447"/>
      <c r="GBI65" s="447"/>
      <c r="GBJ65" s="447"/>
      <c r="GBK65" s="447"/>
      <c r="GBL65" s="447"/>
      <c r="GBM65" s="447"/>
      <c r="GBN65" s="447"/>
      <c r="GBO65" s="447"/>
      <c r="GBP65" s="447"/>
      <c r="GBQ65" s="447"/>
      <c r="GBR65" s="447"/>
      <c r="GBS65" s="447"/>
      <c r="GBT65" s="447"/>
      <c r="GBU65" s="447"/>
      <c r="GBV65" s="447"/>
      <c r="GBW65" s="447"/>
      <c r="GBX65" s="447"/>
      <c r="GBY65" s="447"/>
      <c r="GBZ65" s="447"/>
      <c r="GCA65" s="447"/>
      <c r="GCB65" s="447"/>
      <c r="GCC65" s="447"/>
      <c r="GCD65" s="447"/>
      <c r="GCE65" s="447"/>
      <c r="GCF65" s="447"/>
      <c r="GCG65" s="447"/>
      <c r="GCH65" s="447"/>
      <c r="GCI65" s="447"/>
      <c r="GCJ65" s="447"/>
      <c r="GCK65" s="447"/>
      <c r="GCL65" s="447"/>
      <c r="GCM65" s="447"/>
      <c r="GCN65" s="447"/>
      <c r="GCO65" s="447"/>
      <c r="GCP65" s="447"/>
      <c r="GCQ65" s="447"/>
      <c r="GCR65" s="447"/>
      <c r="GCS65" s="447"/>
      <c r="GCT65" s="447"/>
      <c r="GCU65" s="447"/>
      <c r="GCV65" s="447"/>
      <c r="GCW65" s="447"/>
      <c r="GCX65" s="447"/>
      <c r="GCY65" s="447"/>
      <c r="GCZ65" s="447"/>
      <c r="GDA65" s="447"/>
      <c r="GDB65" s="447"/>
      <c r="GDC65" s="447"/>
      <c r="GDD65" s="447"/>
      <c r="GDE65" s="447"/>
      <c r="GDF65" s="447"/>
      <c r="GDG65" s="447"/>
      <c r="GDH65" s="447"/>
      <c r="GDI65" s="447"/>
      <c r="GDJ65" s="447"/>
      <c r="GDK65" s="447"/>
      <c r="GDL65" s="447"/>
      <c r="GDM65" s="447"/>
      <c r="GDN65" s="447"/>
      <c r="GDO65" s="447"/>
      <c r="GDP65" s="447"/>
      <c r="GDQ65" s="447"/>
      <c r="GDR65" s="447"/>
      <c r="GDS65" s="447"/>
      <c r="GDT65" s="447"/>
      <c r="GDU65" s="447"/>
      <c r="GDV65" s="447"/>
      <c r="GDW65" s="447"/>
      <c r="GDX65" s="447"/>
      <c r="GDY65" s="447"/>
      <c r="GDZ65" s="447"/>
      <c r="GEA65" s="447"/>
      <c r="GEB65" s="447"/>
      <c r="GEC65" s="447"/>
      <c r="GED65" s="447"/>
      <c r="GEE65" s="447"/>
      <c r="GEF65" s="447"/>
      <c r="GEG65" s="447"/>
      <c r="GEH65" s="447"/>
      <c r="GEI65" s="447"/>
      <c r="GEJ65" s="447"/>
      <c r="GEK65" s="447"/>
      <c r="GEL65" s="447"/>
      <c r="GEM65" s="447"/>
      <c r="GEN65" s="447"/>
      <c r="GEO65" s="447"/>
      <c r="GEP65" s="447"/>
      <c r="GEQ65" s="447"/>
      <c r="GER65" s="447"/>
      <c r="GES65" s="447"/>
      <c r="GET65" s="447"/>
      <c r="GEU65" s="447"/>
      <c r="GEV65" s="447"/>
      <c r="GEW65" s="447"/>
      <c r="GEX65" s="447"/>
      <c r="GEY65" s="447"/>
      <c r="GEZ65" s="447"/>
      <c r="GFA65" s="447"/>
      <c r="GFB65" s="447"/>
      <c r="GFC65" s="447"/>
      <c r="GFD65" s="447"/>
      <c r="GFE65" s="447"/>
      <c r="GFF65" s="447"/>
      <c r="GFG65" s="447"/>
      <c r="GFH65" s="447"/>
      <c r="GFI65" s="447"/>
      <c r="GFJ65" s="447"/>
      <c r="GFK65" s="447"/>
      <c r="GFL65" s="447"/>
      <c r="GFM65" s="447"/>
      <c r="GFN65" s="447"/>
      <c r="GFO65" s="447"/>
      <c r="GFP65" s="447"/>
      <c r="GFQ65" s="447"/>
      <c r="GFR65" s="447"/>
      <c r="GFS65" s="447"/>
      <c r="GFT65" s="447"/>
      <c r="GFU65" s="447"/>
      <c r="GFV65" s="447"/>
      <c r="GFW65" s="447"/>
      <c r="GFX65" s="447"/>
      <c r="GFY65" s="447"/>
      <c r="GFZ65" s="447"/>
      <c r="GGA65" s="447"/>
      <c r="GGB65" s="447"/>
      <c r="GGC65" s="447"/>
      <c r="GGD65" s="447"/>
      <c r="GGE65" s="447"/>
      <c r="GGF65" s="447"/>
      <c r="GGG65" s="447"/>
      <c r="GGH65" s="447"/>
      <c r="GGI65" s="447"/>
      <c r="GGJ65" s="447"/>
      <c r="GGK65" s="447"/>
      <c r="GGL65" s="447"/>
      <c r="GGM65" s="447"/>
      <c r="GGN65" s="447"/>
      <c r="GGO65" s="447"/>
      <c r="GGP65" s="447"/>
      <c r="GGQ65" s="447"/>
      <c r="GGR65" s="447"/>
      <c r="GGS65" s="447"/>
      <c r="GGT65" s="447"/>
      <c r="GGU65" s="447"/>
      <c r="GGV65" s="447"/>
      <c r="GGW65" s="447"/>
      <c r="GGX65" s="447"/>
      <c r="GGY65" s="447"/>
      <c r="GGZ65" s="447"/>
      <c r="GHA65" s="447"/>
      <c r="GHB65" s="447"/>
      <c r="GHC65" s="447"/>
      <c r="GHD65" s="447"/>
      <c r="GHE65" s="447"/>
      <c r="GHF65" s="447"/>
      <c r="GHG65" s="447"/>
      <c r="GHH65" s="447"/>
      <c r="GHI65" s="447"/>
      <c r="GHJ65" s="447"/>
      <c r="GHK65" s="447"/>
      <c r="GHL65" s="447"/>
      <c r="GHM65" s="447"/>
      <c r="GHN65" s="447"/>
      <c r="GHO65" s="447"/>
      <c r="GHP65" s="447"/>
      <c r="GHQ65" s="447"/>
      <c r="GHR65" s="447"/>
      <c r="GHS65" s="447"/>
      <c r="GHT65" s="447"/>
      <c r="GHU65" s="447"/>
      <c r="GHV65" s="447"/>
      <c r="GHW65" s="447"/>
      <c r="GHX65" s="447"/>
      <c r="GHY65" s="447"/>
      <c r="GHZ65" s="447"/>
      <c r="GIA65" s="447"/>
      <c r="GIB65" s="447"/>
      <c r="GIC65" s="447"/>
      <c r="GID65" s="447"/>
      <c r="GIE65" s="447"/>
      <c r="GIF65" s="447"/>
      <c r="GIG65" s="447"/>
      <c r="GIH65" s="447"/>
      <c r="GII65" s="447"/>
      <c r="GIJ65" s="447"/>
      <c r="GIK65" s="447"/>
      <c r="GIL65" s="447"/>
      <c r="GIM65" s="447"/>
      <c r="GIN65" s="447"/>
      <c r="GIO65" s="447"/>
      <c r="GIP65" s="447"/>
      <c r="GIQ65" s="447"/>
      <c r="GIR65" s="447"/>
      <c r="GIS65" s="447"/>
      <c r="GIT65" s="447"/>
      <c r="GIU65" s="447"/>
      <c r="GIV65" s="447"/>
      <c r="GIW65" s="447"/>
      <c r="GIX65" s="447"/>
      <c r="GIY65" s="447"/>
      <c r="GIZ65" s="447"/>
      <c r="GJA65" s="447"/>
      <c r="GJB65" s="447"/>
      <c r="GJC65" s="447"/>
      <c r="GJD65" s="447"/>
      <c r="GJE65" s="447"/>
      <c r="GJF65" s="447"/>
      <c r="GJG65" s="447"/>
      <c r="GJH65" s="447"/>
      <c r="GJI65" s="447"/>
      <c r="GJJ65" s="447"/>
      <c r="GJK65" s="447"/>
      <c r="GJL65" s="447"/>
      <c r="GJM65" s="447"/>
      <c r="GJN65" s="447"/>
      <c r="GJO65" s="447"/>
      <c r="GJP65" s="447"/>
      <c r="GJQ65" s="447"/>
      <c r="GJR65" s="447"/>
      <c r="GJS65" s="447"/>
      <c r="GJT65" s="447"/>
      <c r="GJU65" s="447"/>
      <c r="GJV65" s="447"/>
      <c r="GJW65" s="447"/>
      <c r="GJX65" s="447"/>
      <c r="GJY65" s="447"/>
      <c r="GJZ65" s="447"/>
      <c r="GKA65" s="447"/>
      <c r="GKB65" s="447"/>
      <c r="GKC65" s="447"/>
      <c r="GKD65" s="447"/>
      <c r="GKE65" s="447"/>
      <c r="GKF65" s="447"/>
      <c r="GKG65" s="447"/>
      <c r="GKH65" s="447"/>
      <c r="GKI65" s="447"/>
      <c r="GKJ65" s="447"/>
      <c r="GKK65" s="447"/>
      <c r="GKL65" s="447"/>
      <c r="GKM65" s="447"/>
      <c r="GKN65" s="447"/>
      <c r="GKO65" s="447"/>
      <c r="GKP65" s="447"/>
      <c r="GKQ65" s="447"/>
      <c r="GKR65" s="447"/>
      <c r="GKS65" s="447"/>
      <c r="GKT65" s="447"/>
      <c r="GKU65" s="447"/>
      <c r="GKV65" s="447"/>
      <c r="GKW65" s="447"/>
      <c r="GKX65" s="447"/>
      <c r="GKY65" s="447"/>
      <c r="GKZ65" s="447"/>
      <c r="GLA65" s="447"/>
      <c r="GLB65" s="447"/>
      <c r="GLC65" s="447"/>
      <c r="GLD65" s="447"/>
      <c r="GLE65" s="447"/>
      <c r="GLF65" s="447"/>
      <c r="GLG65" s="447"/>
      <c r="GLH65" s="447"/>
      <c r="GLI65" s="447"/>
      <c r="GLJ65" s="447"/>
      <c r="GLK65" s="447"/>
      <c r="GLL65" s="447"/>
      <c r="GLM65" s="447"/>
      <c r="GLN65" s="447"/>
      <c r="GLO65" s="447"/>
      <c r="GLP65" s="447"/>
      <c r="GLQ65" s="447"/>
      <c r="GLR65" s="447"/>
      <c r="GLS65" s="447"/>
      <c r="GLT65" s="447"/>
      <c r="GLU65" s="447"/>
      <c r="GLV65" s="447"/>
      <c r="GLW65" s="447"/>
      <c r="GLX65" s="447"/>
      <c r="GLY65" s="447"/>
      <c r="GLZ65" s="447"/>
      <c r="GMA65" s="447"/>
      <c r="GMB65" s="447"/>
      <c r="GMC65" s="447"/>
      <c r="GMD65" s="447"/>
      <c r="GME65" s="447"/>
      <c r="GMF65" s="447"/>
      <c r="GMG65" s="447"/>
      <c r="GMH65" s="447"/>
      <c r="GMI65" s="447"/>
      <c r="GMJ65" s="447"/>
      <c r="GMK65" s="447"/>
      <c r="GML65" s="447"/>
      <c r="GMM65" s="447"/>
      <c r="GMN65" s="447"/>
      <c r="GMO65" s="447"/>
      <c r="GMP65" s="447"/>
      <c r="GMQ65" s="447"/>
      <c r="GMR65" s="447"/>
      <c r="GMS65" s="447"/>
      <c r="GMT65" s="447"/>
      <c r="GMU65" s="447"/>
      <c r="GMV65" s="447"/>
      <c r="GMW65" s="447"/>
      <c r="GMX65" s="447"/>
      <c r="GMY65" s="447"/>
      <c r="GMZ65" s="447"/>
      <c r="GNA65" s="447"/>
      <c r="GNB65" s="447"/>
      <c r="GNC65" s="447"/>
      <c r="GND65" s="447"/>
      <c r="GNE65" s="447"/>
      <c r="GNF65" s="447"/>
      <c r="GNG65" s="447"/>
      <c r="GNH65" s="447"/>
      <c r="GNI65" s="447"/>
      <c r="GNJ65" s="447"/>
      <c r="GNK65" s="447"/>
      <c r="GNL65" s="447"/>
      <c r="GNM65" s="447"/>
      <c r="GNN65" s="447"/>
      <c r="GNO65" s="447"/>
      <c r="GNP65" s="447"/>
      <c r="GNQ65" s="447"/>
      <c r="GNR65" s="447"/>
      <c r="GNS65" s="447"/>
      <c r="GNT65" s="447"/>
      <c r="GNU65" s="447"/>
      <c r="GNV65" s="447"/>
      <c r="GNW65" s="447"/>
      <c r="GNX65" s="447"/>
      <c r="GNY65" s="447"/>
      <c r="GNZ65" s="447"/>
      <c r="GOA65" s="447"/>
      <c r="GOB65" s="447"/>
      <c r="GOC65" s="447"/>
      <c r="GOD65" s="447"/>
      <c r="GOE65" s="447"/>
      <c r="GOF65" s="447"/>
      <c r="GOG65" s="447"/>
      <c r="GOH65" s="447"/>
      <c r="GOI65" s="447"/>
      <c r="GOJ65" s="447"/>
      <c r="GOK65" s="447"/>
      <c r="GOL65" s="447"/>
      <c r="GOM65" s="447"/>
      <c r="GON65" s="447"/>
      <c r="GOO65" s="447"/>
      <c r="GOP65" s="447"/>
      <c r="GOQ65" s="447"/>
      <c r="GOR65" s="447"/>
      <c r="GOS65" s="447"/>
      <c r="GOT65" s="447"/>
      <c r="GOU65" s="447"/>
      <c r="GOV65" s="447"/>
      <c r="GOW65" s="447"/>
      <c r="GOX65" s="447"/>
      <c r="GOY65" s="447"/>
      <c r="GOZ65" s="447"/>
      <c r="GPA65" s="447"/>
      <c r="GPB65" s="447"/>
      <c r="GPC65" s="447"/>
      <c r="GPD65" s="447"/>
      <c r="GPE65" s="447"/>
      <c r="GPF65" s="447"/>
      <c r="GPG65" s="447"/>
      <c r="GPH65" s="447"/>
      <c r="GPI65" s="447"/>
      <c r="GPJ65" s="447"/>
      <c r="GPK65" s="447"/>
      <c r="GPL65" s="447"/>
      <c r="GPM65" s="447"/>
      <c r="GPN65" s="447"/>
      <c r="GPO65" s="447"/>
      <c r="GPP65" s="447"/>
      <c r="GPQ65" s="447"/>
      <c r="GPR65" s="447"/>
      <c r="GPS65" s="447"/>
      <c r="GPT65" s="447"/>
      <c r="GPU65" s="447"/>
      <c r="GPV65" s="447"/>
      <c r="GPW65" s="447"/>
      <c r="GPX65" s="447"/>
      <c r="GPY65" s="447"/>
      <c r="GPZ65" s="447"/>
      <c r="GQA65" s="447"/>
      <c r="GQB65" s="447"/>
      <c r="GQC65" s="447"/>
      <c r="GQD65" s="447"/>
      <c r="GQE65" s="447"/>
      <c r="GQF65" s="447"/>
      <c r="GQG65" s="447"/>
      <c r="GQH65" s="447"/>
      <c r="GQI65" s="447"/>
      <c r="GQJ65" s="447"/>
      <c r="GQK65" s="447"/>
      <c r="GQL65" s="447"/>
      <c r="GQM65" s="447"/>
      <c r="GQN65" s="447"/>
      <c r="GQO65" s="447"/>
      <c r="GQP65" s="447"/>
      <c r="GQQ65" s="447"/>
      <c r="GQR65" s="447"/>
      <c r="GQS65" s="447"/>
      <c r="GQT65" s="447"/>
      <c r="GQU65" s="447"/>
      <c r="GQV65" s="447"/>
      <c r="GQW65" s="447"/>
      <c r="GQX65" s="447"/>
      <c r="GQY65" s="447"/>
      <c r="GQZ65" s="447"/>
      <c r="GRA65" s="447"/>
      <c r="GRB65" s="447"/>
      <c r="GRC65" s="447"/>
      <c r="GRD65" s="447"/>
      <c r="GRE65" s="447"/>
      <c r="GRF65" s="447"/>
      <c r="GRG65" s="447"/>
      <c r="GRH65" s="447"/>
      <c r="GRI65" s="447"/>
      <c r="GRJ65" s="447"/>
      <c r="GRK65" s="447"/>
      <c r="GRL65" s="447"/>
      <c r="GRM65" s="447"/>
      <c r="GRN65" s="447"/>
      <c r="GRO65" s="447"/>
      <c r="GRP65" s="447"/>
      <c r="GRQ65" s="447"/>
      <c r="GRR65" s="447"/>
      <c r="GRS65" s="447"/>
      <c r="GRT65" s="447"/>
      <c r="GRU65" s="447"/>
      <c r="GRV65" s="447"/>
      <c r="GRW65" s="447"/>
      <c r="GRX65" s="447"/>
      <c r="GRY65" s="447"/>
      <c r="GRZ65" s="447"/>
      <c r="GSA65" s="447"/>
      <c r="GSB65" s="447"/>
      <c r="GSC65" s="447"/>
      <c r="GSD65" s="447"/>
      <c r="GSE65" s="447"/>
      <c r="GSF65" s="447"/>
      <c r="GSG65" s="447"/>
      <c r="GSH65" s="447"/>
      <c r="GSI65" s="447"/>
      <c r="GSJ65" s="447"/>
      <c r="GSK65" s="447"/>
      <c r="GSL65" s="447"/>
      <c r="GSM65" s="447"/>
      <c r="GSN65" s="447"/>
      <c r="GSO65" s="447"/>
      <c r="GSP65" s="447"/>
      <c r="GSQ65" s="447"/>
      <c r="GSR65" s="447"/>
      <c r="GSS65" s="447"/>
      <c r="GST65" s="447"/>
      <c r="GSU65" s="447"/>
      <c r="GSV65" s="447"/>
      <c r="GSW65" s="447"/>
      <c r="GSX65" s="447"/>
      <c r="GSY65" s="447"/>
      <c r="GSZ65" s="447"/>
      <c r="GTA65" s="447"/>
      <c r="GTB65" s="447"/>
      <c r="GTC65" s="447"/>
      <c r="GTD65" s="447"/>
      <c r="GTE65" s="447"/>
      <c r="GTF65" s="447"/>
      <c r="GTG65" s="447"/>
      <c r="GTH65" s="447"/>
      <c r="GTI65" s="447"/>
      <c r="GTJ65" s="447"/>
      <c r="GTK65" s="447"/>
      <c r="GTL65" s="447"/>
      <c r="GTM65" s="447"/>
      <c r="GTN65" s="447"/>
      <c r="GTO65" s="447"/>
      <c r="GTP65" s="447"/>
      <c r="GTQ65" s="447"/>
      <c r="GTR65" s="447"/>
      <c r="GTS65" s="447"/>
      <c r="GTT65" s="447"/>
      <c r="GTU65" s="447"/>
      <c r="GTV65" s="447"/>
      <c r="GTW65" s="447"/>
      <c r="GTX65" s="447"/>
      <c r="GTY65" s="447"/>
      <c r="GTZ65" s="447"/>
      <c r="GUA65" s="447"/>
      <c r="GUB65" s="447"/>
      <c r="GUC65" s="447"/>
      <c r="GUD65" s="447"/>
      <c r="GUE65" s="447"/>
      <c r="GUF65" s="447"/>
      <c r="GUG65" s="447"/>
      <c r="GUH65" s="447"/>
      <c r="GUI65" s="447"/>
      <c r="GUJ65" s="447"/>
      <c r="GUK65" s="447"/>
      <c r="GUL65" s="447"/>
      <c r="GUM65" s="447"/>
      <c r="GUN65" s="447"/>
      <c r="GUO65" s="447"/>
      <c r="GUP65" s="447"/>
      <c r="GUQ65" s="447"/>
      <c r="GUR65" s="447"/>
      <c r="GUS65" s="447"/>
      <c r="GUT65" s="447"/>
      <c r="GUU65" s="447"/>
      <c r="GUV65" s="447"/>
      <c r="GUW65" s="447"/>
      <c r="GUX65" s="447"/>
      <c r="GUY65" s="447"/>
      <c r="GUZ65" s="447"/>
      <c r="GVA65" s="447"/>
      <c r="GVB65" s="447"/>
      <c r="GVC65" s="447"/>
      <c r="GVD65" s="447"/>
      <c r="GVE65" s="447"/>
      <c r="GVF65" s="447"/>
      <c r="GVG65" s="447"/>
      <c r="GVH65" s="447"/>
      <c r="GVI65" s="447"/>
      <c r="GVJ65" s="447"/>
      <c r="GVK65" s="447"/>
      <c r="GVL65" s="447"/>
      <c r="GVM65" s="447"/>
      <c r="GVN65" s="447"/>
      <c r="GVO65" s="447"/>
      <c r="GVP65" s="447"/>
      <c r="GVQ65" s="447"/>
      <c r="GVR65" s="447"/>
      <c r="GVS65" s="447"/>
      <c r="GVT65" s="447"/>
      <c r="GVU65" s="447"/>
      <c r="GVV65" s="447"/>
      <c r="GVW65" s="447"/>
      <c r="GVX65" s="447"/>
      <c r="GVY65" s="447"/>
      <c r="GVZ65" s="447"/>
      <c r="GWA65" s="447"/>
      <c r="GWB65" s="447"/>
      <c r="GWC65" s="447"/>
      <c r="GWD65" s="447"/>
      <c r="GWE65" s="447"/>
      <c r="GWF65" s="447"/>
      <c r="GWG65" s="447"/>
      <c r="GWH65" s="447"/>
      <c r="GWI65" s="447"/>
      <c r="GWJ65" s="447"/>
      <c r="GWK65" s="447"/>
      <c r="GWL65" s="447"/>
      <c r="GWM65" s="447"/>
      <c r="GWN65" s="447"/>
      <c r="GWO65" s="447"/>
      <c r="GWP65" s="447"/>
      <c r="GWQ65" s="447"/>
      <c r="GWR65" s="447"/>
      <c r="GWS65" s="447"/>
      <c r="GWT65" s="447"/>
      <c r="GWU65" s="447"/>
      <c r="GWV65" s="447"/>
      <c r="GWW65" s="447"/>
      <c r="GWX65" s="447"/>
      <c r="GWY65" s="447"/>
      <c r="GWZ65" s="447"/>
      <c r="GXA65" s="447"/>
      <c r="GXB65" s="447"/>
      <c r="GXC65" s="447"/>
      <c r="GXD65" s="447"/>
      <c r="GXE65" s="447"/>
      <c r="GXF65" s="447"/>
      <c r="GXG65" s="447"/>
      <c r="GXH65" s="447"/>
      <c r="GXI65" s="447"/>
      <c r="GXJ65" s="447"/>
      <c r="GXK65" s="447"/>
      <c r="GXL65" s="447"/>
      <c r="GXM65" s="447"/>
      <c r="GXN65" s="447"/>
      <c r="GXO65" s="447"/>
      <c r="GXP65" s="447"/>
      <c r="GXQ65" s="447"/>
      <c r="GXR65" s="447"/>
      <c r="GXS65" s="447"/>
      <c r="GXT65" s="447"/>
      <c r="GXU65" s="447"/>
      <c r="GXV65" s="447"/>
      <c r="GXW65" s="447"/>
      <c r="GXX65" s="447"/>
      <c r="GXY65" s="447"/>
      <c r="GXZ65" s="447"/>
      <c r="GYA65" s="447"/>
      <c r="GYB65" s="447"/>
      <c r="GYC65" s="447"/>
      <c r="GYD65" s="447"/>
      <c r="GYE65" s="447"/>
      <c r="GYF65" s="447"/>
      <c r="GYG65" s="447"/>
      <c r="GYH65" s="447"/>
      <c r="GYI65" s="447"/>
      <c r="GYJ65" s="447"/>
      <c r="GYK65" s="447"/>
      <c r="GYL65" s="447"/>
      <c r="GYM65" s="447"/>
      <c r="GYN65" s="447"/>
      <c r="GYO65" s="447"/>
      <c r="GYP65" s="447"/>
      <c r="GYQ65" s="447"/>
      <c r="GYR65" s="447"/>
      <c r="GYS65" s="447"/>
      <c r="GYT65" s="447"/>
      <c r="GYU65" s="447"/>
      <c r="GYV65" s="447"/>
      <c r="GYW65" s="447"/>
      <c r="GYX65" s="447"/>
      <c r="GYY65" s="447"/>
      <c r="GYZ65" s="447"/>
      <c r="GZA65" s="447"/>
      <c r="GZB65" s="447"/>
      <c r="GZC65" s="447"/>
      <c r="GZD65" s="447"/>
      <c r="GZE65" s="447"/>
      <c r="GZF65" s="447"/>
      <c r="GZG65" s="447"/>
      <c r="GZH65" s="447"/>
      <c r="GZI65" s="447"/>
      <c r="GZJ65" s="447"/>
      <c r="GZK65" s="447"/>
      <c r="GZL65" s="447"/>
      <c r="GZM65" s="447"/>
      <c r="GZN65" s="447"/>
      <c r="GZO65" s="447"/>
      <c r="GZP65" s="447"/>
      <c r="GZQ65" s="447"/>
      <c r="GZR65" s="447"/>
      <c r="GZS65" s="447"/>
      <c r="GZT65" s="447"/>
      <c r="GZU65" s="447"/>
      <c r="GZV65" s="447"/>
      <c r="GZW65" s="447"/>
      <c r="GZX65" s="447"/>
      <c r="GZY65" s="447"/>
      <c r="GZZ65" s="447"/>
      <c r="HAA65" s="447"/>
      <c r="HAB65" s="447"/>
      <c r="HAC65" s="447"/>
      <c r="HAD65" s="447"/>
      <c r="HAE65" s="447"/>
      <c r="HAF65" s="447"/>
      <c r="HAG65" s="447"/>
      <c r="HAH65" s="447"/>
      <c r="HAI65" s="447"/>
      <c r="HAJ65" s="447"/>
      <c r="HAK65" s="447"/>
      <c r="HAL65" s="447"/>
      <c r="HAM65" s="447"/>
      <c r="HAN65" s="447"/>
      <c r="HAO65" s="447"/>
      <c r="HAP65" s="447"/>
      <c r="HAQ65" s="447"/>
      <c r="HAR65" s="447"/>
      <c r="HAS65" s="447"/>
      <c r="HAT65" s="447"/>
      <c r="HAU65" s="447"/>
      <c r="HAV65" s="447"/>
      <c r="HAW65" s="447"/>
      <c r="HAX65" s="447"/>
      <c r="HAY65" s="447"/>
      <c r="HAZ65" s="447"/>
      <c r="HBA65" s="447"/>
      <c r="HBB65" s="447"/>
      <c r="HBC65" s="447"/>
      <c r="HBD65" s="447"/>
      <c r="HBE65" s="447"/>
      <c r="HBF65" s="447"/>
      <c r="HBG65" s="447"/>
      <c r="HBH65" s="447"/>
      <c r="HBI65" s="447"/>
      <c r="HBJ65" s="447"/>
      <c r="HBK65" s="447"/>
      <c r="HBL65" s="447"/>
      <c r="HBM65" s="447"/>
      <c r="HBN65" s="447"/>
      <c r="HBO65" s="447"/>
      <c r="HBP65" s="447"/>
      <c r="HBQ65" s="447"/>
      <c r="HBR65" s="447"/>
      <c r="HBS65" s="447"/>
      <c r="HBT65" s="447"/>
      <c r="HBU65" s="447"/>
      <c r="HBV65" s="447"/>
      <c r="HBW65" s="447"/>
      <c r="HBX65" s="447"/>
      <c r="HBY65" s="447"/>
      <c r="HBZ65" s="447"/>
      <c r="HCA65" s="447"/>
      <c r="HCB65" s="447"/>
      <c r="HCC65" s="447"/>
      <c r="HCD65" s="447"/>
      <c r="HCE65" s="447"/>
      <c r="HCF65" s="447"/>
      <c r="HCG65" s="447"/>
      <c r="HCH65" s="447"/>
      <c r="HCI65" s="447"/>
      <c r="HCJ65" s="447"/>
      <c r="HCK65" s="447"/>
      <c r="HCL65" s="447"/>
      <c r="HCM65" s="447"/>
      <c r="HCN65" s="447"/>
      <c r="HCO65" s="447"/>
      <c r="HCP65" s="447"/>
      <c r="HCQ65" s="447"/>
      <c r="HCR65" s="447"/>
      <c r="HCS65" s="447"/>
      <c r="HCT65" s="447"/>
      <c r="HCU65" s="447"/>
      <c r="HCV65" s="447"/>
      <c r="HCW65" s="447"/>
      <c r="HCX65" s="447"/>
      <c r="HCY65" s="447"/>
      <c r="HCZ65" s="447"/>
      <c r="HDA65" s="447"/>
      <c r="HDB65" s="447"/>
      <c r="HDC65" s="447"/>
      <c r="HDD65" s="447"/>
      <c r="HDE65" s="447"/>
      <c r="HDF65" s="447"/>
      <c r="HDG65" s="447"/>
      <c r="HDH65" s="447"/>
      <c r="HDI65" s="447"/>
      <c r="HDJ65" s="447"/>
      <c r="HDK65" s="447"/>
      <c r="HDL65" s="447"/>
      <c r="HDM65" s="447"/>
      <c r="HDN65" s="447"/>
      <c r="HDO65" s="447"/>
      <c r="HDP65" s="447"/>
      <c r="HDQ65" s="447"/>
      <c r="HDR65" s="447"/>
      <c r="HDS65" s="447"/>
      <c r="HDT65" s="447"/>
      <c r="HDU65" s="447"/>
      <c r="HDV65" s="447"/>
      <c r="HDW65" s="447"/>
      <c r="HDX65" s="447"/>
      <c r="HDY65" s="447"/>
      <c r="HDZ65" s="447"/>
      <c r="HEA65" s="447"/>
      <c r="HEB65" s="447"/>
      <c r="HEC65" s="447"/>
      <c r="HED65" s="447"/>
      <c r="HEE65" s="447"/>
      <c r="HEF65" s="447"/>
      <c r="HEG65" s="447"/>
      <c r="HEH65" s="447"/>
      <c r="HEI65" s="447"/>
      <c r="HEJ65" s="447"/>
      <c r="HEK65" s="447"/>
      <c r="HEL65" s="447"/>
      <c r="HEM65" s="447"/>
      <c r="HEN65" s="447"/>
      <c r="HEO65" s="447"/>
      <c r="HEP65" s="447"/>
      <c r="HEQ65" s="447"/>
      <c r="HER65" s="447"/>
      <c r="HES65" s="447"/>
      <c r="HET65" s="447"/>
      <c r="HEU65" s="447"/>
      <c r="HEV65" s="447"/>
      <c r="HEW65" s="447"/>
      <c r="HEX65" s="447"/>
      <c r="HEY65" s="447"/>
      <c r="HEZ65" s="447"/>
      <c r="HFA65" s="447"/>
      <c r="HFB65" s="447"/>
      <c r="HFC65" s="447"/>
      <c r="HFD65" s="447"/>
      <c r="HFE65" s="447"/>
      <c r="HFF65" s="447"/>
      <c r="HFG65" s="447"/>
      <c r="HFH65" s="447"/>
      <c r="HFI65" s="447"/>
      <c r="HFJ65" s="447"/>
      <c r="HFK65" s="447"/>
      <c r="HFL65" s="447"/>
      <c r="HFM65" s="447"/>
      <c r="HFN65" s="447"/>
      <c r="HFO65" s="447"/>
      <c r="HFP65" s="447"/>
      <c r="HFQ65" s="447"/>
      <c r="HFR65" s="447"/>
      <c r="HFS65" s="447"/>
      <c r="HFT65" s="447"/>
      <c r="HFU65" s="447"/>
      <c r="HFV65" s="447"/>
      <c r="HFW65" s="447"/>
      <c r="HFX65" s="447"/>
      <c r="HFY65" s="447"/>
      <c r="HFZ65" s="447"/>
      <c r="HGA65" s="447"/>
      <c r="HGB65" s="447"/>
      <c r="HGC65" s="447"/>
      <c r="HGD65" s="447"/>
      <c r="HGE65" s="447"/>
      <c r="HGF65" s="447"/>
      <c r="HGG65" s="447"/>
      <c r="HGH65" s="447"/>
      <c r="HGI65" s="447"/>
      <c r="HGJ65" s="447"/>
      <c r="HGK65" s="447"/>
      <c r="HGL65" s="447"/>
      <c r="HGM65" s="447"/>
      <c r="HGN65" s="447"/>
      <c r="HGO65" s="447"/>
      <c r="HGP65" s="447"/>
      <c r="HGQ65" s="447"/>
      <c r="HGR65" s="447"/>
      <c r="HGS65" s="447"/>
      <c r="HGT65" s="447"/>
      <c r="HGU65" s="447"/>
      <c r="HGV65" s="447"/>
      <c r="HGW65" s="447"/>
      <c r="HGX65" s="447"/>
      <c r="HGY65" s="447"/>
      <c r="HGZ65" s="447"/>
      <c r="HHA65" s="447"/>
      <c r="HHB65" s="447"/>
      <c r="HHC65" s="447"/>
      <c r="HHD65" s="447"/>
      <c r="HHE65" s="447"/>
      <c r="HHF65" s="447"/>
      <c r="HHG65" s="447"/>
      <c r="HHH65" s="447"/>
      <c r="HHI65" s="447"/>
      <c r="HHJ65" s="447"/>
      <c r="HHK65" s="447"/>
      <c r="HHL65" s="447"/>
      <c r="HHM65" s="447"/>
      <c r="HHN65" s="447"/>
      <c r="HHO65" s="447"/>
      <c r="HHP65" s="447"/>
      <c r="HHQ65" s="447"/>
      <c r="HHR65" s="447"/>
      <c r="HHS65" s="447"/>
      <c r="HHT65" s="447"/>
      <c r="HHU65" s="447"/>
      <c r="HHV65" s="447"/>
      <c r="HHW65" s="447"/>
      <c r="HHX65" s="447"/>
      <c r="HHY65" s="447"/>
      <c r="HHZ65" s="447"/>
      <c r="HIA65" s="447"/>
      <c r="HIB65" s="447"/>
      <c r="HIC65" s="447"/>
      <c r="HID65" s="447"/>
      <c r="HIE65" s="447"/>
      <c r="HIF65" s="447"/>
      <c r="HIG65" s="447"/>
      <c r="HIH65" s="447"/>
      <c r="HII65" s="447"/>
      <c r="HIJ65" s="447"/>
      <c r="HIK65" s="447"/>
      <c r="HIL65" s="447"/>
      <c r="HIM65" s="447"/>
      <c r="HIN65" s="447"/>
      <c r="HIO65" s="447"/>
      <c r="HIP65" s="447"/>
      <c r="HIQ65" s="447"/>
      <c r="HIR65" s="447"/>
      <c r="HIS65" s="447"/>
      <c r="HIT65" s="447"/>
      <c r="HIU65" s="447"/>
      <c r="HIV65" s="447"/>
      <c r="HIW65" s="447"/>
      <c r="HIX65" s="447"/>
      <c r="HIY65" s="447"/>
      <c r="HIZ65" s="447"/>
      <c r="HJA65" s="447"/>
      <c r="HJB65" s="447"/>
      <c r="HJC65" s="447"/>
      <c r="HJD65" s="447"/>
      <c r="HJE65" s="447"/>
      <c r="HJF65" s="447"/>
      <c r="HJG65" s="447"/>
      <c r="HJH65" s="447"/>
      <c r="HJI65" s="447"/>
      <c r="HJJ65" s="447"/>
      <c r="HJK65" s="447"/>
      <c r="HJL65" s="447"/>
      <c r="HJM65" s="447"/>
      <c r="HJN65" s="447"/>
      <c r="HJO65" s="447"/>
      <c r="HJP65" s="447"/>
      <c r="HJQ65" s="447"/>
      <c r="HJR65" s="447"/>
      <c r="HJS65" s="447"/>
      <c r="HJT65" s="447"/>
      <c r="HJU65" s="447"/>
      <c r="HJV65" s="447"/>
      <c r="HJW65" s="447"/>
      <c r="HJX65" s="447"/>
      <c r="HJY65" s="447"/>
      <c r="HJZ65" s="447"/>
      <c r="HKA65" s="447"/>
      <c r="HKB65" s="447"/>
      <c r="HKC65" s="447"/>
      <c r="HKD65" s="447"/>
      <c r="HKE65" s="447"/>
      <c r="HKF65" s="447"/>
      <c r="HKG65" s="447"/>
      <c r="HKH65" s="447"/>
      <c r="HKI65" s="447"/>
      <c r="HKJ65" s="447"/>
      <c r="HKK65" s="447"/>
      <c r="HKL65" s="447"/>
      <c r="HKM65" s="447"/>
      <c r="HKN65" s="447"/>
      <c r="HKO65" s="447"/>
      <c r="HKP65" s="447"/>
      <c r="HKQ65" s="447"/>
      <c r="HKR65" s="447"/>
      <c r="HKS65" s="447"/>
      <c r="HKT65" s="447"/>
      <c r="HKU65" s="447"/>
      <c r="HKV65" s="447"/>
      <c r="HKW65" s="447"/>
      <c r="HKX65" s="447"/>
      <c r="HKY65" s="447"/>
      <c r="HKZ65" s="447"/>
      <c r="HLA65" s="447"/>
      <c r="HLB65" s="447"/>
      <c r="HLC65" s="447"/>
      <c r="HLD65" s="447"/>
      <c r="HLE65" s="447"/>
      <c r="HLF65" s="447"/>
      <c r="HLG65" s="447"/>
      <c r="HLH65" s="447"/>
      <c r="HLI65" s="447"/>
      <c r="HLJ65" s="447"/>
      <c r="HLK65" s="447"/>
      <c r="HLL65" s="447"/>
      <c r="HLM65" s="447"/>
      <c r="HLN65" s="447"/>
      <c r="HLO65" s="447"/>
      <c r="HLP65" s="447"/>
      <c r="HLQ65" s="447"/>
      <c r="HLR65" s="447"/>
      <c r="HLS65" s="447"/>
      <c r="HLT65" s="447"/>
      <c r="HLU65" s="447"/>
      <c r="HLV65" s="447"/>
      <c r="HLW65" s="447"/>
      <c r="HLX65" s="447"/>
      <c r="HLY65" s="447"/>
      <c r="HLZ65" s="447"/>
      <c r="HMA65" s="447"/>
      <c r="HMB65" s="447"/>
      <c r="HMC65" s="447"/>
      <c r="HMD65" s="447"/>
      <c r="HME65" s="447"/>
      <c r="HMF65" s="447"/>
      <c r="HMG65" s="447"/>
      <c r="HMH65" s="447"/>
      <c r="HMI65" s="447"/>
      <c r="HMJ65" s="447"/>
      <c r="HMK65" s="447"/>
      <c r="HML65" s="447"/>
      <c r="HMM65" s="447"/>
      <c r="HMN65" s="447"/>
      <c r="HMO65" s="447"/>
      <c r="HMP65" s="447"/>
      <c r="HMQ65" s="447"/>
      <c r="HMR65" s="447"/>
      <c r="HMS65" s="447"/>
      <c r="HMT65" s="447"/>
      <c r="HMU65" s="447"/>
      <c r="HMV65" s="447"/>
      <c r="HMW65" s="447"/>
      <c r="HMX65" s="447"/>
      <c r="HMY65" s="447"/>
      <c r="HMZ65" s="447"/>
      <c r="HNA65" s="447"/>
      <c r="HNB65" s="447"/>
      <c r="HNC65" s="447"/>
      <c r="HND65" s="447"/>
      <c r="HNE65" s="447"/>
      <c r="HNF65" s="447"/>
      <c r="HNG65" s="447"/>
      <c r="HNH65" s="447"/>
      <c r="HNI65" s="447"/>
      <c r="HNJ65" s="447"/>
      <c r="HNK65" s="447"/>
      <c r="HNL65" s="447"/>
      <c r="HNM65" s="447"/>
      <c r="HNN65" s="447"/>
      <c r="HNO65" s="447"/>
      <c r="HNP65" s="447"/>
      <c r="HNQ65" s="447"/>
      <c r="HNR65" s="447"/>
      <c r="HNS65" s="447"/>
      <c r="HNT65" s="447"/>
      <c r="HNU65" s="447"/>
      <c r="HNV65" s="447"/>
      <c r="HNW65" s="447"/>
      <c r="HNX65" s="447"/>
      <c r="HNY65" s="447"/>
      <c r="HNZ65" s="447"/>
      <c r="HOA65" s="447"/>
      <c r="HOB65" s="447"/>
      <c r="HOC65" s="447"/>
      <c r="HOD65" s="447"/>
      <c r="HOE65" s="447"/>
      <c r="HOF65" s="447"/>
      <c r="HOG65" s="447"/>
      <c r="HOH65" s="447"/>
      <c r="HOI65" s="447"/>
      <c r="HOJ65" s="447"/>
      <c r="HOK65" s="447"/>
      <c r="HOL65" s="447"/>
      <c r="HOM65" s="447"/>
      <c r="HON65" s="447"/>
      <c r="HOO65" s="447"/>
      <c r="HOP65" s="447"/>
      <c r="HOQ65" s="447"/>
      <c r="HOR65" s="447"/>
      <c r="HOS65" s="447"/>
      <c r="HOT65" s="447"/>
      <c r="HOU65" s="447"/>
      <c r="HOV65" s="447"/>
      <c r="HOW65" s="447"/>
      <c r="HOX65" s="447"/>
      <c r="HOY65" s="447"/>
      <c r="HOZ65" s="447"/>
      <c r="HPA65" s="447"/>
      <c r="HPB65" s="447"/>
      <c r="HPC65" s="447"/>
      <c r="HPD65" s="447"/>
      <c r="HPE65" s="447"/>
      <c r="HPF65" s="447"/>
      <c r="HPG65" s="447"/>
      <c r="HPH65" s="447"/>
      <c r="HPI65" s="447"/>
      <c r="HPJ65" s="447"/>
      <c r="HPK65" s="447"/>
      <c r="HPL65" s="447"/>
      <c r="HPM65" s="447"/>
      <c r="HPN65" s="447"/>
      <c r="HPO65" s="447"/>
      <c r="HPP65" s="447"/>
      <c r="HPQ65" s="447"/>
      <c r="HPR65" s="447"/>
      <c r="HPS65" s="447"/>
      <c r="HPT65" s="447"/>
      <c r="HPU65" s="447"/>
      <c r="HPV65" s="447"/>
      <c r="HPW65" s="447"/>
      <c r="HPX65" s="447"/>
      <c r="HPY65" s="447"/>
      <c r="HPZ65" s="447"/>
      <c r="HQA65" s="447"/>
      <c r="HQB65" s="447"/>
      <c r="HQC65" s="447"/>
      <c r="HQD65" s="447"/>
      <c r="HQE65" s="447"/>
      <c r="HQF65" s="447"/>
      <c r="HQG65" s="447"/>
      <c r="HQH65" s="447"/>
      <c r="HQI65" s="447"/>
      <c r="HQJ65" s="447"/>
      <c r="HQK65" s="447"/>
      <c r="HQL65" s="447"/>
      <c r="HQM65" s="447"/>
      <c r="HQN65" s="447"/>
      <c r="HQO65" s="447"/>
      <c r="HQP65" s="447"/>
      <c r="HQQ65" s="447"/>
      <c r="HQR65" s="447"/>
      <c r="HQS65" s="447"/>
      <c r="HQT65" s="447"/>
      <c r="HQU65" s="447"/>
      <c r="HQV65" s="447"/>
      <c r="HQW65" s="447"/>
      <c r="HQX65" s="447"/>
      <c r="HQY65" s="447"/>
      <c r="HQZ65" s="447"/>
      <c r="HRA65" s="447"/>
      <c r="HRB65" s="447"/>
      <c r="HRC65" s="447"/>
      <c r="HRD65" s="447"/>
      <c r="HRE65" s="447"/>
      <c r="HRF65" s="447"/>
      <c r="HRG65" s="447"/>
      <c r="HRH65" s="447"/>
      <c r="HRI65" s="447"/>
      <c r="HRJ65" s="447"/>
      <c r="HRK65" s="447"/>
      <c r="HRL65" s="447"/>
      <c r="HRM65" s="447"/>
      <c r="HRN65" s="447"/>
      <c r="HRO65" s="447"/>
      <c r="HRP65" s="447"/>
      <c r="HRQ65" s="447"/>
      <c r="HRR65" s="447"/>
      <c r="HRS65" s="447"/>
      <c r="HRT65" s="447"/>
      <c r="HRU65" s="447"/>
      <c r="HRV65" s="447"/>
      <c r="HRW65" s="447"/>
      <c r="HRX65" s="447"/>
      <c r="HRY65" s="447"/>
      <c r="HRZ65" s="447"/>
      <c r="HSA65" s="447"/>
      <c r="HSB65" s="447"/>
      <c r="HSC65" s="447"/>
      <c r="HSD65" s="447"/>
      <c r="HSE65" s="447"/>
      <c r="HSF65" s="447"/>
      <c r="HSG65" s="447"/>
      <c r="HSH65" s="447"/>
      <c r="HSI65" s="447"/>
      <c r="HSJ65" s="447"/>
      <c r="HSK65" s="447"/>
      <c r="HSL65" s="447"/>
      <c r="HSM65" s="447"/>
      <c r="HSN65" s="447"/>
      <c r="HSO65" s="447"/>
      <c r="HSP65" s="447"/>
      <c r="HSQ65" s="447"/>
      <c r="HSR65" s="447"/>
      <c r="HSS65" s="447"/>
      <c r="HST65" s="447"/>
      <c r="HSU65" s="447"/>
      <c r="HSV65" s="447"/>
      <c r="HSW65" s="447"/>
      <c r="HSX65" s="447"/>
      <c r="HSY65" s="447"/>
      <c r="HSZ65" s="447"/>
      <c r="HTA65" s="447"/>
      <c r="HTB65" s="447"/>
      <c r="HTC65" s="447"/>
      <c r="HTD65" s="447"/>
      <c r="HTE65" s="447"/>
      <c r="HTF65" s="447"/>
      <c r="HTG65" s="447"/>
      <c r="HTH65" s="447"/>
      <c r="HTI65" s="447"/>
      <c r="HTJ65" s="447"/>
      <c r="HTK65" s="447"/>
      <c r="HTL65" s="447"/>
      <c r="HTM65" s="447"/>
      <c r="HTN65" s="447"/>
      <c r="HTO65" s="447"/>
      <c r="HTP65" s="447"/>
      <c r="HTQ65" s="447"/>
      <c r="HTR65" s="447"/>
      <c r="HTS65" s="447"/>
      <c r="HTT65" s="447"/>
      <c r="HTU65" s="447"/>
      <c r="HTV65" s="447"/>
      <c r="HTW65" s="447"/>
      <c r="HTX65" s="447"/>
      <c r="HTY65" s="447"/>
      <c r="HTZ65" s="447"/>
      <c r="HUA65" s="447"/>
      <c r="HUB65" s="447"/>
      <c r="HUC65" s="447"/>
      <c r="HUD65" s="447"/>
      <c r="HUE65" s="447"/>
      <c r="HUF65" s="447"/>
      <c r="HUG65" s="447"/>
      <c r="HUH65" s="447"/>
      <c r="HUI65" s="447"/>
      <c r="HUJ65" s="447"/>
      <c r="HUK65" s="447"/>
      <c r="HUL65" s="447"/>
      <c r="HUM65" s="447"/>
      <c r="HUN65" s="447"/>
      <c r="HUO65" s="447"/>
      <c r="HUP65" s="447"/>
      <c r="HUQ65" s="447"/>
      <c r="HUR65" s="447"/>
      <c r="HUS65" s="447"/>
      <c r="HUT65" s="447"/>
      <c r="HUU65" s="447"/>
      <c r="HUV65" s="447"/>
      <c r="HUW65" s="447"/>
      <c r="HUX65" s="447"/>
      <c r="HUY65" s="447"/>
      <c r="HUZ65" s="447"/>
      <c r="HVA65" s="447"/>
      <c r="HVB65" s="447"/>
      <c r="HVC65" s="447"/>
      <c r="HVD65" s="447"/>
      <c r="HVE65" s="447"/>
      <c r="HVF65" s="447"/>
      <c r="HVG65" s="447"/>
      <c r="HVH65" s="447"/>
      <c r="HVI65" s="447"/>
      <c r="HVJ65" s="447"/>
      <c r="HVK65" s="447"/>
      <c r="HVL65" s="447"/>
      <c r="HVM65" s="447"/>
      <c r="HVN65" s="447"/>
      <c r="HVO65" s="447"/>
      <c r="HVP65" s="447"/>
      <c r="HVQ65" s="447"/>
      <c r="HVR65" s="447"/>
      <c r="HVS65" s="447"/>
      <c r="HVT65" s="447"/>
      <c r="HVU65" s="447"/>
      <c r="HVV65" s="447"/>
      <c r="HVW65" s="447"/>
      <c r="HVX65" s="447"/>
      <c r="HVY65" s="447"/>
      <c r="HVZ65" s="447"/>
      <c r="HWA65" s="447"/>
      <c r="HWB65" s="447"/>
      <c r="HWC65" s="447"/>
      <c r="HWD65" s="447"/>
      <c r="HWE65" s="447"/>
      <c r="HWF65" s="447"/>
      <c r="HWG65" s="447"/>
      <c r="HWH65" s="447"/>
      <c r="HWI65" s="447"/>
      <c r="HWJ65" s="447"/>
      <c r="HWK65" s="447"/>
      <c r="HWL65" s="447"/>
      <c r="HWM65" s="447"/>
      <c r="HWN65" s="447"/>
      <c r="HWO65" s="447"/>
      <c r="HWP65" s="447"/>
      <c r="HWQ65" s="447"/>
      <c r="HWR65" s="447"/>
      <c r="HWS65" s="447"/>
      <c r="HWT65" s="447"/>
      <c r="HWU65" s="447"/>
      <c r="HWV65" s="447"/>
      <c r="HWW65" s="447"/>
      <c r="HWX65" s="447"/>
      <c r="HWY65" s="447"/>
      <c r="HWZ65" s="447"/>
      <c r="HXA65" s="447"/>
      <c r="HXB65" s="447"/>
      <c r="HXC65" s="447"/>
      <c r="HXD65" s="447"/>
      <c r="HXE65" s="447"/>
      <c r="HXF65" s="447"/>
      <c r="HXG65" s="447"/>
      <c r="HXH65" s="447"/>
      <c r="HXI65" s="447"/>
      <c r="HXJ65" s="447"/>
      <c r="HXK65" s="447"/>
      <c r="HXL65" s="447"/>
      <c r="HXM65" s="447"/>
      <c r="HXN65" s="447"/>
      <c r="HXO65" s="447"/>
      <c r="HXP65" s="447"/>
      <c r="HXQ65" s="447"/>
      <c r="HXR65" s="447"/>
      <c r="HXS65" s="447"/>
      <c r="HXT65" s="447"/>
      <c r="HXU65" s="447"/>
      <c r="HXV65" s="447"/>
      <c r="HXW65" s="447"/>
      <c r="HXX65" s="447"/>
      <c r="HXY65" s="447"/>
      <c r="HXZ65" s="447"/>
      <c r="HYA65" s="447"/>
      <c r="HYB65" s="447"/>
      <c r="HYC65" s="447"/>
      <c r="HYD65" s="447"/>
      <c r="HYE65" s="447"/>
      <c r="HYF65" s="447"/>
      <c r="HYG65" s="447"/>
      <c r="HYH65" s="447"/>
      <c r="HYI65" s="447"/>
      <c r="HYJ65" s="447"/>
      <c r="HYK65" s="447"/>
      <c r="HYL65" s="447"/>
      <c r="HYM65" s="447"/>
      <c r="HYN65" s="447"/>
      <c r="HYO65" s="447"/>
      <c r="HYP65" s="447"/>
      <c r="HYQ65" s="447"/>
      <c r="HYR65" s="447"/>
      <c r="HYS65" s="447"/>
      <c r="HYT65" s="447"/>
      <c r="HYU65" s="447"/>
      <c r="HYV65" s="447"/>
      <c r="HYW65" s="447"/>
      <c r="HYX65" s="447"/>
      <c r="HYY65" s="447"/>
      <c r="HYZ65" s="447"/>
      <c r="HZA65" s="447"/>
      <c r="HZB65" s="447"/>
      <c r="HZC65" s="447"/>
      <c r="HZD65" s="447"/>
      <c r="HZE65" s="447"/>
      <c r="HZF65" s="447"/>
      <c r="HZG65" s="447"/>
      <c r="HZH65" s="447"/>
      <c r="HZI65" s="447"/>
      <c r="HZJ65" s="447"/>
      <c r="HZK65" s="447"/>
      <c r="HZL65" s="447"/>
      <c r="HZM65" s="447"/>
      <c r="HZN65" s="447"/>
      <c r="HZO65" s="447"/>
      <c r="HZP65" s="447"/>
      <c r="HZQ65" s="447"/>
      <c r="HZR65" s="447"/>
      <c r="HZS65" s="447"/>
      <c r="HZT65" s="447"/>
      <c r="HZU65" s="447"/>
      <c r="HZV65" s="447"/>
      <c r="HZW65" s="447"/>
      <c r="HZX65" s="447"/>
      <c r="HZY65" s="447"/>
      <c r="HZZ65" s="447"/>
      <c r="IAA65" s="447"/>
      <c r="IAB65" s="447"/>
      <c r="IAC65" s="447"/>
      <c r="IAD65" s="447"/>
      <c r="IAE65" s="447"/>
      <c r="IAF65" s="447"/>
      <c r="IAG65" s="447"/>
      <c r="IAH65" s="447"/>
      <c r="IAI65" s="447"/>
      <c r="IAJ65" s="447"/>
      <c r="IAK65" s="447"/>
      <c r="IAL65" s="447"/>
      <c r="IAM65" s="447"/>
      <c r="IAN65" s="447"/>
      <c r="IAO65" s="447"/>
      <c r="IAP65" s="447"/>
      <c r="IAQ65" s="447"/>
      <c r="IAR65" s="447"/>
      <c r="IAS65" s="447"/>
      <c r="IAT65" s="447"/>
      <c r="IAU65" s="447"/>
      <c r="IAV65" s="447"/>
      <c r="IAW65" s="447"/>
      <c r="IAX65" s="447"/>
      <c r="IAY65" s="447"/>
      <c r="IAZ65" s="447"/>
      <c r="IBA65" s="447"/>
      <c r="IBB65" s="447"/>
      <c r="IBC65" s="447"/>
      <c r="IBD65" s="447"/>
      <c r="IBE65" s="447"/>
      <c r="IBF65" s="447"/>
      <c r="IBG65" s="447"/>
      <c r="IBH65" s="447"/>
      <c r="IBI65" s="447"/>
      <c r="IBJ65" s="447"/>
      <c r="IBK65" s="447"/>
      <c r="IBL65" s="447"/>
      <c r="IBM65" s="447"/>
      <c r="IBN65" s="447"/>
      <c r="IBO65" s="447"/>
      <c r="IBP65" s="447"/>
      <c r="IBQ65" s="447"/>
      <c r="IBR65" s="447"/>
      <c r="IBS65" s="447"/>
      <c r="IBT65" s="447"/>
      <c r="IBU65" s="447"/>
      <c r="IBV65" s="447"/>
      <c r="IBW65" s="447"/>
      <c r="IBX65" s="447"/>
      <c r="IBY65" s="447"/>
      <c r="IBZ65" s="447"/>
      <c r="ICA65" s="447"/>
      <c r="ICB65" s="447"/>
      <c r="ICC65" s="447"/>
      <c r="ICD65" s="447"/>
      <c r="ICE65" s="447"/>
      <c r="ICF65" s="447"/>
      <c r="ICG65" s="447"/>
      <c r="ICH65" s="447"/>
      <c r="ICI65" s="447"/>
      <c r="ICJ65" s="447"/>
      <c r="ICK65" s="447"/>
      <c r="ICL65" s="447"/>
      <c r="ICM65" s="447"/>
      <c r="ICN65" s="447"/>
      <c r="ICO65" s="447"/>
      <c r="ICP65" s="447"/>
      <c r="ICQ65" s="447"/>
      <c r="ICR65" s="447"/>
      <c r="ICS65" s="447"/>
      <c r="ICT65" s="447"/>
      <c r="ICU65" s="447"/>
      <c r="ICV65" s="447"/>
      <c r="ICW65" s="447"/>
      <c r="ICX65" s="447"/>
      <c r="ICY65" s="447"/>
      <c r="ICZ65" s="447"/>
      <c r="IDA65" s="447"/>
      <c r="IDB65" s="447"/>
      <c r="IDC65" s="447"/>
      <c r="IDD65" s="447"/>
      <c r="IDE65" s="447"/>
      <c r="IDF65" s="447"/>
      <c r="IDG65" s="447"/>
      <c r="IDH65" s="447"/>
      <c r="IDI65" s="447"/>
      <c r="IDJ65" s="447"/>
      <c r="IDK65" s="447"/>
      <c r="IDL65" s="447"/>
      <c r="IDM65" s="447"/>
      <c r="IDN65" s="447"/>
      <c r="IDO65" s="447"/>
      <c r="IDP65" s="447"/>
      <c r="IDQ65" s="447"/>
      <c r="IDR65" s="447"/>
      <c r="IDS65" s="447"/>
      <c r="IDT65" s="447"/>
      <c r="IDU65" s="447"/>
      <c r="IDV65" s="447"/>
      <c r="IDW65" s="447"/>
      <c r="IDX65" s="447"/>
      <c r="IDY65" s="447"/>
      <c r="IDZ65" s="447"/>
      <c r="IEA65" s="447"/>
      <c r="IEB65" s="447"/>
      <c r="IEC65" s="447"/>
      <c r="IED65" s="447"/>
      <c r="IEE65" s="447"/>
      <c r="IEF65" s="447"/>
      <c r="IEG65" s="447"/>
      <c r="IEH65" s="447"/>
      <c r="IEI65" s="447"/>
      <c r="IEJ65" s="447"/>
      <c r="IEK65" s="447"/>
      <c r="IEL65" s="447"/>
      <c r="IEM65" s="447"/>
      <c r="IEN65" s="447"/>
      <c r="IEO65" s="447"/>
      <c r="IEP65" s="447"/>
      <c r="IEQ65" s="447"/>
      <c r="IER65" s="447"/>
      <c r="IES65" s="447"/>
      <c r="IET65" s="447"/>
      <c r="IEU65" s="447"/>
      <c r="IEV65" s="447"/>
      <c r="IEW65" s="447"/>
      <c r="IEX65" s="447"/>
      <c r="IEY65" s="447"/>
      <c r="IEZ65" s="447"/>
      <c r="IFA65" s="447"/>
      <c r="IFB65" s="447"/>
      <c r="IFC65" s="447"/>
      <c r="IFD65" s="447"/>
      <c r="IFE65" s="447"/>
      <c r="IFF65" s="447"/>
      <c r="IFG65" s="447"/>
      <c r="IFH65" s="447"/>
      <c r="IFI65" s="447"/>
      <c r="IFJ65" s="447"/>
      <c r="IFK65" s="447"/>
      <c r="IFL65" s="447"/>
      <c r="IFM65" s="447"/>
      <c r="IFN65" s="447"/>
      <c r="IFO65" s="447"/>
      <c r="IFP65" s="447"/>
      <c r="IFQ65" s="447"/>
      <c r="IFR65" s="447"/>
      <c r="IFS65" s="447"/>
      <c r="IFT65" s="447"/>
      <c r="IFU65" s="447"/>
      <c r="IFV65" s="447"/>
      <c r="IFW65" s="447"/>
      <c r="IFX65" s="447"/>
      <c r="IFY65" s="447"/>
      <c r="IFZ65" s="447"/>
      <c r="IGA65" s="447"/>
      <c r="IGB65" s="447"/>
      <c r="IGC65" s="447"/>
      <c r="IGD65" s="447"/>
      <c r="IGE65" s="447"/>
      <c r="IGF65" s="447"/>
      <c r="IGG65" s="447"/>
      <c r="IGH65" s="447"/>
      <c r="IGI65" s="447"/>
      <c r="IGJ65" s="447"/>
      <c r="IGK65" s="447"/>
      <c r="IGL65" s="447"/>
      <c r="IGM65" s="447"/>
      <c r="IGN65" s="447"/>
      <c r="IGO65" s="447"/>
      <c r="IGP65" s="447"/>
      <c r="IGQ65" s="447"/>
      <c r="IGR65" s="447"/>
      <c r="IGS65" s="447"/>
      <c r="IGT65" s="447"/>
      <c r="IGU65" s="447"/>
      <c r="IGV65" s="447"/>
      <c r="IGW65" s="447"/>
      <c r="IGX65" s="447"/>
      <c r="IGY65" s="447"/>
      <c r="IGZ65" s="447"/>
      <c r="IHA65" s="447"/>
      <c r="IHB65" s="447"/>
      <c r="IHC65" s="447"/>
      <c r="IHD65" s="447"/>
      <c r="IHE65" s="447"/>
      <c r="IHF65" s="447"/>
      <c r="IHG65" s="447"/>
      <c r="IHH65" s="447"/>
      <c r="IHI65" s="447"/>
      <c r="IHJ65" s="447"/>
      <c r="IHK65" s="447"/>
      <c r="IHL65" s="447"/>
      <c r="IHM65" s="447"/>
      <c r="IHN65" s="447"/>
      <c r="IHO65" s="447"/>
      <c r="IHP65" s="447"/>
      <c r="IHQ65" s="447"/>
      <c r="IHR65" s="447"/>
      <c r="IHS65" s="447"/>
      <c r="IHT65" s="447"/>
      <c r="IHU65" s="447"/>
      <c r="IHV65" s="447"/>
      <c r="IHW65" s="447"/>
      <c r="IHX65" s="447"/>
      <c r="IHY65" s="447"/>
      <c r="IHZ65" s="447"/>
      <c r="IIA65" s="447"/>
      <c r="IIB65" s="447"/>
      <c r="IIC65" s="447"/>
      <c r="IID65" s="447"/>
      <c r="IIE65" s="447"/>
      <c r="IIF65" s="447"/>
      <c r="IIG65" s="447"/>
      <c r="IIH65" s="447"/>
      <c r="III65" s="447"/>
      <c r="IIJ65" s="447"/>
      <c r="IIK65" s="447"/>
      <c r="IIL65" s="447"/>
      <c r="IIM65" s="447"/>
      <c r="IIN65" s="447"/>
      <c r="IIO65" s="447"/>
      <c r="IIP65" s="447"/>
      <c r="IIQ65" s="447"/>
      <c r="IIR65" s="447"/>
      <c r="IIS65" s="447"/>
      <c r="IIT65" s="447"/>
      <c r="IIU65" s="447"/>
      <c r="IIV65" s="447"/>
      <c r="IIW65" s="447"/>
      <c r="IIX65" s="447"/>
      <c r="IIY65" s="447"/>
      <c r="IIZ65" s="447"/>
      <c r="IJA65" s="447"/>
      <c r="IJB65" s="447"/>
      <c r="IJC65" s="447"/>
      <c r="IJD65" s="447"/>
      <c r="IJE65" s="447"/>
      <c r="IJF65" s="447"/>
      <c r="IJG65" s="447"/>
      <c r="IJH65" s="447"/>
      <c r="IJI65" s="447"/>
      <c r="IJJ65" s="447"/>
      <c r="IJK65" s="447"/>
      <c r="IJL65" s="447"/>
      <c r="IJM65" s="447"/>
      <c r="IJN65" s="447"/>
      <c r="IJO65" s="447"/>
      <c r="IJP65" s="447"/>
      <c r="IJQ65" s="447"/>
      <c r="IJR65" s="447"/>
      <c r="IJS65" s="447"/>
      <c r="IJT65" s="447"/>
      <c r="IJU65" s="447"/>
      <c r="IJV65" s="447"/>
      <c r="IJW65" s="447"/>
      <c r="IJX65" s="447"/>
      <c r="IJY65" s="447"/>
      <c r="IJZ65" s="447"/>
      <c r="IKA65" s="447"/>
      <c r="IKB65" s="447"/>
      <c r="IKC65" s="447"/>
      <c r="IKD65" s="447"/>
      <c r="IKE65" s="447"/>
      <c r="IKF65" s="447"/>
      <c r="IKG65" s="447"/>
      <c r="IKH65" s="447"/>
      <c r="IKI65" s="447"/>
      <c r="IKJ65" s="447"/>
      <c r="IKK65" s="447"/>
      <c r="IKL65" s="447"/>
      <c r="IKM65" s="447"/>
      <c r="IKN65" s="447"/>
      <c r="IKO65" s="447"/>
      <c r="IKP65" s="447"/>
      <c r="IKQ65" s="447"/>
      <c r="IKR65" s="447"/>
      <c r="IKS65" s="447"/>
      <c r="IKT65" s="447"/>
      <c r="IKU65" s="447"/>
      <c r="IKV65" s="447"/>
      <c r="IKW65" s="447"/>
      <c r="IKX65" s="447"/>
      <c r="IKY65" s="447"/>
      <c r="IKZ65" s="447"/>
      <c r="ILA65" s="447"/>
      <c r="ILB65" s="447"/>
      <c r="ILC65" s="447"/>
      <c r="ILD65" s="447"/>
      <c r="ILE65" s="447"/>
      <c r="ILF65" s="447"/>
      <c r="ILG65" s="447"/>
      <c r="ILH65" s="447"/>
      <c r="ILI65" s="447"/>
      <c r="ILJ65" s="447"/>
      <c r="ILK65" s="447"/>
      <c r="ILL65" s="447"/>
      <c r="ILM65" s="447"/>
      <c r="ILN65" s="447"/>
      <c r="ILO65" s="447"/>
      <c r="ILP65" s="447"/>
      <c r="ILQ65" s="447"/>
      <c r="ILR65" s="447"/>
      <c r="ILS65" s="447"/>
      <c r="ILT65" s="447"/>
      <c r="ILU65" s="447"/>
      <c r="ILV65" s="447"/>
      <c r="ILW65" s="447"/>
      <c r="ILX65" s="447"/>
      <c r="ILY65" s="447"/>
      <c r="ILZ65" s="447"/>
      <c r="IMA65" s="447"/>
      <c r="IMB65" s="447"/>
      <c r="IMC65" s="447"/>
      <c r="IMD65" s="447"/>
      <c r="IME65" s="447"/>
      <c r="IMF65" s="447"/>
      <c r="IMG65" s="447"/>
      <c r="IMH65" s="447"/>
      <c r="IMI65" s="447"/>
      <c r="IMJ65" s="447"/>
      <c r="IMK65" s="447"/>
      <c r="IML65" s="447"/>
      <c r="IMM65" s="447"/>
      <c r="IMN65" s="447"/>
      <c r="IMO65" s="447"/>
      <c r="IMP65" s="447"/>
      <c r="IMQ65" s="447"/>
      <c r="IMR65" s="447"/>
      <c r="IMS65" s="447"/>
      <c r="IMT65" s="447"/>
      <c r="IMU65" s="447"/>
      <c r="IMV65" s="447"/>
      <c r="IMW65" s="447"/>
      <c r="IMX65" s="447"/>
      <c r="IMY65" s="447"/>
      <c r="IMZ65" s="447"/>
      <c r="INA65" s="447"/>
      <c r="INB65" s="447"/>
      <c r="INC65" s="447"/>
      <c r="IND65" s="447"/>
      <c r="INE65" s="447"/>
      <c r="INF65" s="447"/>
      <c r="ING65" s="447"/>
      <c r="INH65" s="447"/>
      <c r="INI65" s="447"/>
      <c r="INJ65" s="447"/>
      <c r="INK65" s="447"/>
      <c r="INL65" s="447"/>
      <c r="INM65" s="447"/>
      <c r="INN65" s="447"/>
      <c r="INO65" s="447"/>
      <c r="INP65" s="447"/>
      <c r="INQ65" s="447"/>
      <c r="INR65" s="447"/>
      <c r="INS65" s="447"/>
      <c r="INT65" s="447"/>
      <c r="INU65" s="447"/>
      <c r="INV65" s="447"/>
      <c r="INW65" s="447"/>
      <c r="INX65" s="447"/>
      <c r="INY65" s="447"/>
      <c r="INZ65" s="447"/>
      <c r="IOA65" s="447"/>
      <c r="IOB65" s="447"/>
      <c r="IOC65" s="447"/>
      <c r="IOD65" s="447"/>
      <c r="IOE65" s="447"/>
      <c r="IOF65" s="447"/>
      <c r="IOG65" s="447"/>
      <c r="IOH65" s="447"/>
      <c r="IOI65" s="447"/>
      <c r="IOJ65" s="447"/>
      <c r="IOK65" s="447"/>
      <c r="IOL65" s="447"/>
      <c r="IOM65" s="447"/>
      <c r="ION65" s="447"/>
      <c r="IOO65" s="447"/>
      <c r="IOP65" s="447"/>
      <c r="IOQ65" s="447"/>
      <c r="IOR65" s="447"/>
      <c r="IOS65" s="447"/>
      <c r="IOT65" s="447"/>
      <c r="IOU65" s="447"/>
      <c r="IOV65" s="447"/>
      <c r="IOW65" s="447"/>
      <c r="IOX65" s="447"/>
      <c r="IOY65" s="447"/>
      <c r="IOZ65" s="447"/>
      <c r="IPA65" s="447"/>
      <c r="IPB65" s="447"/>
      <c r="IPC65" s="447"/>
      <c r="IPD65" s="447"/>
      <c r="IPE65" s="447"/>
      <c r="IPF65" s="447"/>
      <c r="IPG65" s="447"/>
      <c r="IPH65" s="447"/>
      <c r="IPI65" s="447"/>
      <c r="IPJ65" s="447"/>
      <c r="IPK65" s="447"/>
      <c r="IPL65" s="447"/>
      <c r="IPM65" s="447"/>
      <c r="IPN65" s="447"/>
      <c r="IPO65" s="447"/>
      <c r="IPP65" s="447"/>
      <c r="IPQ65" s="447"/>
      <c r="IPR65" s="447"/>
      <c r="IPS65" s="447"/>
      <c r="IPT65" s="447"/>
      <c r="IPU65" s="447"/>
      <c r="IPV65" s="447"/>
      <c r="IPW65" s="447"/>
      <c r="IPX65" s="447"/>
      <c r="IPY65" s="447"/>
      <c r="IPZ65" s="447"/>
      <c r="IQA65" s="447"/>
      <c r="IQB65" s="447"/>
      <c r="IQC65" s="447"/>
      <c r="IQD65" s="447"/>
      <c r="IQE65" s="447"/>
      <c r="IQF65" s="447"/>
      <c r="IQG65" s="447"/>
      <c r="IQH65" s="447"/>
      <c r="IQI65" s="447"/>
      <c r="IQJ65" s="447"/>
      <c r="IQK65" s="447"/>
      <c r="IQL65" s="447"/>
      <c r="IQM65" s="447"/>
      <c r="IQN65" s="447"/>
      <c r="IQO65" s="447"/>
      <c r="IQP65" s="447"/>
      <c r="IQQ65" s="447"/>
      <c r="IQR65" s="447"/>
      <c r="IQS65" s="447"/>
      <c r="IQT65" s="447"/>
      <c r="IQU65" s="447"/>
      <c r="IQV65" s="447"/>
      <c r="IQW65" s="447"/>
      <c r="IQX65" s="447"/>
      <c r="IQY65" s="447"/>
      <c r="IQZ65" s="447"/>
      <c r="IRA65" s="447"/>
      <c r="IRB65" s="447"/>
      <c r="IRC65" s="447"/>
      <c r="IRD65" s="447"/>
      <c r="IRE65" s="447"/>
      <c r="IRF65" s="447"/>
      <c r="IRG65" s="447"/>
      <c r="IRH65" s="447"/>
      <c r="IRI65" s="447"/>
      <c r="IRJ65" s="447"/>
      <c r="IRK65" s="447"/>
      <c r="IRL65" s="447"/>
      <c r="IRM65" s="447"/>
      <c r="IRN65" s="447"/>
      <c r="IRO65" s="447"/>
      <c r="IRP65" s="447"/>
      <c r="IRQ65" s="447"/>
      <c r="IRR65" s="447"/>
      <c r="IRS65" s="447"/>
      <c r="IRT65" s="447"/>
      <c r="IRU65" s="447"/>
      <c r="IRV65" s="447"/>
      <c r="IRW65" s="447"/>
      <c r="IRX65" s="447"/>
      <c r="IRY65" s="447"/>
      <c r="IRZ65" s="447"/>
      <c r="ISA65" s="447"/>
      <c r="ISB65" s="447"/>
      <c r="ISC65" s="447"/>
      <c r="ISD65" s="447"/>
      <c r="ISE65" s="447"/>
      <c r="ISF65" s="447"/>
      <c r="ISG65" s="447"/>
      <c r="ISH65" s="447"/>
      <c r="ISI65" s="447"/>
      <c r="ISJ65" s="447"/>
      <c r="ISK65" s="447"/>
      <c r="ISL65" s="447"/>
      <c r="ISM65" s="447"/>
      <c r="ISN65" s="447"/>
      <c r="ISO65" s="447"/>
      <c r="ISP65" s="447"/>
      <c r="ISQ65" s="447"/>
      <c r="ISR65" s="447"/>
      <c r="ISS65" s="447"/>
      <c r="IST65" s="447"/>
      <c r="ISU65" s="447"/>
      <c r="ISV65" s="447"/>
      <c r="ISW65" s="447"/>
      <c r="ISX65" s="447"/>
      <c r="ISY65" s="447"/>
      <c r="ISZ65" s="447"/>
      <c r="ITA65" s="447"/>
      <c r="ITB65" s="447"/>
      <c r="ITC65" s="447"/>
      <c r="ITD65" s="447"/>
      <c r="ITE65" s="447"/>
      <c r="ITF65" s="447"/>
      <c r="ITG65" s="447"/>
      <c r="ITH65" s="447"/>
      <c r="ITI65" s="447"/>
      <c r="ITJ65" s="447"/>
      <c r="ITK65" s="447"/>
      <c r="ITL65" s="447"/>
      <c r="ITM65" s="447"/>
      <c r="ITN65" s="447"/>
      <c r="ITO65" s="447"/>
      <c r="ITP65" s="447"/>
      <c r="ITQ65" s="447"/>
      <c r="ITR65" s="447"/>
      <c r="ITS65" s="447"/>
      <c r="ITT65" s="447"/>
      <c r="ITU65" s="447"/>
      <c r="ITV65" s="447"/>
      <c r="ITW65" s="447"/>
      <c r="ITX65" s="447"/>
      <c r="ITY65" s="447"/>
      <c r="ITZ65" s="447"/>
      <c r="IUA65" s="447"/>
      <c r="IUB65" s="447"/>
      <c r="IUC65" s="447"/>
      <c r="IUD65" s="447"/>
      <c r="IUE65" s="447"/>
      <c r="IUF65" s="447"/>
      <c r="IUG65" s="447"/>
      <c r="IUH65" s="447"/>
      <c r="IUI65" s="447"/>
      <c r="IUJ65" s="447"/>
      <c r="IUK65" s="447"/>
      <c r="IUL65" s="447"/>
      <c r="IUM65" s="447"/>
      <c r="IUN65" s="447"/>
      <c r="IUO65" s="447"/>
      <c r="IUP65" s="447"/>
      <c r="IUQ65" s="447"/>
      <c r="IUR65" s="447"/>
      <c r="IUS65" s="447"/>
      <c r="IUT65" s="447"/>
      <c r="IUU65" s="447"/>
      <c r="IUV65" s="447"/>
      <c r="IUW65" s="447"/>
      <c r="IUX65" s="447"/>
      <c r="IUY65" s="447"/>
      <c r="IUZ65" s="447"/>
      <c r="IVA65" s="447"/>
      <c r="IVB65" s="447"/>
      <c r="IVC65" s="447"/>
      <c r="IVD65" s="447"/>
      <c r="IVE65" s="447"/>
      <c r="IVF65" s="447"/>
      <c r="IVG65" s="447"/>
      <c r="IVH65" s="447"/>
      <c r="IVI65" s="447"/>
      <c r="IVJ65" s="447"/>
      <c r="IVK65" s="447"/>
      <c r="IVL65" s="447"/>
      <c r="IVM65" s="447"/>
      <c r="IVN65" s="447"/>
      <c r="IVO65" s="447"/>
      <c r="IVP65" s="447"/>
      <c r="IVQ65" s="447"/>
      <c r="IVR65" s="447"/>
      <c r="IVS65" s="447"/>
      <c r="IVT65" s="447"/>
      <c r="IVU65" s="447"/>
      <c r="IVV65" s="447"/>
      <c r="IVW65" s="447"/>
      <c r="IVX65" s="447"/>
      <c r="IVY65" s="447"/>
      <c r="IVZ65" s="447"/>
      <c r="IWA65" s="447"/>
      <c r="IWB65" s="447"/>
      <c r="IWC65" s="447"/>
      <c r="IWD65" s="447"/>
      <c r="IWE65" s="447"/>
      <c r="IWF65" s="447"/>
      <c r="IWG65" s="447"/>
      <c r="IWH65" s="447"/>
      <c r="IWI65" s="447"/>
      <c r="IWJ65" s="447"/>
      <c r="IWK65" s="447"/>
      <c r="IWL65" s="447"/>
      <c r="IWM65" s="447"/>
      <c r="IWN65" s="447"/>
      <c r="IWO65" s="447"/>
      <c r="IWP65" s="447"/>
      <c r="IWQ65" s="447"/>
      <c r="IWR65" s="447"/>
      <c r="IWS65" s="447"/>
      <c r="IWT65" s="447"/>
      <c r="IWU65" s="447"/>
      <c r="IWV65" s="447"/>
      <c r="IWW65" s="447"/>
      <c r="IWX65" s="447"/>
      <c r="IWY65" s="447"/>
      <c r="IWZ65" s="447"/>
      <c r="IXA65" s="447"/>
      <c r="IXB65" s="447"/>
      <c r="IXC65" s="447"/>
      <c r="IXD65" s="447"/>
      <c r="IXE65" s="447"/>
      <c r="IXF65" s="447"/>
      <c r="IXG65" s="447"/>
      <c r="IXH65" s="447"/>
      <c r="IXI65" s="447"/>
      <c r="IXJ65" s="447"/>
      <c r="IXK65" s="447"/>
      <c r="IXL65" s="447"/>
      <c r="IXM65" s="447"/>
      <c r="IXN65" s="447"/>
      <c r="IXO65" s="447"/>
      <c r="IXP65" s="447"/>
      <c r="IXQ65" s="447"/>
      <c r="IXR65" s="447"/>
      <c r="IXS65" s="447"/>
      <c r="IXT65" s="447"/>
      <c r="IXU65" s="447"/>
      <c r="IXV65" s="447"/>
      <c r="IXW65" s="447"/>
      <c r="IXX65" s="447"/>
      <c r="IXY65" s="447"/>
      <c r="IXZ65" s="447"/>
      <c r="IYA65" s="447"/>
      <c r="IYB65" s="447"/>
      <c r="IYC65" s="447"/>
      <c r="IYD65" s="447"/>
      <c r="IYE65" s="447"/>
      <c r="IYF65" s="447"/>
      <c r="IYG65" s="447"/>
      <c r="IYH65" s="447"/>
      <c r="IYI65" s="447"/>
      <c r="IYJ65" s="447"/>
      <c r="IYK65" s="447"/>
      <c r="IYL65" s="447"/>
      <c r="IYM65" s="447"/>
      <c r="IYN65" s="447"/>
      <c r="IYO65" s="447"/>
      <c r="IYP65" s="447"/>
      <c r="IYQ65" s="447"/>
      <c r="IYR65" s="447"/>
      <c r="IYS65" s="447"/>
      <c r="IYT65" s="447"/>
      <c r="IYU65" s="447"/>
      <c r="IYV65" s="447"/>
      <c r="IYW65" s="447"/>
      <c r="IYX65" s="447"/>
      <c r="IYY65" s="447"/>
      <c r="IYZ65" s="447"/>
      <c r="IZA65" s="447"/>
      <c r="IZB65" s="447"/>
      <c r="IZC65" s="447"/>
      <c r="IZD65" s="447"/>
      <c r="IZE65" s="447"/>
      <c r="IZF65" s="447"/>
      <c r="IZG65" s="447"/>
      <c r="IZH65" s="447"/>
      <c r="IZI65" s="447"/>
      <c r="IZJ65" s="447"/>
      <c r="IZK65" s="447"/>
      <c r="IZL65" s="447"/>
      <c r="IZM65" s="447"/>
      <c r="IZN65" s="447"/>
      <c r="IZO65" s="447"/>
      <c r="IZP65" s="447"/>
      <c r="IZQ65" s="447"/>
      <c r="IZR65" s="447"/>
      <c r="IZS65" s="447"/>
      <c r="IZT65" s="447"/>
      <c r="IZU65" s="447"/>
      <c r="IZV65" s="447"/>
      <c r="IZW65" s="447"/>
      <c r="IZX65" s="447"/>
      <c r="IZY65" s="447"/>
      <c r="IZZ65" s="447"/>
      <c r="JAA65" s="447"/>
      <c r="JAB65" s="447"/>
      <c r="JAC65" s="447"/>
      <c r="JAD65" s="447"/>
      <c r="JAE65" s="447"/>
      <c r="JAF65" s="447"/>
      <c r="JAG65" s="447"/>
      <c r="JAH65" s="447"/>
      <c r="JAI65" s="447"/>
      <c r="JAJ65" s="447"/>
      <c r="JAK65" s="447"/>
      <c r="JAL65" s="447"/>
      <c r="JAM65" s="447"/>
      <c r="JAN65" s="447"/>
      <c r="JAO65" s="447"/>
      <c r="JAP65" s="447"/>
      <c r="JAQ65" s="447"/>
      <c r="JAR65" s="447"/>
      <c r="JAS65" s="447"/>
      <c r="JAT65" s="447"/>
      <c r="JAU65" s="447"/>
      <c r="JAV65" s="447"/>
      <c r="JAW65" s="447"/>
      <c r="JAX65" s="447"/>
      <c r="JAY65" s="447"/>
      <c r="JAZ65" s="447"/>
      <c r="JBA65" s="447"/>
      <c r="JBB65" s="447"/>
      <c r="JBC65" s="447"/>
      <c r="JBD65" s="447"/>
      <c r="JBE65" s="447"/>
      <c r="JBF65" s="447"/>
      <c r="JBG65" s="447"/>
      <c r="JBH65" s="447"/>
      <c r="JBI65" s="447"/>
      <c r="JBJ65" s="447"/>
      <c r="JBK65" s="447"/>
      <c r="JBL65" s="447"/>
      <c r="JBM65" s="447"/>
      <c r="JBN65" s="447"/>
      <c r="JBO65" s="447"/>
      <c r="JBP65" s="447"/>
      <c r="JBQ65" s="447"/>
      <c r="JBR65" s="447"/>
      <c r="JBS65" s="447"/>
      <c r="JBT65" s="447"/>
      <c r="JBU65" s="447"/>
      <c r="JBV65" s="447"/>
      <c r="JBW65" s="447"/>
      <c r="JBX65" s="447"/>
      <c r="JBY65" s="447"/>
      <c r="JBZ65" s="447"/>
      <c r="JCA65" s="447"/>
      <c r="JCB65" s="447"/>
      <c r="JCC65" s="447"/>
      <c r="JCD65" s="447"/>
      <c r="JCE65" s="447"/>
      <c r="JCF65" s="447"/>
      <c r="JCG65" s="447"/>
      <c r="JCH65" s="447"/>
      <c r="JCI65" s="447"/>
      <c r="JCJ65" s="447"/>
      <c r="JCK65" s="447"/>
      <c r="JCL65" s="447"/>
      <c r="JCM65" s="447"/>
      <c r="JCN65" s="447"/>
      <c r="JCO65" s="447"/>
      <c r="JCP65" s="447"/>
      <c r="JCQ65" s="447"/>
      <c r="JCR65" s="447"/>
      <c r="JCS65" s="447"/>
      <c r="JCT65" s="447"/>
      <c r="JCU65" s="447"/>
      <c r="JCV65" s="447"/>
      <c r="JCW65" s="447"/>
      <c r="JCX65" s="447"/>
      <c r="JCY65" s="447"/>
      <c r="JCZ65" s="447"/>
      <c r="JDA65" s="447"/>
      <c r="JDB65" s="447"/>
      <c r="JDC65" s="447"/>
      <c r="JDD65" s="447"/>
      <c r="JDE65" s="447"/>
      <c r="JDF65" s="447"/>
      <c r="JDG65" s="447"/>
      <c r="JDH65" s="447"/>
      <c r="JDI65" s="447"/>
      <c r="JDJ65" s="447"/>
      <c r="JDK65" s="447"/>
      <c r="JDL65" s="447"/>
      <c r="JDM65" s="447"/>
      <c r="JDN65" s="447"/>
      <c r="JDO65" s="447"/>
      <c r="JDP65" s="447"/>
      <c r="JDQ65" s="447"/>
      <c r="JDR65" s="447"/>
      <c r="JDS65" s="447"/>
      <c r="JDT65" s="447"/>
      <c r="JDU65" s="447"/>
      <c r="JDV65" s="447"/>
      <c r="JDW65" s="447"/>
      <c r="JDX65" s="447"/>
      <c r="JDY65" s="447"/>
      <c r="JDZ65" s="447"/>
      <c r="JEA65" s="447"/>
      <c r="JEB65" s="447"/>
      <c r="JEC65" s="447"/>
      <c r="JED65" s="447"/>
      <c r="JEE65" s="447"/>
      <c r="JEF65" s="447"/>
      <c r="JEG65" s="447"/>
      <c r="JEH65" s="447"/>
      <c r="JEI65" s="447"/>
      <c r="JEJ65" s="447"/>
      <c r="JEK65" s="447"/>
      <c r="JEL65" s="447"/>
      <c r="JEM65" s="447"/>
      <c r="JEN65" s="447"/>
      <c r="JEO65" s="447"/>
      <c r="JEP65" s="447"/>
      <c r="JEQ65" s="447"/>
      <c r="JER65" s="447"/>
      <c r="JES65" s="447"/>
      <c r="JET65" s="447"/>
      <c r="JEU65" s="447"/>
      <c r="JEV65" s="447"/>
      <c r="JEW65" s="447"/>
      <c r="JEX65" s="447"/>
      <c r="JEY65" s="447"/>
      <c r="JEZ65" s="447"/>
      <c r="JFA65" s="447"/>
      <c r="JFB65" s="447"/>
      <c r="JFC65" s="447"/>
      <c r="JFD65" s="447"/>
      <c r="JFE65" s="447"/>
      <c r="JFF65" s="447"/>
      <c r="JFG65" s="447"/>
      <c r="JFH65" s="447"/>
      <c r="JFI65" s="447"/>
      <c r="JFJ65" s="447"/>
      <c r="JFK65" s="447"/>
      <c r="JFL65" s="447"/>
      <c r="JFM65" s="447"/>
      <c r="JFN65" s="447"/>
      <c r="JFO65" s="447"/>
      <c r="JFP65" s="447"/>
      <c r="JFQ65" s="447"/>
      <c r="JFR65" s="447"/>
      <c r="JFS65" s="447"/>
      <c r="JFT65" s="447"/>
      <c r="JFU65" s="447"/>
      <c r="JFV65" s="447"/>
      <c r="JFW65" s="447"/>
      <c r="JFX65" s="447"/>
      <c r="JFY65" s="447"/>
      <c r="JFZ65" s="447"/>
      <c r="JGA65" s="447"/>
      <c r="JGB65" s="447"/>
      <c r="JGC65" s="447"/>
      <c r="JGD65" s="447"/>
      <c r="JGE65" s="447"/>
      <c r="JGF65" s="447"/>
      <c r="JGG65" s="447"/>
      <c r="JGH65" s="447"/>
      <c r="JGI65" s="447"/>
      <c r="JGJ65" s="447"/>
      <c r="JGK65" s="447"/>
      <c r="JGL65" s="447"/>
      <c r="JGM65" s="447"/>
      <c r="JGN65" s="447"/>
      <c r="JGO65" s="447"/>
      <c r="JGP65" s="447"/>
      <c r="JGQ65" s="447"/>
      <c r="JGR65" s="447"/>
      <c r="JGS65" s="447"/>
      <c r="JGT65" s="447"/>
      <c r="JGU65" s="447"/>
      <c r="JGV65" s="447"/>
      <c r="JGW65" s="447"/>
      <c r="JGX65" s="447"/>
      <c r="JGY65" s="447"/>
      <c r="JGZ65" s="447"/>
      <c r="JHA65" s="447"/>
      <c r="JHB65" s="447"/>
      <c r="JHC65" s="447"/>
      <c r="JHD65" s="447"/>
      <c r="JHE65" s="447"/>
      <c r="JHF65" s="447"/>
      <c r="JHG65" s="447"/>
      <c r="JHH65" s="447"/>
      <c r="JHI65" s="447"/>
      <c r="JHJ65" s="447"/>
      <c r="JHK65" s="447"/>
      <c r="JHL65" s="447"/>
      <c r="JHM65" s="447"/>
      <c r="JHN65" s="447"/>
      <c r="JHO65" s="447"/>
      <c r="JHP65" s="447"/>
      <c r="JHQ65" s="447"/>
      <c r="JHR65" s="447"/>
      <c r="JHS65" s="447"/>
      <c r="JHT65" s="447"/>
      <c r="JHU65" s="447"/>
      <c r="JHV65" s="447"/>
      <c r="JHW65" s="447"/>
      <c r="JHX65" s="447"/>
      <c r="JHY65" s="447"/>
      <c r="JHZ65" s="447"/>
      <c r="JIA65" s="447"/>
      <c r="JIB65" s="447"/>
      <c r="JIC65" s="447"/>
      <c r="JID65" s="447"/>
      <c r="JIE65" s="447"/>
      <c r="JIF65" s="447"/>
      <c r="JIG65" s="447"/>
      <c r="JIH65" s="447"/>
      <c r="JII65" s="447"/>
      <c r="JIJ65" s="447"/>
      <c r="JIK65" s="447"/>
      <c r="JIL65" s="447"/>
      <c r="JIM65" s="447"/>
      <c r="JIN65" s="447"/>
      <c r="JIO65" s="447"/>
      <c r="JIP65" s="447"/>
      <c r="JIQ65" s="447"/>
      <c r="JIR65" s="447"/>
      <c r="JIS65" s="447"/>
      <c r="JIT65" s="447"/>
      <c r="JIU65" s="447"/>
      <c r="JIV65" s="447"/>
      <c r="JIW65" s="447"/>
      <c r="JIX65" s="447"/>
      <c r="JIY65" s="447"/>
      <c r="JIZ65" s="447"/>
      <c r="JJA65" s="447"/>
      <c r="JJB65" s="447"/>
      <c r="JJC65" s="447"/>
      <c r="JJD65" s="447"/>
      <c r="JJE65" s="447"/>
      <c r="JJF65" s="447"/>
      <c r="JJG65" s="447"/>
      <c r="JJH65" s="447"/>
      <c r="JJI65" s="447"/>
      <c r="JJJ65" s="447"/>
      <c r="JJK65" s="447"/>
      <c r="JJL65" s="447"/>
      <c r="JJM65" s="447"/>
      <c r="JJN65" s="447"/>
      <c r="JJO65" s="447"/>
      <c r="JJP65" s="447"/>
      <c r="JJQ65" s="447"/>
      <c r="JJR65" s="447"/>
      <c r="JJS65" s="447"/>
      <c r="JJT65" s="447"/>
      <c r="JJU65" s="447"/>
      <c r="JJV65" s="447"/>
      <c r="JJW65" s="447"/>
      <c r="JJX65" s="447"/>
      <c r="JJY65" s="447"/>
      <c r="JJZ65" s="447"/>
      <c r="JKA65" s="447"/>
      <c r="JKB65" s="447"/>
      <c r="JKC65" s="447"/>
      <c r="JKD65" s="447"/>
      <c r="JKE65" s="447"/>
      <c r="JKF65" s="447"/>
      <c r="JKG65" s="447"/>
      <c r="JKH65" s="447"/>
      <c r="JKI65" s="447"/>
      <c r="JKJ65" s="447"/>
      <c r="JKK65" s="447"/>
      <c r="JKL65" s="447"/>
      <c r="JKM65" s="447"/>
      <c r="JKN65" s="447"/>
      <c r="JKO65" s="447"/>
      <c r="JKP65" s="447"/>
      <c r="JKQ65" s="447"/>
      <c r="JKR65" s="447"/>
      <c r="JKS65" s="447"/>
      <c r="JKT65" s="447"/>
      <c r="JKU65" s="447"/>
      <c r="JKV65" s="447"/>
      <c r="JKW65" s="447"/>
      <c r="JKX65" s="447"/>
      <c r="JKY65" s="447"/>
      <c r="JKZ65" s="447"/>
      <c r="JLA65" s="447"/>
      <c r="JLB65" s="447"/>
      <c r="JLC65" s="447"/>
      <c r="JLD65" s="447"/>
      <c r="JLE65" s="447"/>
      <c r="JLF65" s="447"/>
      <c r="JLG65" s="447"/>
      <c r="JLH65" s="447"/>
      <c r="JLI65" s="447"/>
      <c r="JLJ65" s="447"/>
      <c r="JLK65" s="447"/>
      <c r="JLL65" s="447"/>
      <c r="JLM65" s="447"/>
      <c r="JLN65" s="447"/>
      <c r="JLO65" s="447"/>
      <c r="JLP65" s="447"/>
      <c r="JLQ65" s="447"/>
      <c r="JLR65" s="447"/>
      <c r="JLS65" s="447"/>
      <c r="JLT65" s="447"/>
      <c r="JLU65" s="447"/>
      <c r="JLV65" s="447"/>
      <c r="JLW65" s="447"/>
      <c r="JLX65" s="447"/>
      <c r="JLY65" s="447"/>
      <c r="JLZ65" s="447"/>
      <c r="JMA65" s="447"/>
      <c r="JMB65" s="447"/>
      <c r="JMC65" s="447"/>
      <c r="JMD65" s="447"/>
      <c r="JME65" s="447"/>
      <c r="JMF65" s="447"/>
      <c r="JMG65" s="447"/>
      <c r="JMH65" s="447"/>
      <c r="JMI65" s="447"/>
      <c r="JMJ65" s="447"/>
      <c r="JMK65" s="447"/>
      <c r="JML65" s="447"/>
      <c r="JMM65" s="447"/>
      <c r="JMN65" s="447"/>
      <c r="JMO65" s="447"/>
      <c r="JMP65" s="447"/>
      <c r="JMQ65" s="447"/>
      <c r="JMR65" s="447"/>
      <c r="JMS65" s="447"/>
      <c r="JMT65" s="447"/>
      <c r="JMU65" s="447"/>
      <c r="JMV65" s="447"/>
      <c r="JMW65" s="447"/>
      <c r="JMX65" s="447"/>
      <c r="JMY65" s="447"/>
      <c r="JMZ65" s="447"/>
      <c r="JNA65" s="447"/>
      <c r="JNB65" s="447"/>
      <c r="JNC65" s="447"/>
      <c r="JND65" s="447"/>
      <c r="JNE65" s="447"/>
      <c r="JNF65" s="447"/>
      <c r="JNG65" s="447"/>
      <c r="JNH65" s="447"/>
      <c r="JNI65" s="447"/>
      <c r="JNJ65" s="447"/>
      <c r="JNK65" s="447"/>
      <c r="JNL65" s="447"/>
      <c r="JNM65" s="447"/>
      <c r="JNN65" s="447"/>
      <c r="JNO65" s="447"/>
      <c r="JNP65" s="447"/>
      <c r="JNQ65" s="447"/>
      <c r="JNR65" s="447"/>
      <c r="JNS65" s="447"/>
      <c r="JNT65" s="447"/>
      <c r="JNU65" s="447"/>
      <c r="JNV65" s="447"/>
      <c r="JNW65" s="447"/>
      <c r="JNX65" s="447"/>
      <c r="JNY65" s="447"/>
      <c r="JNZ65" s="447"/>
      <c r="JOA65" s="447"/>
      <c r="JOB65" s="447"/>
      <c r="JOC65" s="447"/>
      <c r="JOD65" s="447"/>
      <c r="JOE65" s="447"/>
      <c r="JOF65" s="447"/>
      <c r="JOG65" s="447"/>
      <c r="JOH65" s="447"/>
      <c r="JOI65" s="447"/>
      <c r="JOJ65" s="447"/>
      <c r="JOK65" s="447"/>
      <c r="JOL65" s="447"/>
      <c r="JOM65" s="447"/>
      <c r="JON65" s="447"/>
      <c r="JOO65" s="447"/>
      <c r="JOP65" s="447"/>
      <c r="JOQ65" s="447"/>
      <c r="JOR65" s="447"/>
      <c r="JOS65" s="447"/>
      <c r="JOT65" s="447"/>
      <c r="JOU65" s="447"/>
      <c r="JOV65" s="447"/>
      <c r="JOW65" s="447"/>
      <c r="JOX65" s="447"/>
      <c r="JOY65" s="447"/>
      <c r="JOZ65" s="447"/>
      <c r="JPA65" s="447"/>
      <c r="JPB65" s="447"/>
      <c r="JPC65" s="447"/>
      <c r="JPD65" s="447"/>
      <c r="JPE65" s="447"/>
      <c r="JPF65" s="447"/>
      <c r="JPG65" s="447"/>
      <c r="JPH65" s="447"/>
      <c r="JPI65" s="447"/>
      <c r="JPJ65" s="447"/>
      <c r="JPK65" s="447"/>
      <c r="JPL65" s="447"/>
      <c r="JPM65" s="447"/>
      <c r="JPN65" s="447"/>
      <c r="JPO65" s="447"/>
      <c r="JPP65" s="447"/>
      <c r="JPQ65" s="447"/>
      <c r="JPR65" s="447"/>
      <c r="JPS65" s="447"/>
      <c r="JPT65" s="447"/>
      <c r="JPU65" s="447"/>
      <c r="JPV65" s="447"/>
      <c r="JPW65" s="447"/>
      <c r="JPX65" s="447"/>
      <c r="JPY65" s="447"/>
      <c r="JPZ65" s="447"/>
      <c r="JQA65" s="447"/>
      <c r="JQB65" s="447"/>
      <c r="JQC65" s="447"/>
      <c r="JQD65" s="447"/>
      <c r="JQE65" s="447"/>
      <c r="JQF65" s="447"/>
      <c r="JQG65" s="447"/>
      <c r="JQH65" s="447"/>
      <c r="JQI65" s="447"/>
      <c r="JQJ65" s="447"/>
      <c r="JQK65" s="447"/>
      <c r="JQL65" s="447"/>
      <c r="JQM65" s="447"/>
      <c r="JQN65" s="447"/>
      <c r="JQO65" s="447"/>
      <c r="JQP65" s="447"/>
      <c r="JQQ65" s="447"/>
      <c r="JQR65" s="447"/>
      <c r="JQS65" s="447"/>
      <c r="JQT65" s="447"/>
      <c r="JQU65" s="447"/>
      <c r="JQV65" s="447"/>
      <c r="JQW65" s="447"/>
      <c r="JQX65" s="447"/>
      <c r="JQY65" s="447"/>
      <c r="JQZ65" s="447"/>
      <c r="JRA65" s="447"/>
      <c r="JRB65" s="447"/>
      <c r="JRC65" s="447"/>
      <c r="JRD65" s="447"/>
      <c r="JRE65" s="447"/>
      <c r="JRF65" s="447"/>
      <c r="JRG65" s="447"/>
      <c r="JRH65" s="447"/>
      <c r="JRI65" s="447"/>
      <c r="JRJ65" s="447"/>
      <c r="JRK65" s="447"/>
      <c r="JRL65" s="447"/>
      <c r="JRM65" s="447"/>
      <c r="JRN65" s="447"/>
      <c r="JRO65" s="447"/>
      <c r="JRP65" s="447"/>
      <c r="JRQ65" s="447"/>
      <c r="JRR65" s="447"/>
      <c r="JRS65" s="447"/>
      <c r="JRT65" s="447"/>
      <c r="JRU65" s="447"/>
      <c r="JRV65" s="447"/>
      <c r="JRW65" s="447"/>
      <c r="JRX65" s="447"/>
      <c r="JRY65" s="447"/>
      <c r="JRZ65" s="447"/>
      <c r="JSA65" s="447"/>
      <c r="JSB65" s="447"/>
      <c r="JSC65" s="447"/>
      <c r="JSD65" s="447"/>
      <c r="JSE65" s="447"/>
      <c r="JSF65" s="447"/>
      <c r="JSG65" s="447"/>
      <c r="JSH65" s="447"/>
      <c r="JSI65" s="447"/>
      <c r="JSJ65" s="447"/>
      <c r="JSK65" s="447"/>
      <c r="JSL65" s="447"/>
      <c r="JSM65" s="447"/>
      <c r="JSN65" s="447"/>
      <c r="JSO65" s="447"/>
      <c r="JSP65" s="447"/>
      <c r="JSQ65" s="447"/>
      <c r="JSR65" s="447"/>
      <c r="JSS65" s="447"/>
      <c r="JST65" s="447"/>
      <c r="JSU65" s="447"/>
      <c r="JSV65" s="447"/>
      <c r="JSW65" s="447"/>
      <c r="JSX65" s="447"/>
      <c r="JSY65" s="447"/>
      <c r="JSZ65" s="447"/>
      <c r="JTA65" s="447"/>
      <c r="JTB65" s="447"/>
      <c r="JTC65" s="447"/>
      <c r="JTD65" s="447"/>
      <c r="JTE65" s="447"/>
      <c r="JTF65" s="447"/>
      <c r="JTG65" s="447"/>
      <c r="JTH65" s="447"/>
      <c r="JTI65" s="447"/>
      <c r="JTJ65" s="447"/>
      <c r="JTK65" s="447"/>
      <c r="JTL65" s="447"/>
      <c r="JTM65" s="447"/>
      <c r="JTN65" s="447"/>
      <c r="JTO65" s="447"/>
      <c r="JTP65" s="447"/>
      <c r="JTQ65" s="447"/>
      <c r="JTR65" s="447"/>
      <c r="JTS65" s="447"/>
      <c r="JTT65" s="447"/>
      <c r="JTU65" s="447"/>
      <c r="JTV65" s="447"/>
      <c r="JTW65" s="447"/>
      <c r="JTX65" s="447"/>
      <c r="JTY65" s="447"/>
      <c r="JTZ65" s="447"/>
      <c r="JUA65" s="447"/>
      <c r="JUB65" s="447"/>
      <c r="JUC65" s="447"/>
      <c r="JUD65" s="447"/>
      <c r="JUE65" s="447"/>
      <c r="JUF65" s="447"/>
      <c r="JUG65" s="447"/>
      <c r="JUH65" s="447"/>
      <c r="JUI65" s="447"/>
      <c r="JUJ65" s="447"/>
      <c r="JUK65" s="447"/>
      <c r="JUL65" s="447"/>
      <c r="JUM65" s="447"/>
      <c r="JUN65" s="447"/>
      <c r="JUO65" s="447"/>
      <c r="JUP65" s="447"/>
      <c r="JUQ65" s="447"/>
      <c r="JUR65" s="447"/>
      <c r="JUS65" s="447"/>
      <c r="JUT65" s="447"/>
      <c r="JUU65" s="447"/>
      <c r="JUV65" s="447"/>
      <c r="JUW65" s="447"/>
      <c r="JUX65" s="447"/>
      <c r="JUY65" s="447"/>
      <c r="JUZ65" s="447"/>
      <c r="JVA65" s="447"/>
      <c r="JVB65" s="447"/>
      <c r="JVC65" s="447"/>
      <c r="JVD65" s="447"/>
      <c r="JVE65" s="447"/>
      <c r="JVF65" s="447"/>
      <c r="JVG65" s="447"/>
      <c r="JVH65" s="447"/>
      <c r="JVI65" s="447"/>
      <c r="JVJ65" s="447"/>
      <c r="JVK65" s="447"/>
      <c r="JVL65" s="447"/>
      <c r="JVM65" s="447"/>
      <c r="JVN65" s="447"/>
      <c r="JVO65" s="447"/>
      <c r="JVP65" s="447"/>
      <c r="JVQ65" s="447"/>
      <c r="JVR65" s="447"/>
      <c r="JVS65" s="447"/>
      <c r="JVT65" s="447"/>
      <c r="JVU65" s="447"/>
      <c r="JVV65" s="447"/>
      <c r="JVW65" s="447"/>
      <c r="JVX65" s="447"/>
      <c r="JVY65" s="447"/>
      <c r="JVZ65" s="447"/>
      <c r="JWA65" s="447"/>
      <c r="JWB65" s="447"/>
      <c r="JWC65" s="447"/>
      <c r="JWD65" s="447"/>
      <c r="JWE65" s="447"/>
      <c r="JWF65" s="447"/>
      <c r="JWG65" s="447"/>
      <c r="JWH65" s="447"/>
      <c r="JWI65" s="447"/>
      <c r="JWJ65" s="447"/>
      <c r="JWK65" s="447"/>
      <c r="JWL65" s="447"/>
      <c r="JWM65" s="447"/>
      <c r="JWN65" s="447"/>
      <c r="JWO65" s="447"/>
      <c r="JWP65" s="447"/>
      <c r="JWQ65" s="447"/>
      <c r="JWR65" s="447"/>
      <c r="JWS65" s="447"/>
      <c r="JWT65" s="447"/>
      <c r="JWU65" s="447"/>
      <c r="JWV65" s="447"/>
      <c r="JWW65" s="447"/>
      <c r="JWX65" s="447"/>
      <c r="JWY65" s="447"/>
      <c r="JWZ65" s="447"/>
      <c r="JXA65" s="447"/>
      <c r="JXB65" s="447"/>
      <c r="JXC65" s="447"/>
      <c r="JXD65" s="447"/>
      <c r="JXE65" s="447"/>
      <c r="JXF65" s="447"/>
      <c r="JXG65" s="447"/>
      <c r="JXH65" s="447"/>
      <c r="JXI65" s="447"/>
      <c r="JXJ65" s="447"/>
      <c r="JXK65" s="447"/>
      <c r="JXL65" s="447"/>
      <c r="JXM65" s="447"/>
      <c r="JXN65" s="447"/>
      <c r="JXO65" s="447"/>
      <c r="JXP65" s="447"/>
      <c r="JXQ65" s="447"/>
      <c r="JXR65" s="447"/>
      <c r="JXS65" s="447"/>
      <c r="JXT65" s="447"/>
      <c r="JXU65" s="447"/>
      <c r="JXV65" s="447"/>
      <c r="JXW65" s="447"/>
      <c r="JXX65" s="447"/>
      <c r="JXY65" s="447"/>
      <c r="JXZ65" s="447"/>
      <c r="JYA65" s="447"/>
      <c r="JYB65" s="447"/>
      <c r="JYC65" s="447"/>
      <c r="JYD65" s="447"/>
      <c r="JYE65" s="447"/>
      <c r="JYF65" s="447"/>
      <c r="JYG65" s="447"/>
      <c r="JYH65" s="447"/>
      <c r="JYI65" s="447"/>
      <c r="JYJ65" s="447"/>
      <c r="JYK65" s="447"/>
      <c r="JYL65" s="447"/>
      <c r="JYM65" s="447"/>
      <c r="JYN65" s="447"/>
      <c r="JYO65" s="447"/>
      <c r="JYP65" s="447"/>
      <c r="JYQ65" s="447"/>
      <c r="JYR65" s="447"/>
      <c r="JYS65" s="447"/>
      <c r="JYT65" s="447"/>
      <c r="JYU65" s="447"/>
      <c r="JYV65" s="447"/>
      <c r="JYW65" s="447"/>
      <c r="JYX65" s="447"/>
      <c r="JYY65" s="447"/>
      <c r="JYZ65" s="447"/>
      <c r="JZA65" s="447"/>
      <c r="JZB65" s="447"/>
      <c r="JZC65" s="447"/>
      <c r="JZD65" s="447"/>
      <c r="JZE65" s="447"/>
      <c r="JZF65" s="447"/>
      <c r="JZG65" s="447"/>
      <c r="JZH65" s="447"/>
      <c r="JZI65" s="447"/>
      <c r="JZJ65" s="447"/>
      <c r="JZK65" s="447"/>
      <c r="JZL65" s="447"/>
      <c r="JZM65" s="447"/>
      <c r="JZN65" s="447"/>
      <c r="JZO65" s="447"/>
      <c r="JZP65" s="447"/>
      <c r="JZQ65" s="447"/>
      <c r="JZR65" s="447"/>
      <c r="JZS65" s="447"/>
      <c r="JZT65" s="447"/>
      <c r="JZU65" s="447"/>
      <c r="JZV65" s="447"/>
      <c r="JZW65" s="447"/>
      <c r="JZX65" s="447"/>
      <c r="JZY65" s="447"/>
      <c r="JZZ65" s="447"/>
      <c r="KAA65" s="447"/>
      <c r="KAB65" s="447"/>
      <c r="KAC65" s="447"/>
      <c r="KAD65" s="447"/>
      <c r="KAE65" s="447"/>
      <c r="KAF65" s="447"/>
      <c r="KAG65" s="447"/>
      <c r="KAH65" s="447"/>
      <c r="KAI65" s="447"/>
      <c r="KAJ65" s="447"/>
      <c r="KAK65" s="447"/>
      <c r="KAL65" s="447"/>
      <c r="KAM65" s="447"/>
      <c r="KAN65" s="447"/>
      <c r="KAO65" s="447"/>
      <c r="KAP65" s="447"/>
      <c r="KAQ65" s="447"/>
      <c r="KAR65" s="447"/>
      <c r="KAS65" s="447"/>
      <c r="KAT65" s="447"/>
      <c r="KAU65" s="447"/>
      <c r="KAV65" s="447"/>
      <c r="KAW65" s="447"/>
      <c r="KAX65" s="447"/>
      <c r="KAY65" s="447"/>
      <c r="KAZ65" s="447"/>
      <c r="KBA65" s="447"/>
      <c r="KBB65" s="447"/>
      <c r="KBC65" s="447"/>
      <c r="KBD65" s="447"/>
      <c r="KBE65" s="447"/>
      <c r="KBF65" s="447"/>
      <c r="KBG65" s="447"/>
      <c r="KBH65" s="447"/>
      <c r="KBI65" s="447"/>
      <c r="KBJ65" s="447"/>
      <c r="KBK65" s="447"/>
      <c r="KBL65" s="447"/>
      <c r="KBM65" s="447"/>
      <c r="KBN65" s="447"/>
      <c r="KBO65" s="447"/>
      <c r="KBP65" s="447"/>
      <c r="KBQ65" s="447"/>
      <c r="KBR65" s="447"/>
      <c r="KBS65" s="447"/>
      <c r="KBT65" s="447"/>
      <c r="KBU65" s="447"/>
      <c r="KBV65" s="447"/>
      <c r="KBW65" s="447"/>
      <c r="KBX65" s="447"/>
      <c r="KBY65" s="447"/>
      <c r="KBZ65" s="447"/>
      <c r="KCA65" s="447"/>
      <c r="KCB65" s="447"/>
      <c r="KCC65" s="447"/>
      <c r="KCD65" s="447"/>
      <c r="KCE65" s="447"/>
      <c r="KCF65" s="447"/>
      <c r="KCG65" s="447"/>
      <c r="KCH65" s="447"/>
      <c r="KCI65" s="447"/>
      <c r="KCJ65" s="447"/>
      <c r="KCK65" s="447"/>
      <c r="KCL65" s="447"/>
      <c r="KCM65" s="447"/>
      <c r="KCN65" s="447"/>
      <c r="KCO65" s="447"/>
      <c r="KCP65" s="447"/>
      <c r="KCQ65" s="447"/>
      <c r="KCR65" s="447"/>
      <c r="KCS65" s="447"/>
      <c r="KCT65" s="447"/>
      <c r="KCU65" s="447"/>
      <c r="KCV65" s="447"/>
      <c r="KCW65" s="447"/>
      <c r="KCX65" s="447"/>
      <c r="KCY65" s="447"/>
      <c r="KCZ65" s="447"/>
      <c r="KDA65" s="447"/>
      <c r="KDB65" s="447"/>
      <c r="KDC65" s="447"/>
      <c r="KDD65" s="447"/>
      <c r="KDE65" s="447"/>
      <c r="KDF65" s="447"/>
      <c r="KDG65" s="447"/>
      <c r="KDH65" s="447"/>
      <c r="KDI65" s="447"/>
      <c r="KDJ65" s="447"/>
      <c r="KDK65" s="447"/>
      <c r="KDL65" s="447"/>
      <c r="KDM65" s="447"/>
      <c r="KDN65" s="447"/>
      <c r="KDO65" s="447"/>
      <c r="KDP65" s="447"/>
      <c r="KDQ65" s="447"/>
      <c r="KDR65" s="447"/>
      <c r="KDS65" s="447"/>
      <c r="KDT65" s="447"/>
      <c r="KDU65" s="447"/>
      <c r="KDV65" s="447"/>
      <c r="KDW65" s="447"/>
      <c r="KDX65" s="447"/>
      <c r="KDY65" s="447"/>
      <c r="KDZ65" s="447"/>
      <c r="KEA65" s="447"/>
      <c r="KEB65" s="447"/>
      <c r="KEC65" s="447"/>
      <c r="KED65" s="447"/>
      <c r="KEE65" s="447"/>
      <c r="KEF65" s="447"/>
      <c r="KEG65" s="447"/>
      <c r="KEH65" s="447"/>
      <c r="KEI65" s="447"/>
      <c r="KEJ65" s="447"/>
      <c r="KEK65" s="447"/>
      <c r="KEL65" s="447"/>
      <c r="KEM65" s="447"/>
      <c r="KEN65" s="447"/>
      <c r="KEO65" s="447"/>
      <c r="KEP65" s="447"/>
      <c r="KEQ65" s="447"/>
      <c r="KER65" s="447"/>
      <c r="KES65" s="447"/>
      <c r="KET65" s="447"/>
      <c r="KEU65" s="447"/>
      <c r="KEV65" s="447"/>
      <c r="KEW65" s="447"/>
      <c r="KEX65" s="447"/>
      <c r="KEY65" s="447"/>
      <c r="KEZ65" s="447"/>
      <c r="KFA65" s="447"/>
      <c r="KFB65" s="447"/>
      <c r="KFC65" s="447"/>
      <c r="KFD65" s="447"/>
      <c r="KFE65" s="447"/>
      <c r="KFF65" s="447"/>
      <c r="KFG65" s="447"/>
      <c r="KFH65" s="447"/>
      <c r="KFI65" s="447"/>
      <c r="KFJ65" s="447"/>
      <c r="KFK65" s="447"/>
      <c r="KFL65" s="447"/>
      <c r="KFM65" s="447"/>
      <c r="KFN65" s="447"/>
      <c r="KFO65" s="447"/>
      <c r="KFP65" s="447"/>
      <c r="KFQ65" s="447"/>
      <c r="KFR65" s="447"/>
      <c r="KFS65" s="447"/>
      <c r="KFT65" s="447"/>
      <c r="KFU65" s="447"/>
      <c r="KFV65" s="447"/>
      <c r="KFW65" s="447"/>
      <c r="KFX65" s="447"/>
      <c r="KFY65" s="447"/>
      <c r="KFZ65" s="447"/>
      <c r="KGA65" s="447"/>
      <c r="KGB65" s="447"/>
      <c r="KGC65" s="447"/>
      <c r="KGD65" s="447"/>
      <c r="KGE65" s="447"/>
      <c r="KGF65" s="447"/>
      <c r="KGG65" s="447"/>
      <c r="KGH65" s="447"/>
      <c r="KGI65" s="447"/>
      <c r="KGJ65" s="447"/>
      <c r="KGK65" s="447"/>
      <c r="KGL65" s="447"/>
      <c r="KGM65" s="447"/>
      <c r="KGN65" s="447"/>
      <c r="KGO65" s="447"/>
      <c r="KGP65" s="447"/>
      <c r="KGQ65" s="447"/>
      <c r="KGR65" s="447"/>
      <c r="KGS65" s="447"/>
      <c r="KGT65" s="447"/>
      <c r="KGU65" s="447"/>
      <c r="KGV65" s="447"/>
      <c r="KGW65" s="447"/>
      <c r="KGX65" s="447"/>
      <c r="KGY65" s="447"/>
      <c r="KGZ65" s="447"/>
      <c r="KHA65" s="447"/>
      <c r="KHB65" s="447"/>
      <c r="KHC65" s="447"/>
      <c r="KHD65" s="447"/>
      <c r="KHE65" s="447"/>
      <c r="KHF65" s="447"/>
      <c r="KHG65" s="447"/>
      <c r="KHH65" s="447"/>
      <c r="KHI65" s="447"/>
      <c r="KHJ65" s="447"/>
      <c r="KHK65" s="447"/>
      <c r="KHL65" s="447"/>
      <c r="KHM65" s="447"/>
      <c r="KHN65" s="447"/>
      <c r="KHO65" s="447"/>
      <c r="KHP65" s="447"/>
      <c r="KHQ65" s="447"/>
      <c r="KHR65" s="447"/>
      <c r="KHS65" s="447"/>
      <c r="KHT65" s="447"/>
      <c r="KHU65" s="447"/>
      <c r="KHV65" s="447"/>
      <c r="KHW65" s="447"/>
      <c r="KHX65" s="447"/>
      <c r="KHY65" s="447"/>
      <c r="KHZ65" s="447"/>
      <c r="KIA65" s="447"/>
      <c r="KIB65" s="447"/>
      <c r="KIC65" s="447"/>
      <c r="KID65" s="447"/>
      <c r="KIE65" s="447"/>
      <c r="KIF65" s="447"/>
      <c r="KIG65" s="447"/>
      <c r="KIH65" s="447"/>
      <c r="KII65" s="447"/>
      <c r="KIJ65" s="447"/>
      <c r="KIK65" s="447"/>
      <c r="KIL65" s="447"/>
      <c r="KIM65" s="447"/>
      <c r="KIN65" s="447"/>
      <c r="KIO65" s="447"/>
      <c r="KIP65" s="447"/>
      <c r="KIQ65" s="447"/>
      <c r="KIR65" s="447"/>
      <c r="KIS65" s="447"/>
      <c r="KIT65" s="447"/>
      <c r="KIU65" s="447"/>
      <c r="KIV65" s="447"/>
      <c r="KIW65" s="447"/>
      <c r="KIX65" s="447"/>
      <c r="KIY65" s="447"/>
      <c r="KIZ65" s="447"/>
      <c r="KJA65" s="447"/>
      <c r="KJB65" s="447"/>
      <c r="KJC65" s="447"/>
      <c r="KJD65" s="447"/>
      <c r="KJE65" s="447"/>
      <c r="KJF65" s="447"/>
      <c r="KJG65" s="447"/>
      <c r="KJH65" s="447"/>
      <c r="KJI65" s="447"/>
      <c r="KJJ65" s="447"/>
      <c r="KJK65" s="447"/>
      <c r="KJL65" s="447"/>
      <c r="KJM65" s="447"/>
      <c r="KJN65" s="447"/>
      <c r="KJO65" s="447"/>
      <c r="KJP65" s="447"/>
      <c r="KJQ65" s="447"/>
      <c r="KJR65" s="447"/>
      <c r="KJS65" s="447"/>
      <c r="KJT65" s="447"/>
      <c r="KJU65" s="447"/>
      <c r="KJV65" s="447"/>
      <c r="KJW65" s="447"/>
      <c r="KJX65" s="447"/>
      <c r="KJY65" s="447"/>
      <c r="KJZ65" s="447"/>
      <c r="KKA65" s="447"/>
      <c r="KKB65" s="447"/>
      <c r="KKC65" s="447"/>
      <c r="KKD65" s="447"/>
      <c r="KKE65" s="447"/>
      <c r="KKF65" s="447"/>
      <c r="KKG65" s="447"/>
      <c r="KKH65" s="447"/>
      <c r="KKI65" s="447"/>
      <c r="KKJ65" s="447"/>
      <c r="KKK65" s="447"/>
      <c r="KKL65" s="447"/>
      <c r="KKM65" s="447"/>
      <c r="KKN65" s="447"/>
      <c r="KKO65" s="447"/>
      <c r="KKP65" s="447"/>
      <c r="KKQ65" s="447"/>
      <c r="KKR65" s="447"/>
      <c r="KKS65" s="447"/>
      <c r="KKT65" s="447"/>
      <c r="KKU65" s="447"/>
      <c r="KKV65" s="447"/>
      <c r="KKW65" s="447"/>
      <c r="KKX65" s="447"/>
      <c r="KKY65" s="447"/>
      <c r="KKZ65" s="447"/>
      <c r="KLA65" s="447"/>
      <c r="KLB65" s="447"/>
      <c r="KLC65" s="447"/>
      <c r="KLD65" s="447"/>
      <c r="KLE65" s="447"/>
      <c r="KLF65" s="447"/>
      <c r="KLG65" s="447"/>
      <c r="KLH65" s="447"/>
      <c r="KLI65" s="447"/>
      <c r="KLJ65" s="447"/>
      <c r="KLK65" s="447"/>
      <c r="KLL65" s="447"/>
      <c r="KLM65" s="447"/>
      <c r="KLN65" s="447"/>
      <c r="KLO65" s="447"/>
      <c r="KLP65" s="447"/>
      <c r="KLQ65" s="447"/>
      <c r="KLR65" s="447"/>
      <c r="KLS65" s="447"/>
      <c r="KLT65" s="447"/>
      <c r="KLU65" s="447"/>
      <c r="KLV65" s="447"/>
      <c r="KLW65" s="447"/>
      <c r="KLX65" s="447"/>
      <c r="KLY65" s="447"/>
      <c r="KLZ65" s="447"/>
      <c r="KMA65" s="447"/>
      <c r="KMB65" s="447"/>
      <c r="KMC65" s="447"/>
      <c r="KMD65" s="447"/>
      <c r="KME65" s="447"/>
      <c r="KMF65" s="447"/>
      <c r="KMG65" s="447"/>
      <c r="KMH65" s="447"/>
      <c r="KMI65" s="447"/>
      <c r="KMJ65" s="447"/>
      <c r="KMK65" s="447"/>
      <c r="KML65" s="447"/>
      <c r="KMM65" s="447"/>
      <c r="KMN65" s="447"/>
      <c r="KMO65" s="447"/>
      <c r="KMP65" s="447"/>
      <c r="KMQ65" s="447"/>
      <c r="KMR65" s="447"/>
      <c r="KMS65" s="447"/>
      <c r="KMT65" s="447"/>
      <c r="KMU65" s="447"/>
      <c r="KMV65" s="447"/>
      <c r="KMW65" s="447"/>
      <c r="KMX65" s="447"/>
      <c r="KMY65" s="447"/>
      <c r="KMZ65" s="447"/>
      <c r="KNA65" s="447"/>
      <c r="KNB65" s="447"/>
      <c r="KNC65" s="447"/>
      <c r="KND65" s="447"/>
      <c r="KNE65" s="447"/>
      <c r="KNF65" s="447"/>
      <c r="KNG65" s="447"/>
      <c r="KNH65" s="447"/>
      <c r="KNI65" s="447"/>
      <c r="KNJ65" s="447"/>
      <c r="KNK65" s="447"/>
      <c r="KNL65" s="447"/>
      <c r="KNM65" s="447"/>
      <c r="KNN65" s="447"/>
      <c r="KNO65" s="447"/>
      <c r="KNP65" s="447"/>
      <c r="KNQ65" s="447"/>
      <c r="KNR65" s="447"/>
      <c r="KNS65" s="447"/>
      <c r="KNT65" s="447"/>
      <c r="KNU65" s="447"/>
      <c r="KNV65" s="447"/>
      <c r="KNW65" s="447"/>
      <c r="KNX65" s="447"/>
      <c r="KNY65" s="447"/>
      <c r="KNZ65" s="447"/>
      <c r="KOA65" s="447"/>
      <c r="KOB65" s="447"/>
      <c r="KOC65" s="447"/>
      <c r="KOD65" s="447"/>
      <c r="KOE65" s="447"/>
      <c r="KOF65" s="447"/>
      <c r="KOG65" s="447"/>
      <c r="KOH65" s="447"/>
      <c r="KOI65" s="447"/>
      <c r="KOJ65" s="447"/>
      <c r="KOK65" s="447"/>
      <c r="KOL65" s="447"/>
      <c r="KOM65" s="447"/>
      <c r="KON65" s="447"/>
      <c r="KOO65" s="447"/>
      <c r="KOP65" s="447"/>
      <c r="KOQ65" s="447"/>
      <c r="KOR65" s="447"/>
      <c r="KOS65" s="447"/>
      <c r="KOT65" s="447"/>
      <c r="KOU65" s="447"/>
      <c r="KOV65" s="447"/>
      <c r="KOW65" s="447"/>
      <c r="KOX65" s="447"/>
      <c r="KOY65" s="447"/>
      <c r="KOZ65" s="447"/>
      <c r="KPA65" s="447"/>
      <c r="KPB65" s="447"/>
      <c r="KPC65" s="447"/>
      <c r="KPD65" s="447"/>
      <c r="KPE65" s="447"/>
      <c r="KPF65" s="447"/>
      <c r="KPG65" s="447"/>
      <c r="KPH65" s="447"/>
      <c r="KPI65" s="447"/>
      <c r="KPJ65" s="447"/>
      <c r="KPK65" s="447"/>
      <c r="KPL65" s="447"/>
      <c r="KPM65" s="447"/>
      <c r="KPN65" s="447"/>
      <c r="KPO65" s="447"/>
      <c r="KPP65" s="447"/>
      <c r="KPQ65" s="447"/>
      <c r="KPR65" s="447"/>
      <c r="KPS65" s="447"/>
      <c r="KPT65" s="447"/>
      <c r="KPU65" s="447"/>
      <c r="KPV65" s="447"/>
      <c r="KPW65" s="447"/>
      <c r="KPX65" s="447"/>
      <c r="KPY65" s="447"/>
      <c r="KPZ65" s="447"/>
      <c r="KQA65" s="447"/>
      <c r="KQB65" s="447"/>
      <c r="KQC65" s="447"/>
      <c r="KQD65" s="447"/>
      <c r="KQE65" s="447"/>
      <c r="KQF65" s="447"/>
      <c r="KQG65" s="447"/>
      <c r="KQH65" s="447"/>
      <c r="KQI65" s="447"/>
      <c r="KQJ65" s="447"/>
      <c r="KQK65" s="447"/>
      <c r="KQL65" s="447"/>
      <c r="KQM65" s="447"/>
      <c r="KQN65" s="447"/>
      <c r="KQO65" s="447"/>
      <c r="KQP65" s="447"/>
      <c r="KQQ65" s="447"/>
      <c r="KQR65" s="447"/>
      <c r="KQS65" s="447"/>
      <c r="KQT65" s="447"/>
      <c r="KQU65" s="447"/>
      <c r="KQV65" s="447"/>
      <c r="KQW65" s="447"/>
      <c r="KQX65" s="447"/>
      <c r="KQY65" s="447"/>
      <c r="KQZ65" s="447"/>
      <c r="KRA65" s="447"/>
      <c r="KRB65" s="447"/>
      <c r="KRC65" s="447"/>
      <c r="KRD65" s="447"/>
      <c r="KRE65" s="447"/>
      <c r="KRF65" s="447"/>
      <c r="KRG65" s="447"/>
      <c r="KRH65" s="447"/>
      <c r="KRI65" s="447"/>
      <c r="KRJ65" s="447"/>
      <c r="KRK65" s="447"/>
      <c r="KRL65" s="447"/>
      <c r="KRM65" s="447"/>
      <c r="KRN65" s="447"/>
      <c r="KRO65" s="447"/>
      <c r="KRP65" s="447"/>
      <c r="KRQ65" s="447"/>
      <c r="KRR65" s="447"/>
      <c r="KRS65" s="447"/>
      <c r="KRT65" s="447"/>
      <c r="KRU65" s="447"/>
      <c r="KRV65" s="447"/>
      <c r="KRW65" s="447"/>
      <c r="KRX65" s="447"/>
      <c r="KRY65" s="447"/>
      <c r="KRZ65" s="447"/>
      <c r="KSA65" s="447"/>
      <c r="KSB65" s="447"/>
      <c r="KSC65" s="447"/>
      <c r="KSD65" s="447"/>
      <c r="KSE65" s="447"/>
      <c r="KSF65" s="447"/>
      <c r="KSG65" s="447"/>
      <c r="KSH65" s="447"/>
      <c r="KSI65" s="447"/>
      <c r="KSJ65" s="447"/>
      <c r="KSK65" s="447"/>
      <c r="KSL65" s="447"/>
      <c r="KSM65" s="447"/>
      <c r="KSN65" s="447"/>
      <c r="KSO65" s="447"/>
      <c r="KSP65" s="447"/>
      <c r="KSQ65" s="447"/>
      <c r="KSR65" s="447"/>
      <c r="KSS65" s="447"/>
      <c r="KST65" s="447"/>
      <c r="KSU65" s="447"/>
      <c r="KSV65" s="447"/>
      <c r="KSW65" s="447"/>
      <c r="KSX65" s="447"/>
      <c r="KSY65" s="447"/>
      <c r="KSZ65" s="447"/>
      <c r="KTA65" s="447"/>
      <c r="KTB65" s="447"/>
      <c r="KTC65" s="447"/>
      <c r="KTD65" s="447"/>
      <c r="KTE65" s="447"/>
      <c r="KTF65" s="447"/>
      <c r="KTG65" s="447"/>
      <c r="KTH65" s="447"/>
      <c r="KTI65" s="447"/>
      <c r="KTJ65" s="447"/>
      <c r="KTK65" s="447"/>
      <c r="KTL65" s="447"/>
      <c r="KTM65" s="447"/>
      <c r="KTN65" s="447"/>
      <c r="KTO65" s="447"/>
      <c r="KTP65" s="447"/>
      <c r="KTQ65" s="447"/>
      <c r="KTR65" s="447"/>
      <c r="KTS65" s="447"/>
      <c r="KTT65" s="447"/>
      <c r="KTU65" s="447"/>
      <c r="KTV65" s="447"/>
      <c r="KTW65" s="447"/>
      <c r="KTX65" s="447"/>
      <c r="KTY65" s="447"/>
      <c r="KTZ65" s="447"/>
      <c r="KUA65" s="447"/>
      <c r="KUB65" s="447"/>
      <c r="KUC65" s="447"/>
      <c r="KUD65" s="447"/>
      <c r="KUE65" s="447"/>
      <c r="KUF65" s="447"/>
      <c r="KUG65" s="447"/>
      <c r="KUH65" s="447"/>
      <c r="KUI65" s="447"/>
      <c r="KUJ65" s="447"/>
      <c r="KUK65" s="447"/>
      <c r="KUL65" s="447"/>
      <c r="KUM65" s="447"/>
      <c r="KUN65" s="447"/>
      <c r="KUO65" s="447"/>
      <c r="KUP65" s="447"/>
      <c r="KUQ65" s="447"/>
      <c r="KUR65" s="447"/>
      <c r="KUS65" s="447"/>
      <c r="KUT65" s="447"/>
      <c r="KUU65" s="447"/>
      <c r="KUV65" s="447"/>
      <c r="KUW65" s="447"/>
      <c r="KUX65" s="447"/>
      <c r="KUY65" s="447"/>
      <c r="KUZ65" s="447"/>
      <c r="KVA65" s="447"/>
      <c r="KVB65" s="447"/>
      <c r="KVC65" s="447"/>
      <c r="KVD65" s="447"/>
      <c r="KVE65" s="447"/>
      <c r="KVF65" s="447"/>
      <c r="KVG65" s="447"/>
      <c r="KVH65" s="447"/>
      <c r="KVI65" s="447"/>
      <c r="KVJ65" s="447"/>
      <c r="KVK65" s="447"/>
      <c r="KVL65" s="447"/>
      <c r="KVM65" s="447"/>
      <c r="KVN65" s="447"/>
      <c r="KVO65" s="447"/>
      <c r="KVP65" s="447"/>
      <c r="KVQ65" s="447"/>
      <c r="KVR65" s="447"/>
      <c r="KVS65" s="447"/>
      <c r="KVT65" s="447"/>
      <c r="KVU65" s="447"/>
      <c r="KVV65" s="447"/>
      <c r="KVW65" s="447"/>
      <c r="KVX65" s="447"/>
      <c r="KVY65" s="447"/>
      <c r="KVZ65" s="447"/>
      <c r="KWA65" s="447"/>
      <c r="KWB65" s="447"/>
      <c r="KWC65" s="447"/>
      <c r="KWD65" s="447"/>
      <c r="KWE65" s="447"/>
      <c r="KWF65" s="447"/>
      <c r="KWG65" s="447"/>
      <c r="KWH65" s="447"/>
      <c r="KWI65" s="447"/>
      <c r="KWJ65" s="447"/>
      <c r="KWK65" s="447"/>
      <c r="KWL65" s="447"/>
      <c r="KWM65" s="447"/>
      <c r="KWN65" s="447"/>
      <c r="KWO65" s="447"/>
      <c r="KWP65" s="447"/>
      <c r="KWQ65" s="447"/>
      <c r="KWR65" s="447"/>
      <c r="KWS65" s="447"/>
      <c r="KWT65" s="447"/>
      <c r="KWU65" s="447"/>
      <c r="KWV65" s="447"/>
      <c r="KWW65" s="447"/>
      <c r="KWX65" s="447"/>
      <c r="KWY65" s="447"/>
      <c r="KWZ65" s="447"/>
      <c r="KXA65" s="447"/>
      <c r="KXB65" s="447"/>
      <c r="KXC65" s="447"/>
      <c r="KXD65" s="447"/>
      <c r="KXE65" s="447"/>
      <c r="KXF65" s="447"/>
      <c r="KXG65" s="447"/>
      <c r="KXH65" s="447"/>
      <c r="KXI65" s="447"/>
      <c r="KXJ65" s="447"/>
      <c r="KXK65" s="447"/>
      <c r="KXL65" s="447"/>
      <c r="KXM65" s="447"/>
      <c r="KXN65" s="447"/>
      <c r="KXO65" s="447"/>
      <c r="KXP65" s="447"/>
      <c r="KXQ65" s="447"/>
      <c r="KXR65" s="447"/>
      <c r="KXS65" s="447"/>
      <c r="KXT65" s="447"/>
      <c r="KXU65" s="447"/>
      <c r="KXV65" s="447"/>
      <c r="KXW65" s="447"/>
      <c r="KXX65" s="447"/>
      <c r="KXY65" s="447"/>
      <c r="KXZ65" s="447"/>
      <c r="KYA65" s="447"/>
      <c r="KYB65" s="447"/>
      <c r="KYC65" s="447"/>
      <c r="KYD65" s="447"/>
      <c r="KYE65" s="447"/>
      <c r="KYF65" s="447"/>
      <c r="KYG65" s="447"/>
      <c r="KYH65" s="447"/>
      <c r="KYI65" s="447"/>
      <c r="KYJ65" s="447"/>
      <c r="KYK65" s="447"/>
      <c r="KYL65" s="447"/>
      <c r="KYM65" s="447"/>
      <c r="KYN65" s="447"/>
      <c r="KYO65" s="447"/>
      <c r="KYP65" s="447"/>
      <c r="KYQ65" s="447"/>
      <c r="KYR65" s="447"/>
      <c r="KYS65" s="447"/>
      <c r="KYT65" s="447"/>
      <c r="KYU65" s="447"/>
      <c r="KYV65" s="447"/>
      <c r="KYW65" s="447"/>
      <c r="KYX65" s="447"/>
      <c r="KYY65" s="447"/>
      <c r="KYZ65" s="447"/>
      <c r="KZA65" s="447"/>
      <c r="KZB65" s="447"/>
      <c r="KZC65" s="447"/>
      <c r="KZD65" s="447"/>
      <c r="KZE65" s="447"/>
      <c r="KZF65" s="447"/>
      <c r="KZG65" s="447"/>
      <c r="KZH65" s="447"/>
      <c r="KZI65" s="447"/>
      <c r="KZJ65" s="447"/>
      <c r="KZK65" s="447"/>
      <c r="KZL65" s="447"/>
      <c r="KZM65" s="447"/>
      <c r="KZN65" s="447"/>
      <c r="KZO65" s="447"/>
      <c r="KZP65" s="447"/>
      <c r="KZQ65" s="447"/>
      <c r="KZR65" s="447"/>
      <c r="KZS65" s="447"/>
      <c r="KZT65" s="447"/>
      <c r="KZU65" s="447"/>
      <c r="KZV65" s="447"/>
      <c r="KZW65" s="447"/>
      <c r="KZX65" s="447"/>
      <c r="KZY65" s="447"/>
      <c r="KZZ65" s="447"/>
      <c r="LAA65" s="447"/>
      <c r="LAB65" s="447"/>
      <c r="LAC65" s="447"/>
      <c r="LAD65" s="447"/>
      <c r="LAE65" s="447"/>
      <c r="LAF65" s="447"/>
      <c r="LAG65" s="447"/>
      <c r="LAH65" s="447"/>
      <c r="LAI65" s="447"/>
      <c r="LAJ65" s="447"/>
      <c r="LAK65" s="447"/>
      <c r="LAL65" s="447"/>
      <c r="LAM65" s="447"/>
      <c r="LAN65" s="447"/>
      <c r="LAO65" s="447"/>
      <c r="LAP65" s="447"/>
      <c r="LAQ65" s="447"/>
      <c r="LAR65" s="447"/>
      <c r="LAS65" s="447"/>
      <c r="LAT65" s="447"/>
      <c r="LAU65" s="447"/>
      <c r="LAV65" s="447"/>
      <c r="LAW65" s="447"/>
      <c r="LAX65" s="447"/>
      <c r="LAY65" s="447"/>
      <c r="LAZ65" s="447"/>
      <c r="LBA65" s="447"/>
      <c r="LBB65" s="447"/>
      <c r="LBC65" s="447"/>
      <c r="LBD65" s="447"/>
      <c r="LBE65" s="447"/>
      <c r="LBF65" s="447"/>
      <c r="LBG65" s="447"/>
      <c r="LBH65" s="447"/>
      <c r="LBI65" s="447"/>
      <c r="LBJ65" s="447"/>
      <c r="LBK65" s="447"/>
      <c r="LBL65" s="447"/>
      <c r="LBM65" s="447"/>
      <c r="LBN65" s="447"/>
      <c r="LBO65" s="447"/>
      <c r="LBP65" s="447"/>
      <c r="LBQ65" s="447"/>
      <c r="LBR65" s="447"/>
      <c r="LBS65" s="447"/>
      <c r="LBT65" s="447"/>
      <c r="LBU65" s="447"/>
      <c r="LBV65" s="447"/>
      <c r="LBW65" s="447"/>
      <c r="LBX65" s="447"/>
      <c r="LBY65" s="447"/>
      <c r="LBZ65" s="447"/>
      <c r="LCA65" s="447"/>
      <c r="LCB65" s="447"/>
      <c r="LCC65" s="447"/>
      <c r="LCD65" s="447"/>
      <c r="LCE65" s="447"/>
      <c r="LCF65" s="447"/>
      <c r="LCG65" s="447"/>
      <c r="LCH65" s="447"/>
      <c r="LCI65" s="447"/>
      <c r="LCJ65" s="447"/>
      <c r="LCK65" s="447"/>
      <c r="LCL65" s="447"/>
      <c r="LCM65" s="447"/>
      <c r="LCN65" s="447"/>
      <c r="LCO65" s="447"/>
      <c r="LCP65" s="447"/>
      <c r="LCQ65" s="447"/>
      <c r="LCR65" s="447"/>
      <c r="LCS65" s="447"/>
      <c r="LCT65" s="447"/>
      <c r="LCU65" s="447"/>
      <c r="LCV65" s="447"/>
      <c r="LCW65" s="447"/>
      <c r="LCX65" s="447"/>
      <c r="LCY65" s="447"/>
      <c r="LCZ65" s="447"/>
      <c r="LDA65" s="447"/>
      <c r="LDB65" s="447"/>
      <c r="LDC65" s="447"/>
      <c r="LDD65" s="447"/>
      <c r="LDE65" s="447"/>
      <c r="LDF65" s="447"/>
      <c r="LDG65" s="447"/>
      <c r="LDH65" s="447"/>
      <c r="LDI65" s="447"/>
      <c r="LDJ65" s="447"/>
      <c r="LDK65" s="447"/>
      <c r="LDL65" s="447"/>
      <c r="LDM65" s="447"/>
      <c r="LDN65" s="447"/>
      <c r="LDO65" s="447"/>
      <c r="LDP65" s="447"/>
      <c r="LDQ65" s="447"/>
      <c r="LDR65" s="447"/>
      <c r="LDS65" s="447"/>
      <c r="LDT65" s="447"/>
      <c r="LDU65" s="447"/>
      <c r="LDV65" s="447"/>
      <c r="LDW65" s="447"/>
      <c r="LDX65" s="447"/>
      <c r="LDY65" s="447"/>
      <c r="LDZ65" s="447"/>
      <c r="LEA65" s="447"/>
      <c r="LEB65" s="447"/>
      <c r="LEC65" s="447"/>
      <c r="LED65" s="447"/>
      <c r="LEE65" s="447"/>
      <c r="LEF65" s="447"/>
      <c r="LEG65" s="447"/>
      <c r="LEH65" s="447"/>
      <c r="LEI65" s="447"/>
      <c r="LEJ65" s="447"/>
      <c r="LEK65" s="447"/>
      <c r="LEL65" s="447"/>
      <c r="LEM65" s="447"/>
      <c r="LEN65" s="447"/>
      <c r="LEO65" s="447"/>
      <c r="LEP65" s="447"/>
      <c r="LEQ65" s="447"/>
      <c r="LER65" s="447"/>
      <c r="LES65" s="447"/>
      <c r="LET65" s="447"/>
      <c r="LEU65" s="447"/>
      <c r="LEV65" s="447"/>
      <c r="LEW65" s="447"/>
      <c r="LEX65" s="447"/>
      <c r="LEY65" s="447"/>
      <c r="LEZ65" s="447"/>
      <c r="LFA65" s="447"/>
      <c r="LFB65" s="447"/>
      <c r="LFC65" s="447"/>
      <c r="LFD65" s="447"/>
      <c r="LFE65" s="447"/>
      <c r="LFF65" s="447"/>
      <c r="LFG65" s="447"/>
      <c r="LFH65" s="447"/>
      <c r="LFI65" s="447"/>
      <c r="LFJ65" s="447"/>
      <c r="LFK65" s="447"/>
      <c r="LFL65" s="447"/>
      <c r="LFM65" s="447"/>
      <c r="LFN65" s="447"/>
      <c r="LFO65" s="447"/>
      <c r="LFP65" s="447"/>
      <c r="LFQ65" s="447"/>
      <c r="LFR65" s="447"/>
      <c r="LFS65" s="447"/>
      <c r="LFT65" s="447"/>
      <c r="LFU65" s="447"/>
      <c r="LFV65" s="447"/>
      <c r="LFW65" s="447"/>
      <c r="LFX65" s="447"/>
      <c r="LFY65" s="447"/>
      <c r="LFZ65" s="447"/>
      <c r="LGA65" s="447"/>
      <c r="LGB65" s="447"/>
      <c r="LGC65" s="447"/>
      <c r="LGD65" s="447"/>
      <c r="LGE65" s="447"/>
      <c r="LGF65" s="447"/>
      <c r="LGG65" s="447"/>
      <c r="LGH65" s="447"/>
      <c r="LGI65" s="447"/>
      <c r="LGJ65" s="447"/>
      <c r="LGK65" s="447"/>
      <c r="LGL65" s="447"/>
      <c r="LGM65" s="447"/>
      <c r="LGN65" s="447"/>
      <c r="LGO65" s="447"/>
      <c r="LGP65" s="447"/>
      <c r="LGQ65" s="447"/>
      <c r="LGR65" s="447"/>
      <c r="LGS65" s="447"/>
      <c r="LGT65" s="447"/>
      <c r="LGU65" s="447"/>
      <c r="LGV65" s="447"/>
      <c r="LGW65" s="447"/>
      <c r="LGX65" s="447"/>
      <c r="LGY65" s="447"/>
      <c r="LGZ65" s="447"/>
      <c r="LHA65" s="447"/>
      <c r="LHB65" s="447"/>
      <c r="LHC65" s="447"/>
      <c r="LHD65" s="447"/>
      <c r="LHE65" s="447"/>
      <c r="LHF65" s="447"/>
      <c r="LHG65" s="447"/>
      <c r="LHH65" s="447"/>
      <c r="LHI65" s="447"/>
      <c r="LHJ65" s="447"/>
      <c r="LHK65" s="447"/>
      <c r="LHL65" s="447"/>
      <c r="LHM65" s="447"/>
      <c r="LHN65" s="447"/>
      <c r="LHO65" s="447"/>
      <c r="LHP65" s="447"/>
      <c r="LHQ65" s="447"/>
      <c r="LHR65" s="447"/>
      <c r="LHS65" s="447"/>
      <c r="LHT65" s="447"/>
      <c r="LHU65" s="447"/>
      <c r="LHV65" s="447"/>
      <c r="LHW65" s="447"/>
      <c r="LHX65" s="447"/>
      <c r="LHY65" s="447"/>
      <c r="LHZ65" s="447"/>
      <c r="LIA65" s="447"/>
      <c r="LIB65" s="447"/>
      <c r="LIC65" s="447"/>
      <c r="LID65" s="447"/>
      <c r="LIE65" s="447"/>
      <c r="LIF65" s="447"/>
      <c r="LIG65" s="447"/>
      <c r="LIH65" s="447"/>
      <c r="LII65" s="447"/>
      <c r="LIJ65" s="447"/>
      <c r="LIK65" s="447"/>
      <c r="LIL65" s="447"/>
      <c r="LIM65" s="447"/>
      <c r="LIN65" s="447"/>
      <c r="LIO65" s="447"/>
      <c r="LIP65" s="447"/>
      <c r="LIQ65" s="447"/>
      <c r="LIR65" s="447"/>
      <c r="LIS65" s="447"/>
      <c r="LIT65" s="447"/>
      <c r="LIU65" s="447"/>
      <c r="LIV65" s="447"/>
      <c r="LIW65" s="447"/>
      <c r="LIX65" s="447"/>
      <c r="LIY65" s="447"/>
      <c r="LIZ65" s="447"/>
      <c r="LJA65" s="447"/>
      <c r="LJB65" s="447"/>
      <c r="LJC65" s="447"/>
      <c r="LJD65" s="447"/>
      <c r="LJE65" s="447"/>
      <c r="LJF65" s="447"/>
      <c r="LJG65" s="447"/>
      <c r="LJH65" s="447"/>
      <c r="LJI65" s="447"/>
      <c r="LJJ65" s="447"/>
      <c r="LJK65" s="447"/>
      <c r="LJL65" s="447"/>
      <c r="LJM65" s="447"/>
      <c r="LJN65" s="447"/>
      <c r="LJO65" s="447"/>
      <c r="LJP65" s="447"/>
      <c r="LJQ65" s="447"/>
      <c r="LJR65" s="447"/>
      <c r="LJS65" s="447"/>
      <c r="LJT65" s="447"/>
      <c r="LJU65" s="447"/>
      <c r="LJV65" s="447"/>
      <c r="LJW65" s="447"/>
      <c r="LJX65" s="447"/>
      <c r="LJY65" s="447"/>
      <c r="LJZ65" s="447"/>
      <c r="LKA65" s="447"/>
      <c r="LKB65" s="447"/>
      <c r="LKC65" s="447"/>
      <c r="LKD65" s="447"/>
      <c r="LKE65" s="447"/>
      <c r="LKF65" s="447"/>
      <c r="LKG65" s="447"/>
      <c r="LKH65" s="447"/>
      <c r="LKI65" s="447"/>
      <c r="LKJ65" s="447"/>
      <c r="LKK65" s="447"/>
      <c r="LKL65" s="447"/>
      <c r="LKM65" s="447"/>
      <c r="LKN65" s="447"/>
      <c r="LKO65" s="447"/>
      <c r="LKP65" s="447"/>
      <c r="LKQ65" s="447"/>
      <c r="LKR65" s="447"/>
      <c r="LKS65" s="447"/>
      <c r="LKT65" s="447"/>
      <c r="LKU65" s="447"/>
      <c r="LKV65" s="447"/>
      <c r="LKW65" s="447"/>
      <c r="LKX65" s="447"/>
      <c r="LKY65" s="447"/>
      <c r="LKZ65" s="447"/>
      <c r="LLA65" s="447"/>
      <c r="LLB65" s="447"/>
      <c r="LLC65" s="447"/>
      <c r="LLD65" s="447"/>
      <c r="LLE65" s="447"/>
      <c r="LLF65" s="447"/>
      <c r="LLG65" s="447"/>
      <c r="LLH65" s="447"/>
      <c r="LLI65" s="447"/>
      <c r="LLJ65" s="447"/>
      <c r="LLK65" s="447"/>
      <c r="LLL65" s="447"/>
      <c r="LLM65" s="447"/>
      <c r="LLN65" s="447"/>
      <c r="LLO65" s="447"/>
      <c r="LLP65" s="447"/>
      <c r="LLQ65" s="447"/>
      <c r="LLR65" s="447"/>
      <c r="LLS65" s="447"/>
      <c r="LLT65" s="447"/>
      <c r="LLU65" s="447"/>
      <c r="LLV65" s="447"/>
      <c r="LLW65" s="447"/>
      <c r="LLX65" s="447"/>
      <c r="LLY65" s="447"/>
      <c r="LLZ65" s="447"/>
      <c r="LMA65" s="447"/>
      <c r="LMB65" s="447"/>
      <c r="LMC65" s="447"/>
      <c r="LMD65" s="447"/>
      <c r="LME65" s="447"/>
      <c r="LMF65" s="447"/>
      <c r="LMG65" s="447"/>
      <c r="LMH65" s="447"/>
      <c r="LMI65" s="447"/>
      <c r="LMJ65" s="447"/>
      <c r="LMK65" s="447"/>
      <c r="LML65" s="447"/>
      <c r="LMM65" s="447"/>
      <c r="LMN65" s="447"/>
      <c r="LMO65" s="447"/>
      <c r="LMP65" s="447"/>
      <c r="LMQ65" s="447"/>
      <c r="LMR65" s="447"/>
      <c r="LMS65" s="447"/>
      <c r="LMT65" s="447"/>
      <c r="LMU65" s="447"/>
      <c r="LMV65" s="447"/>
      <c r="LMW65" s="447"/>
      <c r="LMX65" s="447"/>
      <c r="LMY65" s="447"/>
      <c r="LMZ65" s="447"/>
      <c r="LNA65" s="447"/>
      <c r="LNB65" s="447"/>
      <c r="LNC65" s="447"/>
      <c r="LND65" s="447"/>
      <c r="LNE65" s="447"/>
      <c r="LNF65" s="447"/>
      <c r="LNG65" s="447"/>
      <c r="LNH65" s="447"/>
      <c r="LNI65" s="447"/>
      <c r="LNJ65" s="447"/>
      <c r="LNK65" s="447"/>
      <c r="LNL65" s="447"/>
      <c r="LNM65" s="447"/>
      <c r="LNN65" s="447"/>
      <c r="LNO65" s="447"/>
      <c r="LNP65" s="447"/>
      <c r="LNQ65" s="447"/>
      <c r="LNR65" s="447"/>
      <c r="LNS65" s="447"/>
      <c r="LNT65" s="447"/>
      <c r="LNU65" s="447"/>
      <c r="LNV65" s="447"/>
      <c r="LNW65" s="447"/>
      <c r="LNX65" s="447"/>
      <c r="LNY65" s="447"/>
      <c r="LNZ65" s="447"/>
      <c r="LOA65" s="447"/>
      <c r="LOB65" s="447"/>
      <c r="LOC65" s="447"/>
      <c r="LOD65" s="447"/>
      <c r="LOE65" s="447"/>
      <c r="LOF65" s="447"/>
      <c r="LOG65" s="447"/>
      <c r="LOH65" s="447"/>
      <c r="LOI65" s="447"/>
      <c r="LOJ65" s="447"/>
      <c r="LOK65" s="447"/>
      <c r="LOL65" s="447"/>
      <c r="LOM65" s="447"/>
      <c r="LON65" s="447"/>
      <c r="LOO65" s="447"/>
      <c r="LOP65" s="447"/>
      <c r="LOQ65" s="447"/>
      <c r="LOR65" s="447"/>
      <c r="LOS65" s="447"/>
      <c r="LOT65" s="447"/>
      <c r="LOU65" s="447"/>
      <c r="LOV65" s="447"/>
      <c r="LOW65" s="447"/>
      <c r="LOX65" s="447"/>
      <c r="LOY65" s="447"/>
      <c r="LOZ65" s="447"/>
      <c r="LPA65" s="447"/>
      <c r="LPB65" s="447"/>
      <c r="LPC65" s="447"/>
      <c r="LPD65" s="447"/>
      <c r="LPE65" s="447"/>
      <c r="LPF65" s="447"/>
      <c r="LPG65" s="447"/>
      <c r="LPH65" s="447"/>
      <c r="LPI65" s="447"/>
      <c r="LPJ65" s="447"/>
      <c r="LPK65" s="447"/>
      <c r="LPL65" s="447"/>
      <c r="LPM65" s="447"/>
      <c r="LPN65" s="447"/>
      <c r="LPO65" s="447"/>
      <c r="LPP65" s="447"/>
      <c r="LPQ65" s="447"/>
      <c r="LPR65" s="447"/>
      <c r="LPS65" s="447"/>
      <c r="LPT65" s="447"/>
      <c r="LPU65" s="447"/>
      <c r="LPV65" s="447"/>
      <c r="LPW65" s="447"/>
      <c r="LPX65" s="447"/>
      <c r="LPY65" s="447"/>
      <c r="LPZ65" s="447"/>
      <c r="LQA65" s="447"/>
      <c r="LQB65" s="447"/>
      <c r="LQC65" s="447"/>
      <c r="LQD65" s="447"/>
      <c r="LQE65" s="447"/>
      <c r="LQF65" s="447"/>
      <c r="LQG65" s="447"/>
      <c r="LQH65" s="447"/>
      <c r="LQI65" s="447"/>
      <c r="LQJ65" s="447"/>
      <c r="LQK65" s="447"/>
      <c r="LQL65" s="447"/>
      <c r="LQM65" s="447"/>
      <c r="LQN65" s="447"/>
      <c r="LQO65" s="447"/>
      <c r="LQP65" s="447"/>
      <c r="LQQ65" s="447"/>
      <c r="LQR65" s="447"/>
      <c r="LQS65" s="447"/>
      <c r="LQT65" s="447"/>
      <c r="LQU65" s="447"/>
      <c r="LQV65" s="447"/>
      <c r="LQW65" s="447"/>
      <c r="LQX65" s="447"/>
      <c r="LQY65" s="447"/>
      <c r="LQZ65" s="447"/>
      <c r="LRA65" s="447"/>
      <c r="LRB65" s="447"/>
      <c r="LRC65" s="447"/>
      <c r="LRD65" s="447"/>
      <c r="LRE65" s="447"/>
      <c r="LRF65" s="447"/>
      <c r="LRG65" s="447"/>
      <c r="LRH65" s="447"/>
      <c r="LRI65" s="447"/>
      <c r="LRJ65" s="447"/>
      <c r="LRK65" s="447"/>
      <c r="LRL65" s="447"/>
      <c r="LRM65" s="447"/>
      <c r="LRN65" s="447"/>
      <c r="LRO65" s="447"/>
      <c r="LRP65" s="447"/>
      <c r="LRQ65" s="447"/>
      <c r="LRR65" s="447"/>
      <c r="LRS65" s="447"/>
      <c r="LRT65" s="447"/>
      <c r="LRU65" s="447"/>
      <c r="LRV65" s="447"/>
      <c r="LRW65" s="447"/>
      <c r="LRX65" s="447"/>
      <c r="LRY65" s="447"/>
      <c r="LRZ65" s="447"/>
      <c r="LSA65" s="447"/>
      <c r="LSB65" s="447"/>
      <c r="LSC65" s="447"/>
      <c r="LSD65" s="447"/>
      <c r="LSE65" s="447"/>
      <c r="LSF65" s="447"/>
      <c r="LSG65" s="447"/>
      <c r="LSH65" s="447"/>
      <c r="LSI65" s="447"/>
      <c r="LSJ65" s="447"/>
      <c r="LSK65" s="447"/>
      <c r="LSL65" s="447"/>
      <c r="LSM65" s="447"/>
      <c r="LSN65" s="447"/>
      <c r="LSO65" s="447"/>
      <c r="LSP65" s="447"/>
      <c r="LSQ65" s="447"/>
      <c r="LSR65" s="447"/>
      <c r="LSS65" s="447"/>
      <c r="LST65" s="447"/>
      <c r="LSU65" s="447"/>
      <c r="LSV65" s="447"/>
      <c r="LSW65" s="447"/>
      <c r="LSX65" s="447"/>
      <c r="LSY65" s="447"/>
      <c r="LSZ65" s="447"/>
      <c r="LTA65" s="447"/>
      <c r="LTB65" s="447"/>
      <c r="LTC65" s="447"/>
      <c r="LTD65" s="447"/>
      <c r="LTE65" s="447"/>
      <c r="LTF65" s="447"/>
      <c r="LTG65" s="447"/>
      <c r="LTH65" s="447"/>
      <c r="LTI65" s="447"/>
      <c r="LTJ65" s="447"/>
      <c r="LTK65" s="447"/>
      <c r="LTL65" s="447"/>
      <c r="LTM65" s="447"/>
      <c r="LTN65" s="447"/>
      <c r="LTO65" s="447"/>
      <c r="LTP65" s="447"/>
      <c r="LTQ65" s="447"/>
      <c r="LTR65" s="447"/>
      <c r="LTS65" s="447"/>
      <c r="LTT65" s="447"/>
      <c r="LTU65" s="447"/>
      <c r="LTV65" s="447"/>
      <c r="LTW65" s="447"/>
      <c r="LTX65" s="447"/>
      <c r="LTY65" s="447"/>
      <c r="LTZ65" s="447"/>
      <c r="LUA65" s="447"/>
      <c r="LUB65" s="447"/>
      <c r="LUC65" s="447"/>
      <c r="LUD65" s="447"/>
      <c r="LUE65" s="447"/>
      <c r="LUF65" s="447"/>
      <c r="LUG65" s="447"/>
      <c r="LUH65" s="447"/>
      <c r="LUI65" s="447"/>
      <c r="LUJ65" s="447"/>
      <c r="LUK65" s="447"/>
      <c r="LUL65" s="447"/>
      <c r="LUM65" s="447"/>
      <c r="LUN65" s="447"/>
      <c r="LUO65" s="447"/>
      <c r="LUP65" s="447"/>
      <c r="LUQ65" s="447"/>
      <c r="LUR65" s="447"/>
      <c r="LUS65" s="447"/>
      <c r="LUT65" s="447"/>
      <c r="LUU65" s="447"/>
      <c r="LUV65" s="447"/>
      <c r="LUW65" s="447"/>
      <c r="LUX65" s="447"/>
      <c r="LUY65" s="447"/>
      <c r="LUZ65" s="447"/>
      <c r="LVA65" s="447"/>
      <c r="LVB65" s="447"/>
      <c r="LVC65" s="447"/>
      <c r="LVD65" s="447"/>
      <c r="LVE65" s="447"/>
      <c r="LVF65" s="447"/>
      <c r="LVG65" s="447"/>
      <c r="LVH65" s="447"/>
      <c r="LVI65" s="447"/>
      <c r="LVJ65" s="447"/>
      <c r="LVK65" s="447"/>
      <c r="LVL65" s="447"/>
      <c r="LVM65" s="447"/>
      <c r="LVN65" s="447"/>
      <c r="LVO65" s="447"/>
      <c r="LVP65" s="447"/>
      <c r="LVQ65" s="447"/>
      <c r="LVR65" s="447"/>
      <c r="LVS65" s="447"/>
      <c r="LVT65" s="447"/>
      <c r="LVU65" s="447"/>
      <c r="LVV65" s="447"/>
      <c r="LVW65" s="447"/>
      <c r="LVX65" s="447"/>
      <c r="LVY65" s="447"/>
      <c r="LVZ65" s="447"/>
      <c r="LWA65" s="447"/>
      <c r="LWB65" s="447"/>
      <c r="LWC65" s="447"/>
      <c r="LWD65" s="447"/>
      <c r="LWE65" s="447"/>
      <c r="LWF65" s="447"/>
      <c r="LWG65" s="447"/>
      <c r="LWH65" s="447"/>
      <c r="LWI65" s="447"/>
      <c r="LWJ65" s="447"/>
      <c r="LWK65" s="447"/>
      <c r="LWL65" s="447"/>
      <c r="LWM65" s="447"/>
      <c r="LWN65" s="447"/>
      <c r="LWO65" s="447"/>
      <c r="LWP65" s="447"/>
      <c r="LWQ65" s="447"/>
      <c r="LWR65" s="447"/>
      <c r="LWS65" s="447"/>
      <c r="LWT65" s="447"/>
      <c r="LWU65" s="447"/>
      <c r="LWV65" s="447"/>
      <c r="LWW65" s="447"/>
      <c r="LWX65" s="447"/>
      <c r="LWY65" s="447"/>
      <c r="LWZ65" s="447"/>
      <c r="LXA65" s="447"/>
      <c r="LXB65" s="447"/>
      <c r="LXC65" s="447"/>
      <c r="LXD65" s="447"/>
      <c r="LXE65" s="447"/>
      <c r="LXF65" s="447"/>
      <c r="LXG65" s="447"/>
      <c r="LXH65" s="447"/>
      <c r="LXI65" s="447"/>
      <c r="LXJ65" s="447"/>
      <c r="LXK65" s="447"/>
      <c r="LXL65" s="447"/>
      <c r="LXM65" s="447"/>
      <c r="LXN65" s="447"/>
      <c r="LXO65" s="447"/>
      <c r="LXP65" s="447"/>
      <c r="LXQ65" s="447"/>
      <c r="LXR65" s="447"/>
      <c r="LXS65" s="447"/>
      <c r="LXT65" s="447"/>
      <c r="LXU65" s="447"/>
      <c r="LXV65" s="447"/>
      <c r="LXW65" s="447"/>
      <c r="LXX65" s="447"/>
      <c r="LXY65" s="447"/>
      <c r="LXZ65" s="447"/>
      <c r="LYA65" s="447"/>
      <c r="LYB65" s="447"/>
      <c r="LYC65" s="447"/>
      <c r="LYD65" s="447"/>
      <c r="LYE65" s="447"/>
      <c r="LYF65" s="447"/>
      <c r="LYG65" s="447"/>
      <c r="LYH65" s="447"/>
      <c r="LYI65" s="447"/>
      <c r="LYJ65" s="447"/>
      <c r="LYK65" s="447"/>
      <c r="LYL65" s="447"/>
      <c r="LYM65" s="447"/>
      <c r="LYN65" s="447"/>
      <c r="LYO65" s="447"/>
      <c r="LYP65" s="447"/>
      <c r="LYQ65" s="447"/>
      <c r="LYR65" s="447"/>
      <c r="LYS65" s="447"/>
      <c r="LYT65" s="447"/>
      <c r="LYU65" s="447"/>
      <c r="LYV65" s="447"/>
      <c r="LYW65" s="447"/>
      <c r="LYX65" s="447"/>
      <c r="LYY65" s="447"/>
      <c r="LYZ65" s="447"/>
      <c r="LZA65" s="447"/>
      <c r="LZB65" s="447"/>
      <c r="LZC65" s="447"/>
      <c r="LZD65" s="447"/>
      <c r="LZE65" s="447"/>
      <c r="LZF65" s="447"/>
      <c r="LZG65" s="447"/>
      <c r="LZH65" s="447"/>
      <c r="LZI65" s="447"/>
      <c r="LZJ65" s="447"/>
      <c r="LZK65" s="447"/>
      <c r="LZL65" s="447"/>
      <c r="LZM65" s="447"/>
      <c r="LZN65" s="447"/>
      <c r="LZO65" s="447"/>
      <c r="LZP65" s="447"/>
      <c r="LZQ65" s="447"/>
      <c r="LZR65" s="447"/>
      <c r="LZS65" s="447"/>
      <c r="LZT65" s="447"/>
      <c r="LZU65" s="447"/>
      <c r="LZV65" s="447"/>
      <c r="LZW65" s="447"/>
      <c r="LZX65" s="447"/>
      <c r="LZY65" s="447"/>
      <c r="LZZ65" s="447"/>
      <c r="MAA65" s="447"/>
      <c r="MAB65" s="447"/>
      <c r="MAC65" s="447"/>
      <c r="MAD65" s="447"/>
      <c r="MAE65" s="447"/>
      <c r="MAF65" s="447"/>
      <c r="MAG65" s="447"/>
      <c r="MAH65" s="447"/>
      <c r="MAI65" s="447"/>
      <c r="MAJ65" s="447"/>
      <c r="MAK65" s="447"/>
      <c r="MAL65" s="447"/>
      <c r="MAM65" s="447"/>
      <c r="MAN65" s="447"/>
      <c r="MAO65" s="447"/>
      <c r="MAP65" s="447"/>
      <c r="MAQ65" s="447"/>
      <c r="MAR65" s="447"/>
      <c r="MAS65" s="447"/>
      <c r="MAT65" s="447"/>
      <c r="MAU65" s="447"/>
      <c r="MAV65" s="447"/>
      <c r="MAW65" s="447"/>
      <c r="MAX65" s="447"/>
      <c r="MAY65" s="447"/>
      <c r="MAZ65" s="447"/>
      <c r="MBA65" s="447"/>
      <c r="MBB65" s="447"/>
      <c r="MBC65" s="447"/>
      <c r="MBD65" s="447"/>
      <c r="MBE65" s="447"/>
      <c r="MBF65" s="447"/>
      <c r="MBG65" s="447"/>
      <c r="MBH65" s="447"/>
      <c r="MBI65" s="447"/>
      <c r="MBJ65" s="447"/>
      <c r="MBK65" s="447"/>
      <c r="MBL65" s="447"/>
      <c r="MBM65" s="447"/>
      <c r="MBN65" s="447"/>
      <c r="MBO65" s="447"/>
      <c r="MBP65" s="447"/>
      <c r="MBQ65" s="447"/>
      <c r="MBR65" s="447"/>
      <c r="MBS65" s="447"/>
      <c r="MBT65" s="447"/>
      <c r="MBU65" s="447"/>
      <c r="MBV65" s="447"/>
      <c r="MBW65" s="447"/>
      <c r="MBX65" s="447"/>
      <c r="MBY65" s="447"/>
      <c r="MBZ65" s="447"/>
      <c r="MCA65" s="447"/>
      <c r="MCB65" s="447"/>
      <c r="MCC65" s="447"/>
      <c r="MCD65" s="447"/>
      <c r="MCE65" s="447"/>
      <c r="MCF65" s="447"/>
      <c r="MCG65" s="447"/>
      <c r="MCH65" s="447"/>
      <c r="MCI65" s="447"/>
      <c r="MCJ65" s="447"/>
      <c r="MCK65" s="447"/>
      <c r="MCL65" s="447"/>
      <c r="MCM65" s="447"/>
      <c r="MCN65" s="447"/>
      <c r="MCO65" s="447"/>
      <c r="MCP65" s="447"/>
      <c r="MCQ65" s="447"/>
      <c r="MCR65" s="447"/>
      <c r="MCS65" s="447"/>
      <c r="MCT65" s="447"/>
      <c r="MCU65" s="447"/>
      <c r="MCV65" s="447"/>
      <c r="MCW65" s="447"/>
      <c r="MCX65" s="447"/>
      <c r="MCY65" s="447"/>
      <c r="MCZ65" s="447"/>
      <c r="MDA65" s="447"/>
      <c r="MDB65" s="447"/>
      <c r="MDC65" s="447"/>
      <c r="MDD65" s="447"/>
      <c r="MDE65" s="447"/>
      <c r="MDF65" s="447"/>
      <c r="MDG65" s="447"/>
      <c r="MDH65" s="447"/>
      <c r="MDI65" s="447"/>
      <c r="MDJ65" s="447"/>
      <c r="MDK65" s="447"/>
      <c r="MDL65" s="447"/>
      <c r="MDM65" s="447"/>
      <c r="MDN65" s="447"/>
      <c r="MDO65" s="447"/>
      <c r="MDP65" s="447"/>
      <c r="MDQ65" s="447"/>
      <c r="MDR65" s="447"/>
      <c r="MDS65" s="447"/>
      <c r="MDT65" s="447"/>
      <c r="MDU65" s="447"/>
      <c r="MDV65" s="447"/>
      <c r="MDW65" s="447"/>
      <c r="MDX65" s="447"/>
      <c r="MDY65" s="447"/>
      <c r="MDZ65" s="447"/>
      <c r="MEA65" s="447"/>
      <c r="MEB65" s="447"/>
      <c r="MEC65" s="447"/>
      <c r="MED65" s="447"/>
      <c r="MEE65" s="447"/>
      <c r="MEF65" s="447"/>
      <c r="MEG65" s="447"/>
      <c r="MEH65" s="447"/>
      <c r="MEI65" s="447"/>
      <c r="MEJ65" s="447"/>
      <c r="MEK65" s="447"/>
      <c r="MEL65" s="447"/>
      <c r="MEM65" s="447"/>
      <c r="MEN65" s="447"/>
      <c r="MEO65" s="447"/>
      <c r="MEP65" s="447"/>
      <c r="MEQ65" s="447"/>
      <c r="MER65" s="447"/>
      <c r="MES65" s="447"/>
      <c r="MET65" s="447"/>
      <c r="MEU65" s="447"/>
      <c r="MEV65" s="447"/>
      <c r="MEW65" s="447"/>
      <c r="MEX65" s="447"/>
      <c r="MEY65" s="447"/>
      <c r="MEZ65" s="447"/>
      <c r="MFA65" s="447"/>
      <c r="MFB65" s="447"/>
      <c r="MFC65" s="447"/>
      <c r="MFD65" s="447"/>
      <c r="MFE65" s="447"/>
      <c r="MFF65" s="447"/>
      <c r="MFG65" s="447"/>
      <c r="MFH65" s="447"/>
      <c r="MFI65" s="447"/>
      <c r="MFJ65" s="447"/>
      <c r="MFK65" s="447"/>
      <c r="MFL65" s="447"/>
      <c r="MFM65" s="447"/>
      <c r="MFN65" s="447"/>
      <c r="MFO65" s="447"/>
      <c r="MFP65" s="447"/>
      <c r="MFQ65" s="447"/>
      <c r="MFR65" s="447"/>
      <c r="MFS65" s="447"/>
      <c r="MFT65" s="447"/>
      <c r="MFU65" s="447"/>
      <c r="MFV65" s="447"/>
      <c r="MFW65" s="447"/>
      <c r="MFX65" s="447"/>
      <c r="MFY65" s="447"/>
      <c r="MFZ65" s="447"/>
      <c r="MGA65" s="447"/>
      <c r="MGB65" s="447"/>
      <c r="MGC65" s="447"/>
      <c r="MGD65" s="447"/>
      <c r="MGE65" s="447"/>
      <c r="MGF65" s="447"/>
      <c r="MGG65" s="447"/>
      <c r="MGH65" s="447"/>
      <c r="MGI65" s="447"/>
      <c r="MGJ65" s="447"/>
      <c r="MGK65" s="447"/>
      <c r="MGL65" s="447"/>
      <c r="MGM65" s="447"/>
      <c r="MGN65" s="447"/>
      <c r="MGO65" s="447"/>
      <c r="MGP65" s="447"/>
      <c r="MGQ65" s="447"/>
      <c r="MGR65" s="447"/>
      <c r="MGS65" s="447"/>
      <c r="MGT65" s="447"/>
      <c r="MGU65" s="447"/>
      <c r="MGV65" s="447"/>
      <c r="MGW65" s="447"/>
      <c r="MGX65" s="447"/>
      <c r="MGY65" s="447"/>
      <c r="MGZ65" s="447"/>
      <c r="MHA65" s="447"/>
      <c r="MHB65" s="447"/>
      <c r="MHC65" s="447"/>
      <c r="MHD65" s="447"/>
      <c r="MHE65" s="447"/>
      <c r="MHF65" s="447"/>
      <c r="MHG65" s="447"/>
      <c r="MHH65" s="447"/>
      <c r="MHI65" s="447"/>
      <c r="MHJ65" s="447"/>
      <c r="MHK65" s="447"/>
      <c r="MHL65" s="447"/>
      <c r="MHM65" s="447"/>
      <c r="MHN65" s="447"/>
      <c r="MHO65" s="447"/>
      <c r="MHP65" s="447"/>
      <c r="MHQ65" s="447"/>
      <c r="MHR65" s="447"/>
      <c r="MHS65" s="447"/>
      <c r="MHT65" s="447"/>
      <c r="MHU65" s="447"/>
      <c r="MHV65" s="447"/>
      <c r="MHW65" s="447"/>
      <c r="MHX65" s="447"/>
      <c r="MHY65" s="447"/>
      <c r="MHZ65" s="447"/>
      <c r="MIA65" s="447"/>
      <c r="MIB65" s="447"/>
      <c r="MIC65" s="447"/>
      <c r="MID65" s="447"/>
      <c r="MIE65" s="447"/>
      <c r="MIF65" s="447"/>
      <c r="MIG65" s="447"/>
      <c r="MIH65" s="447"/>
      <c r="MII65" s="447"/>
      <c r="MIJ65" s="447"/>
      <c r="MIK65" s="447"/>
      <c r="MIL65" s="447"/>
      <c r="MIM65" s="447"/>
      <c r="MIN65" s="447"/>
      <c r="MIO65" s="447"/>
      <c r="MIP65" s="447"/>
      <c r="MIQ65" s="447"/>
      <c r="MIR65" s="447"/>
      <c r="MIS65" s="447"/>
      <c r="MIT65" s="447"/>
      <c r="MIU65" s="447"/>
      <c r="MIV65" s="447"/>
      <c r="MIW65" s="447"/>
      <c r="MIX65" s="447"/>
      <c r="MIY65" s="447"/>
      <c r="MIZ65" s="447"/>
      <c r="MJA65" s="447"/>
      <c r="MJB65" s="447"/>
      <c r="MJC65" s="447"/>
      <c r="MJD65" s="447"/>
      <c r="MJE65" s="447"/>
      <c r="MJF65" s="447"/>
      <c r="MJG65" s="447"/>
      <c r="MJH65" s="447"/>
      <c r="MJI65" s="447"/>
      <c r="MJJ65" s="447"/>
      <c r="MJK65" s="447"/>
      <c r="MJL65" s="447"/>
      <c r="MJM65" s="447"/>
      <c r="MJN65" s="447"/>
      <c r="MJO65" s="447"/>
      <c r="MJP65" s="447"/>
      <c r="MJQ65" s="447"/>
      <c r="MJR65" s="447"/>
      <c r="MJS65" s="447"/>
      <c r="MJT65" s="447"/>
      <c r="MJU65" s="447"/>
      <c r="MJV65" s="447"/>
      <c r="MJW65" s="447"/>
      <c r="MJX65" s="447"/>
      <c r="MJY65" s="447"/>
      <c r="MJZ65" s="447"/>
      <c r="MKA65" s="447"/>
      <c r="MKB65" s="447"/>
      <c r="MKC65" s="447"/>
      <c r="MKD65" s="447"/>
      <c r="MKE65" s="447"/>
      <c r="MKF65" s="447"/>
      <c r="MKG65" s="447"/>
      <c r="MKH65" s="447"/>
      <c r="MKI65" s="447"/>
      <c r="MKJ65" s="447"/>
      <c r="MKK65" s="447"/>
      <c r="MKL65" s="447"/>
      <c r="MKM65" s="447"/>
      <c r="MKN65" s="447"/>
      <c r="MKO65" s="447"/>
      <c r="MKP65" s="447"/>
      <c r="MKQ65" s="447"/>
      <c r="MKR65" s="447"/>
      <c r="MKS65" s="447"/>
      <c r="MKT65" s="447"/>
      <c r="MKU65" s="447"/>
      <c r="MKV65" s="447"/>
      <c r="MKW65" s="447"/>
      <c r="MKX65" s="447"/>
      <c r="MKY65" s="447"/>
      <c r="MKZ65" s="447"/>
      <c r="MLA65" s="447"/>
      <c r="MLB65" s="447"/>
      <c r="MLC65" s="447"/>
      <c r="MLD65" s="447"/>
      <c r="MLE65" s="447"/>
      <c r="MLF65" s="447"/>
      <c r="MLG65" s="447"/>
      <c r="MLH65" s="447"/>
      <c r="MLI65" s="447"/>
      <c r="MLJ65" s="447"/>
      <c r="MLK65" s="447"/>
      <c r="MLL65" s="447"/>
      <c r="MLM65" s="447"/>
      <c r="MLN65" s="447"/>
      <c r="MLO65" s="447"/>
      <c r="MLP65" s="447"/>
      <c r="MLQ65" s="447"/>
      <c r="MLR65" s="447"/>
      <c r="MLS65" s="447"/>
      <c r="MLT65" s="447"/>
      <c r="MLU65" s="447"/>
      <c r="MLV65" s="447"/>
      <c r="MLW65" s="447"/>
      <c r="MLX65" s="447"/>
      <c r="MLY65" s="447"/>
      <c r="MLZ65" s="447"/>
      <c r="MMA65" s="447"/>
      <c r="MMB65" s="447"/>
      <c r="MMC65" s="447"/>
      <c r="MMD65" s="447"/>
      <c r="MME65" s="447"/>
      <c r="MMF65" s="447"/>
      <c r="MMG65" s="447"/>
      <c r="MMH65" s="447"/>
      <c r="MMI65" s="447"/>
      <c r="MMJ65" s="447"/>
      <c r="MMK65" s="447"/>
      <c r="MML65" s="447"/>
      <c r="MMM65" s="447"/>
      <c r="MMN65" s="447"/>
      <c r="MMO65" s="447"/>
      <c r="MMP65" s="447"/>
      <c r="MMQ65" s="447"/>
      <c r="MMR65" s="447"/>
      <c r="MMS65" s="447"/>
      <c r="MMT65" s="447"/>
      <c r="MMU65" s="447"/>
      <c r="MMV65" s="447"/>
      <c r="MMW65" s="447"/>
      <c r="MMX65" s="447"/>
      <c r="MMY65" s="447"/>
      <c r="MMZ65" s="447"/>
      <c r="MNA65" s="447"/>
      <c r="MNB65" s="447"/>
      <c r="MNC65" s="447"/>
      <c r="MND65" s="447"/>
      <c r="MNE65" s="447"/>
      <c r="MNF65" s="447"/>
      <c r="MNG65" s="447"/>
      <c r="MNH65" s="447"/>
      <c r="MNI65" s="447"/>
      <c r="MNJ65" s="447"/>
      <c r="MNK65" s="447"/>
      <c r="MNL65" s="447"/>
      <c r="MNM65" s="447"/>
      <c r="MNN65" s="447"/>
      <c r="MNO65" s="447"/>
      <c r="MNP65" s="447"/>
      <c r="MNQ65" s="447"/>
      <c r="MNR65" s="447"/>
      <c r="MNS65" s="447"/>
      <c r="MNT65" s="447"/>
      <c r="MNU65" s="447"/>
      <c r="MNV65" s="447"/>
      <c r="MNW65" s="447"/>
      <c r="MNX65" s="447"/>
      <c r="MNY65" s="447"/>
      <c r="MNZ65" s="447"/>
      <c r="MOA65" s="447"/>
      <c r="MOB65" s="447"/>
      <c r="MOC65" s="447"/>
      <c r="MOD65" s="447"/>
      <c r="MOE65" s="447"/>
      <c r="MOF65" s="447"/>
      <c r="MOG65" s="447"/>
      <c r="MOH65" s="447"/>
      <c r="MOI65" s="447"/>
      <c r="MOJ65" s="447"/>
      <c r="MOK65" s="447"/>
      <c r="MOL65" s="447"/>
      <c r="MOM65" s="447"/>
      <c r="MON65" s="447"/>
      <c r="MOO65" s="447"/>
      <c r="MOP65" s="447"/>
      <c r="MOQ65" s="447"/>
      <c r="MOR65" s="447"/>
      <c r="MOS65" s="447"/>
      <c r="MOT65" s="447"/>
      <c r="MOU65" s="447"/>
      <c r="MOV65" s="447"/>
      <c r="MOW65" s="447"/>
      <c r="MOX65" s="447"/>
      <c r="MOY65" s="447"/>
      <c r="MOZ65" s="447"/>
      <c r="MPA65" s="447"/>
      <c r="MPB65" s="447"/>
      <c r="MPC65" s="447"/>
      <c r="MPD65" s="447"/>
      <c r="MPE65" s="447"/>
      <c r="MPF65" s="447"/>
      <c r="MPG65" s="447"/>
      <c r="MPH65" s="447"/>
      <c r="MPI65" s="447"/>
      <c r="MPJ65" s="447"/>
      <c r="MPK65" s="447"/>
      <c r="MPL65" s="447"/>
      <c r="MPM65" s="447"/>
      <c r="MPN65" s="447"/>
      <c r="MPO65" s="447"/>
      <c r="MPP65" s="447"/>
      <c r="MPQ65" s="447"/>
      <c r="MPR65" s="447"/>
      <c r="MPS65" s="447"/>
      <c r="MPT65" s="447"/>
      <c r="MPU65" s="447"/>
      <c r="MPV65" s="447"/>
      <c r="MPW65" s="447"/>
      <c r="MPX65" s="447"/>
      <c r="MPY65" s="447"/>
      <c r="MPZ65" s="447"/>
      <c r="MQA65" s="447"/>
      <c r="MQB65" s="447"/>
      <c r="MQC65" s="447"/>
      <c r="MQD65" s="447"/>
      <c r="MQE65" s="447"/>
      <c r="MQF65" s="447"/>
      <c r="MQG65" s="447"/>
      <c r="MQH65" s="447"/>
      <c r="MQI65" s="447"/>
      <c r="MQJ65" s="447"/>
      <c r="MQK65" s="447"/>
      <c r="MQL65" s="447"/>
      <c r="MQM65" s="447"/>
      <c r="MQN65" s="447"/>
      <c r="MQO65" s="447"/>
      <c r="MQP65" s="447"/>
      <c r="MQQ65" s="447"/>
      <c r="MQR65" s="447"/>
      <c r="MQS65" s="447"/>
      <c r="MQT65" s="447"/>
      <c r="MQU65" s="447"/>
      <c r="MQV65" s="447"/>
      <c r="MQW65" s="447"/>
      <c r="MQX65" s="447"/>
      <c r="MQY65" s="447"/>
      <c r="MQZ65" s="447"/>
      <c r="MRA65" s="447"/>
      <c r="MRB65" s="447"/>
      <c r="MRC65" s="447"/>
      <c r="MRD65" s="447"/>
      <c r="MRE65" s="447"/>
      <c r="MRF65" s="447"/>
      <c r="MRG65" s="447"/>
      <c r="MRH65" s="447"/>
      <c r="MRI65" s="447"/>
      <c r="MRJ65" s="447"/>
      <c r="MRK65" s="447"/>
      <c r="MRL65" s="447"/>
      <c r="MRM65" s="447"/>
      <c r="MRN65" s="447"/>
      <c r="MRO65" s="447"/>
      <c r="MRP65" s="447"/>
      <c r="MRQ65" s="447"/>
      <c r="MRR65" s="447"/>
      <c r="MRS65" s="447"/>
      <c r="MRT65" s="447"/>
      <c r="MRU65" s="447"/>
      <c r="MRV65" s="447"/>
      <c r="MRW65" s="447"/>
      <c r="MRX65" s="447"/>
      <c r="MRY65" s="447"/>
      <c r="MRZ65" s="447"/>
      <c r="MSA65" s="447"/>
      <c r="MSB65" s="447"/>
      <c r="MSC65" s="447"/>
      <c r="MSD65" s="447"/>
      <c r="MSE65" s="447"/>
      <c r="MSF65" s="447"/>
      <c r="MSG65" s="447"/>
      <c r="MSH65" s="447"/>
      <c r="MSI65" s="447"/>
      <c r="MSJ65" s="447"/>
      <c r="MSK65" s="447"/>
      <c r="MSL65" s="447"/>
      <c r="MSM65" s="447"/>
      <c r="MSN65" s="447"/>
      <c r="MSO65" s="447"/>
      <c r="MSP65" s="447"/>
      <c r="MSQ65" s="447"/>
      <c r="MSR65" s="447"/>
      <c r="MSS65" s="447"/>
      <c r="MST65" s="447"/>
      <c r="MSU65" s="447"/>
      <c r="MSV65" s="447"/>
      <c r="MSW65" s="447"/>
      <c r="MSX65" s="447"/>
      <c r="MSY65" s="447"/>
      <c r="MSZ65" s="447"/>
      <c r="MTA65" s="447"/>
      <c r="MTB65" s="447"/>
      <c r="MTC65" s="447"/>
      <c r="MTD65" s="447"/>
      <c r="MTE65" s="447"/>
      <c r="MTF65" s="447"/>
      <c r="MTG65" s="447"/>
      <c r="MTH65" s="447"/>
      <c r="MTI65" s="447"/>
      <c r="MTJ65" s="447"/>
      <c r="MTK65" s="447"/>
      <c r="MTL65" s="447"/>
      <c r="MTM65" s="447"/>
      <c r="MTN65" s="447"/>
      <c r="MTO65" s="447"/>
      <c r="MTP65" s="447"/>
      <c r="MTQ65" s="447"/>
      <c r="MTR65" s="447"/>
      <c r="MTS65" s="447"/>
      <c r="MTT65" s="447"/>
      <c r="MTU65" s="447"/>
      <c r="MTV65" s="447"/>
      <c r="MTW65" s="447"/>
      <c r="MTX65" s="447"/>
      <c r="MTY65" s="447"/>
      <c r="MTZ65" s="447"/>
      <c r="MUA65" s="447"/>
      <c r="MUB65" s="447"/>
      <c r="MUC65" s="447"/>
      <c r="MUD65" s="447"/>
      <c r="MUE65" s="447"/>
      <c r="MUF65" s="447"/>
      <c r="MUG65" s="447"/>
      <c r="MUH65" s="447"/>
      <c r="MUI65" s="447"/>
      <c r="MUJ65" s="447"/>
      <c r="MUK65" s="447"/>
      <c r="MUL65" s="447"/>
      <c r="MUM65" s="447"/>
      <c r="MUN65" s="447"/>
      <c r="MUO65" s="447"/>
      <c r="MUP65" s="447"/>
      <c r="MUQ65" s="447"/>
      <c r="MUR65" s="447"/>
      <c r="MUS65" s="447"/>
      <c r="MUT65" s="447"/>
      <c r="MUU65" s="447"/>
      <c r="MUV65" s="447"/>
      <c r="MUW65" s="447"/>
      <c r="MUX65" s="447"/>
      <c r="MUY65" s="447"/>
      <c r="MUZ65" s="447"/>
      <c r="MVA65" s="447"/>
      <c r="MVB65" s="447"/>
      <c r="MVC65" s="447"/>
      <c r="MVD65" s="447"/>
      <c r="MVE65" s="447"/>
      <c r="MVF65" s="447"/>
      <c r="MVG65" s="447"/>
      <c r="MVH65" s="447"/>
      <c r="MVI65" s="447"/>
      <c r="MVJ65" s="447"/>
      <c r="MVK65" s="447"/>
      <c r="MVL65" s="447"/>
      <c r="MVM65" s="447"/>
      <c r="MVN65" s="447"/>
      <c r="MVO65" s="447"/>
      <c r="MVP65" s="447"/>
      <c r="MVQ65" s="447"/>
      <c r="MVR65" s="447"/>
      <c r="MVS65" s="447"/>
      <c r="MVT65" s="447"/>
      <c r="MVU65" s="447"/>
      <c r="MVV65" s="447"/>
      <c r="MVW65" s="447"/>
      <c r="MVX65" s="447"/>
      <c r="MVY65" s="447"/>
      <c r="MVZ65" s="447"/>
      <c r="MWA65" s="447"/>
      <c r="MWB65" s="447"/>
      <c r="MWC65" s="447"/>
      <c r="MWD65" s="447"/>
      <c r="MWE65" s="447"/>
      <c r="MWF65" s="447"/>
      <c r="MWG65" s="447"/>
      <c r="MWH65" s="447"/>
      <c r="MWI65" s="447"/>
      <c r="MWJ65" s="447"/>
      <c r="MWK65" s="447"/>
      <c r="MWL65" s="447"/>
      <c r="MWM65" s="447"/>
      <c r="MWN65" s="447"/>
      <c r="MWO65" s="447"/>
      <c r="MWP65" s="447"/>
      <c r="MWQ65" s="447"/>
      <c r="MWR65" s="447"/>
      <c r="MWS65" s="447"/>
      <c r="MWT65" s="447"/>
      <c r="MWU65" s="447"/>
      <c r="MWV65" s="447"/>
      <c r="MWW65" s="447"/>
      <c r="MWX65" s="447"/>
      <c r="MWY65" s="447"/>
      <c r="MWZ65" s="447"/>
      <c r="MXA65" s="447"/>
      <c r="MXB65" s="447"/>
      <c r="MXC65" s="447"/>
      <c r="MXD65" s="447"/>
      <c r="MXE65" s="447"/>
      <c r="MXF65" s="447"/>
      <c r="MXG65" s="447"/>
      <c r="MXH65" s="447"/>
      <c r="MXI65" s="447"/>
      <c r="MXJ65" s="447"/>
      <c r="MXK65" s="447"/>
      <c r="MXL65" s="447"/>
      <c r="MXM65" s="447"/>
      <c r="MXN65" s="447"/>
      <c r="MXO65" s="447"/>
      <c r="MXP65" s="447"/>
      <c r="MXQ65" s="447"/>
      <c r="MXR65" s="447"/>
      <c r="MXS65" s="447"/>
      <c r="MXT65" s="447"/>
      <c r="MXU65" s="447"/>
      <c r="MXV65" s="447"/>
      <c r="MXW65" s="447"/>
      <c r="MXX65" s="447"/>
      <c r="MXY65" s="447"/>
      <c r="MXZ65" s="447"/>
      <c r="MYA65" s="447"/>
      <c r="MYB65" s="447"/>
      <c r="MYC65" s="447"/>
      <c r="MYD65" s="447"/>
      <c r="MYE65" s="447"/>
      <c r="MYF65" s="447"/>
      <c r="MYG65" s="447"/>
      <c r="MYH65" s="447"/>
      <c r="MYI65" s="447"/>
      <c r="MYJ65" s="447"/>
      <c r="MYK65" s="447"/>
      <c r="MYL65" s="447"/>
      <c r="MYM65" s="447"/>
      <c r="MYN65" s="447"/>
      <c r="MYO65" s="447"/>
      <c r="MYP65" s="447"/>
      <c r="MYQ65" s="447"/>
      <c r="MYR65" s="447"/>
      <c r="MYS65" s="447"/>
      <c r="MYT65" s="447"/>
      <c r="MYU65" s="447"/>
      <c r="MYV65" s="447"/>
      <c r="MYW65" s="447"/>
      <c r="MYX65" s="447"/>
      <c r="MYY65" s="447"/>
      <c r="MYZ65" s="447"/>
      <c r="MZA65" s="447"/>
      <c r="MZB65" s="447"/>
      <c r="MZC65" s="447"/>
      <c r="MZD65" s="447"/>
      <c r="MZE65" s="447"/>
      <c r="MZF65" s="447"/>
      <c r="MZG65" s="447"/>
      <c r="MZH65" s="447"/>
      <c r="MZI65" s="447"/>
      <c r="MZJ65" s="447"/>
      <c r="MZK65" s="447"/>
      <c r="MZL65" s="447"/>
      <c r="MZM65" s="447"/>
      <c r="MZN65" s="447"/>
      <c r="MZO65" s="447"/>
      <c r="MZP65" s="447"/>
      <c r="MZQ65" s="447"/>
      <c r="MZR65" s="447"/>
      <c r="MZS65" s="447"/>
      <c r="MZT65" s="447"/>
      <c r="MZU65" s="447"/>
      <c r="MZV65" s="447"/>
      <c r="MZW65" s="447"/>
      <c r="MZX65" s="447"/>
      <c r="MZY65" s="447"/>
      <c r="MZZ65" s="447"/>
      <c r="NAA65" s="447"/>
      <c r="NAB65" s="447"/>
      <c r="NAC65" s="447"/>
      <c r="NAD65" s="447"/>
      <c r="NAE65" s="447"/>
      <c r="NAF65" s="447"/>
      <c r="NAG65" s="447"/>
      <c r="NAH65" s="447"/>
      <c r="NAI65" s="447"/>
      <c r="NAJ65" s="447"/>
      <c r="NAK65" s="447"/>
      <c r="NAL65" s="447"/>
      <c r="NAM65" s="447"/>
      <c r="NAN65" s="447"/>
      <c r="NAO65" s="447"/>
      <c r="NAP65" s="447"/>
      <c r="NAQ65" s="447"/>
      <c r="NAR65" s="447"/>
      <c r="NAS65" s="447"/>
      <c r="NAT65" s="447"/>
      <c r="NAU65" s="447"/>
      <c r="NAV65" s="447"/>
      <c r="NAW65" s="447"/>
      <c r="NAX65" s="447"/>
      <c r="NAY65" s="447"/>
      <c r="NAZ65" s="447"/>
      <c r="NBA65" s="447"/>
      <c r="NBB65" s="447"/>
      <c r="NBC65" s="447"/>
      <c r="NBD65" s="447"/>
      <c r="NBE65" s="447"/>
      <c r="NBF65" s="447"/>
      <c r="NBG65" s="447"/>
      <c r="NBH65" s="447"/>
      <c r="NBI65" s="447"/>
      <c r="NBJ65" s="447"/>
      <c r="NBK65" s="447"/>
      <c r="NBL65" s="447"/>
      <c r="NBM65" s="447"/>
      <c r="NBN65" s="447"/>
      <c r="NBO65" s="447"/>
      <c r="NBP65" s="447"/>
      <c r="NBQ65" s="447"/>
      <c r="NBR65" s="447"/>
      <c r="NBS65" s="447"/>
      <c r="NBT65" s="447"/>
      <c r="NBU65" s="447"/>
      <c r="NBV65" s="447"/>
      <c r="NBW65" s="447"/>
      <c r="NBX65" s="447"/>
      <c r="NBY65" s="447"/>
      <c r="NBZ65" s="447"/>
      <c r="NCA65" s="447"/>
      <c r="NCB65" s="447"/>
      <c r="NCC65" s="447"/>
      <c r="NCD65" s="447"/>
      <c r="NCE65" s="447"/>
      <c r="NCF65" s="447"/>
      <c r="NCG65" s="447"/>
      <c r="NCH65" s="447"/>
      <c r="NCI65" s="447"/>
      <c r="NCJ65" s="447"/>
      <c r="NCK65" s="447"/>
      <c r="NCL65" s="447"/>
      <c r="NCM65" s="447"/>
      <c r="NCN65" s="447"/>
      <c r="NCO65" s="447"/>
      <c r="NCP65" s="447"/>
      <c r="NCQ65" s="447"/>
      <c r="NCR65" s="447"/>
      <c r="NCS65" s="447"/>
      <c r="NCT65" s="447"/>
      <c r="NCU65" s="447"/>
      <c r="NCV65" s="447"/>
      <c r="NCW65" s="447"/>
      <c r="NCX65" s="447"/>
      <c r="NCY65" s="447"/>
      <c r="NCZ65" s="447"/>
      <c r="NDA65" s="447"/>
      <c r="NDB65" s="447"/>
      <c r="NDC65" s="447"/>
      <c r="NDD65" s="447"/>
      <c r="NDE65" s="447"/>
      <c r="NDF65" s="447"/>
      <c r="NDG65" s="447"/>
      <c r="NDH65" s="447"/>
      <c r="NDI65" s="447"/>
      <c r="NDJ65" s="447"/>
      <c r="NDK65" s="447"/>
      <c r="NDL65" s="447"/>
      <c r="NDM65" s="447"/>
      <c r="NDN65" s="447"/>
      <c r="NDO65" s="447"/>
      <c r="NDP65" s="447"/>
      <c r="NDQ65" s="447"/>
      <c r="NDR65" s="447"/>
      <c r="NDS65" s="447"/>
      <c r="NDT65" s="447"/>
      <c r="NDU65" s="447"/>
      <c r="NDV65" s="447"/>
      <c r="NDW65" s="447"/>
      <c r="NDX65" s="447"/>
      <c r="NDY65" s="447"/>
      <c r="NDZ65" s="447"/>
      <c r="NEA65" s="447"/>
      <c r="NEB65" s="447"/>
      <c r="NEC65" s="447"/>
      <c r="NED65" s="447"/>
      <c r="NEE65" s="447"/>
      <c r="NEF65" s="447"/>
      <c r="NEG65" s="447"/>
      <c r="NEH65" s="447"/>
      <c r="NEI65" s="447"/>
      <c r="NEJ65" s="447"/>
      <c r="NEK65" s="447"/>
      <c r="NEL65" s="447"/>
      <c r="NEM65" s="447"/>
      <c r="NEN65" s="447"/>
      <c r="NEO65" s="447"/>
      <c r="NEP65" s="447"/>
      <c r="NEQ65" s="447"/>
      <c r="NER65" s="447"/>
      <c r="NES65" s="447"/>
      <c r="NET65" s="447"/>
      <c r="NEU65" s="447"/>
      <c r="NEV65" s="447"/>
      <c r="NEW65" s="447"/>
      <c r="NEX65" s="447"/>
      <c r="NEY65" s="447"/>
      <c r="NEZ65" s="447"/>
      <c r="NFA65" s="447"/>
      <c r="NFB65" s="447"/>
      <c r="NFC65" s="447"/>
      <c r="NFD65" s="447"/>
      <c r="NFE65" s="447"/>
      <c r="NFF65" s="447"/>
      <c r="NFG65" s="447"/>
      <c r="NFH65" s="447"/>
      <c r="NFI65" s="447"/>
      <c r="NFJ65" s="447"/>
      <c r="NFK65" s="447"/>
      <c r="NFL65" s="447"/>
      <c r="NFM65" s="447"/>
      <c r="NFN65" s="447"/>
      <c r="NFO65" s="447"/>
      <c r="NFP65" s="447"/>
      <c r="NFQ65" s="447"/>
      <c r="NFR65" s="447"/>
      <c r="NFS65" s="447"/>
      <c r="NFT65" s="447"/>
      <c r="NFU65" s="447"/>
      <c r="NFV65" s="447"/>
      <c r="NFW65" s="447"/>
      <c r="NFX65" s="447"/>
      <c r="NFY65" s="447"/>
      <c r="NFZ65" s="447"/>
      <c r="NGA65" s="447"/>
      <c r="NGB65" s="447"/>
      <c r="NGC65" s="447"/>
      <c r="NGD65" s="447"/>
      <c r="NGE65" s="447"/>
      <c r="NGF65" s="447"/>
      <c r="NGG65" s="447"/>
      <c r="NGH65" s="447"/>
      <c r="NGI65" s="447"/>
      <c r="NGJ65" s="447"/>
      <c r="NGK65" s="447"/>
      <c r="NGL65" s="447"/>
      <c r="NGM65" s="447"/>
      <c r="NGN65" s="447"/>
      <c r="NGO65" s="447"/>
      <c r="NGP65" s="447"/>
      <c r="NGQ65" s="447"/>
      <c r="NGR65" s="447"/>
      <c r="NGS65" s="447"/>
      <c r="NGT65" s="447"/>
      <c r="NGU65" s="447"/>
      <c r="NGV65" s="447"/>
      <c r="NGW65" s="447"/>
      <c r="NGX65" s="447"/>
      <c r="NGY65" s="447"/>
      <c r="NGZ65" s="447"/>
      <c r="NHA65" s="447"/>
      <c r="NHB65" s="447"/>
      <c r="NHC65" s="447"/>
      <c r="NHD65" s="447"/>
      <c r="NHE65" s="447"/>
      <c r="NHF65" s="447"/>
      <c r="NHG65" s="447"/>
      <c r="NHH65" s="447"/>
      <c r="NHI65" s="447"/>
      <c r="NHJ65" s="447"/>
      <c r="NHK65" s="447"/>
      <c r="NHL65" s="447"/>
      <c r="NHM65" s="447"/>
      <c r="NHN65" s="447"/>
      <c r="NHO65" s="447"/>
      <c r="NHP65" s="447"/>
      <c r="NHQ65" s="447"/>
      <c r="NHR65" s="447"/>
      <c r="NHS65" s="447"/>
      <c r="NHT65" s="447"/>
      <c r="NHU65" s="447"/>
      <c r="NHV65" s="447"/>
      <c r="NHW65" s="447"/>
      <c r="NHX65" s="447"/>
      <c r="NHY65" s="447"/>
      <c r="NHZ65" s="447"/>
      <c r="NIA65" s="447"/>
      <c r="NIB65" s="447"/>
      <c r="NIC65" s="447"/>
      <c r="NID65" s="447"/>
      <c r="NIE65" s="447"/>
      <c r="NIF65" s="447"/>
      <c r="NIG65" s="447"/>
      <c r="NIH65" s="447"/>
      <c r="NII65" s="447"/>
      <c r="NIJ65" s="447"/>
      <c r="NIK65" s="447"/>
      <c r="NIL65" s="447"/>
      <c r="NIM65" s="447"/>
      <c r="NIN65" s="447"/>
      <c r="NIO65" s="447"/>
      <c r="NIP65" s="447"/>
      <c r="NIQ65" s="447"/>
      <c r="NIR65" s="447"/>
      <c r="NIS65" s="447"/>
      <c r="NIT65" s="447"/>
      <c r="NIU65" s="447"/>
      <c r="NIV65" s="447"/>
      <c r="NIW65" s="447"/>
      <c r="NIX65" s="447"/>
      <c r="NIY65" s="447"/>
      <c r="NIZ65" s="447"/>
      <c r="NJA65" s="447"/>
      <c r="NJB65" s="447"/>
      <c r="NJC65" s="447"/>
      <c r="NJD65" s="447"/>
      <c r="NJE65" s="447"/>
      <c r="NJF65" s="447"/>
      <c r="NJG65" s="447"/>
      <c r="NJH65" s="447"/>
      <c r="NJI65" s="447"/>
      <c r="NJJ65" s="447"/>
      <c r="NJK65" s="447"/>
      <c r="NJL65" s="447"/>
      <c r="NJM65" s="447"/>
      <c r="NJN65" s="447"/>
      <c r="NJO65" s="447"/>
      <c r="NJP65" s="447"/>
      <c r="NJQ65" s="447"/>
      <c r="NJR65" s="447"/>
      <c r="NJS65" s="447"/>
      <c r="NJT65" s="447"/>
      <c r="NJU65" s="447"/>
      <c r="NJV65" s="447"/>
      <c r="NJW65" s="447"/>
      <c r="NJX65" s="447"/>
      <c r="NJY65" s="447"/>
      <c r="NJZ65" s="447"/>
      <c r="NKA65" s="447"/>
      <c r="NKB65" s="447"/>
      <c r="NKC65" s="447"/>
      <c r="NKD65" s="447"/>
      <c r="NKE65" s="447"/>
      <c r="NKF65" s="447"/>
      <c r="NKG65" s="447"/>
      <c r="NKH65" s="447"/>
      <c r="NKI65" s="447"/>
      <c r="NKJ65" s="447"/>
      <c r="NKK65" s="447"/>
      <c r="NKL65" s="447"/>
      <c r="NKM65" s="447"/>
      <c r="NKN65" s="447"/>
      <c r="NKO65" s="447"/>
      <c r="NKP65" s="447"/>
      <c r="NKQ65" s="447"/>
      <c r="NKR65" s="447"/>
      <c r="NKS65" s="447"/>
      <c r="NKT65" s="447"/>
      <c r="NKU65" s="447"/>
      <c r="NKV65" s="447"/>
      <c r="NKW65" s="447"/>
      <c r="NKX65" s="447"/>
      <c r="NKY65" s="447"/>
      <c r="NKZ65" s="447"/>
      <c r="NLA65" s="447"/>
      <c r="NLB65" s="447"/>
      <c r="NLC65" s="447"/>
      <c r="NLD65" s="447"/>
      <c r="NLE65" s="447"/>
      <c r="NLF65" s="447"/>
      <c r="NLG65" s="447"/>
      <c r="NLH65" s="447"/>
      <c r="NLI65" s="447"/>
      <c r="NLJ65" s="447"/>
      <c r="NLK65" s="447"/>
      <c r="NLL65" s="447"/>
      <c r="NLM65" s="447"/>
      <c r="NLN65" s="447"/>
      <c r="NLO65" s="447"/>
      <c r="NLP65" s="447"/>
      <c r="NLQ65" s="447"/>
      <c r="NLR65" s="447"/>
      <c r="NLS65" s="447"/>
      <c r="NLT65" s="447"/>
      <c r="NLU65" s="447"/>
      <c r="NLV65" s="447"/>
      <c r="NLW65" s="447"/>
      <c r="NLX65" s="447"/>
      <c r="NLY65" s="447"/>
      <c r="NLZ65" s="447"/>
      <c r="NMA65" s="447"/>
      <c r="NMB65" s="447"/>
      <c r="NMC65" s="447"/>
      <c r="NMD65" s="447"/>
      <c r="NME65" s="447"/>
      <c r="NMF65" s="447"/>
      <c r="NMG65" s="447"/>
      <c r="NMH65" s="447"/>
      <c r="NMI65" s="447"/>
      <c r="NMJ65" s="447"/>
      <c r="NMK65" s="447"/>
      <c r="NML65" s="447"/>
      <c r="NMM65" s="447"/>
      <c r="NMN65" s="447"/>
      <c r="NMO65" s="447"/>
      <c r="NMP65" s="447"/>
      <c r="NMQ65" s="447"/>
      <c r="NMR65" s="447"/>
      <c r="NMS65" s="447"/>
      <c r="NMT65" s="447"/>
      <c r="NMU65" s="447"/>
      <c r="NMV65" s="447"/>
      <c r="NMW65" s="447"/>
      <c r="NMX65" s="447"/>
      <c r="NMY65" s="447"/>
      <c r="NMZ65" s="447"/>
      <c r="NNA65" s="447"/>
      <c r="NNB65" s="447"/>
      <c r="NNC65" s="447"/>
      <c r="NND65" s="447"/>
      <c r="NNE65" s="447"/>
      <c r="NNF65" s="447"/>
      <c r="NNG65" s="447"/>
      <c r="NNH65" s="447"/>
      <c r="NNI65" s="447"/>
      <c r="NNJ65" s="447"/>
      <c r="NNK65" s="447"/>
      <c r="NNL65" s="447"/>
      <c r="NNM65" s="447"/>
      <c r="NNN65" s="447"/>
      <c r="NNO65" s="447"/>
      <c r="NNP65" s="447"/>
      <c r="NNQ65" s="447"/>
      <c r="NNR65" s="447"/>
      <c r="NNS65" s="447"/>
      <c r="NNT65" s="447"/>
      <c r="NNU65" s="447"/>
      <c r="NNV65" s="447"/>
      <c r="NNW65" s="447"/>
      <c r="NNX65" s="447"/>
      <c r="NNY65" s="447"/>
      <c r="NNZ65" s="447"/>
      <c r="NOA65" s="447"/>
      <c r="NOB65" s="447"/>
      <c r="NOC65" s="447"/>
      <c r="NOD65" s="447"/>
      <c r="NOE65" s="447"/>
      <c r="NOF65" s="447"/>
      <c r="NOG65" s="447"/>
      <c r="NOH65" s="447"/>
      <c r="NOI65" s="447"/>
      <c r="NOJ65" s="447"/>
      <c r="NOK65" s="447"/>
      <c r="NOL65" s="447"/>
      <c r="NOM65" s="447"/>
      <c r="NON65" s="447"/>
      <c r="NOO65" s="447"/>
      <c r="NOP65" s="447"/>
      <c r="NOQ65" s="447"/>
      <c r="NOR65" s="447"/>
      <c r="NOS65" s="447"/>
      <c r="NOT65" s="447"/>
      <c r="NOU65" s="447"/>
      <c r="NOV65" s="447"/>
      <c r="NOW65" s="447"/>
      <c r="NOX65" s="447"/>
      <c r="NOY65" s="447"/>
      <c r="NOZ65" s="447"/>
      <c r="NPA65" s="447"/>
      <c r="NPB65" s="447"/>
      <c r="NPC65" s="447"/>
      <c r="NPD65" s="447"/>
      <c r="NPE65" s="447"/>
      <c r="NPF65" s="447"/>
      <c r="NPG65" s="447"/>
      <c r="NPH65" s="447"/>
      <c r="NPI65" s="447"/>
      <c r="NPJ65" s="447"/>
      <c r="NPK65" s="447"/>
      <c r="NPL65" s="447"/>
      <c r="NPM65" s="447"/>
      <c r="NPN65" s="447"/>
      <c r="NPO65" s="447"/>
      <c r="NPP65" s="447"/>
      <c r="NPQ65" s="447"/>
      <c r="NPR65" s="447"/>
      <c r="NPS65" s="447"/>
      <c r="NPT65" s="447"/>
      <c r="NPU65" s="447"/>
      <c r="NPV65" s="447"/>
      <c r="NPW65" s="447"/>
      <c r="NPX65" s="447"/>
      <c r="NPY65" s="447"/>
      <c r="NPZ65" s="447"/>
      <c r="NQA65" s="447"/>
      <c r="NQB65" s="447"/>
      <c r="NQC65" s="447"/>
      <c r="NQD65" s="447"/>
      <c r="NQE65" s="447"/>
      <c r="NQF65" s="447"/>
      <c r="NQG65" s="447"/>
      <c r="NQH65" s="447"/>
      <c r="NQI65" s="447"/>
      <c r="NQJ65" s="447"/>
      <c r="NQK65" s="447"/>
      <c r="NQL65" s="447"/>
      <c r="NQM65" s="447"/>
      <c r="NQN65" s="447"/>
      <c r="NQO65" s="447"/>
      <c r="NQP65" s="447"/>
      <c r="NQQ65" s="447"/>
      <c r="NQR65" s="447"/>
      <c r="NQS65" s="447"/>
      <c r="NQT65" s="447"/>
      <c r="NQU65" s="447"/>
      <c r="NQV65" s="447"/>
      <c r="NQW65" s="447"/>
      <c r="NQX65" s="447"/>
      <c r="NQY65" s="447"/>
      <c r="NQZ65" s="447"/>
      <c r="NRA65" s="447"/>
      <c r="NRB65" s="447"/>
      <c r="NRC65" s="447"/>
      <c r="NRD65" s="447"/>
      <c r="NRE65" s="447"/>
      <c r="NRF65" s="447"/>
      <c r="NRG65" s="447"/>
      <c r="NRH65" s="447"/>
      <c r="NRI65" s="447"/>
      <c r="NRJ65" s="447"/>
      <c r="NRK65" s="447"/>
      <c r="NRL65" s="447"/>
      <c r="NRM65" s="447"/>
      <c r="NRN65" s="447"/>
      <c r="NRO65" s="447"/>
      <c r="NRP65" s="447"/>
      <c r="NRQ65" s="447"/>
      <c r="NRR65" s="447"/>
      <c r="NRS65" s="447"/>
      <c r="NRT65" s="447"/>
      <c r="NRU65" s="447"/>
      <c r="NRV65" s="447"/>
      <c r="NRW65" s="447"/>
      <c r="NRX65" s="447"/>
      <c r="NRY65" s="447"/>
      <c r="NRZ65" s="447"/>
      <c r="NSA65" s="447"/>
      <c r="NSB65" s="447"/>
      <c r="NSC65" s="447"/>
      <c r="NSD65" s="447"/>
      <c r="NSE65" s="447"/>
      <c r="NSF65" s="447"/>
      <c r="NSG65" s="447"/>
      <c r="NSH65" s="447"/>
      <c r="NSI65" s="447"/>
      <c r="NSJ65" s="447"/>
      <c r="NSK65" s="447"/>
      <c r="NSL65" s="447"/>
      <c r="NSM65" s="447"/>
      <c r="NSN65" s="447"/>
      <c r="NSO65" s="447"/>
      <c r="NSP65" s="447"/>
      <c r="NSQ65" s="447"/>
      <c r="NSR65" s="447"/>
      <c r="NSS65" s="447"/>
      <c r="NST65" s="447"/>
      <c r="NSU65" s="447"/>
      <c r="NSV65" s="447"/>
      <c r="NSW65" s="447"/>
      <c r="NSX65" s="447"/>
      <c r="NSY65" s="447"/>
      <c r="NSZ65" s="447"/>
      <c r="NTA65" s="447"/>
      <c r="NTB65" s="447"/>
      <c r="NTC65" s="447"/>
      <c r="NTD65" s="447"/>
      <c r="NTE65" s="447"/>
      <c r="NTF65" s="447"/>
      <c r="NTG65" s="447"/>
      <c r="NTH65" s="447"/>
      <c r="NTI65" s="447"/>
      <c r="NTJ65" s="447"/>
      <c r="NTK65" s="447"/>
      <c r="NTL65" s="447"/>
      <c r="NTM65" s="447"/>
      <c r="NTN65" s="447"/>
      <c r="NTO65" s="447"/>
      <c r="NTP65" s="447"/>
      <c r="NTQ65" s="447"/>
      <c r="NTR65" s="447"/>
      <c r="NTS65" s="447"/>
      <c r="NTT65" s="447"/>
      <c r="NTU65" s="447"/>
      <c r="NTV65" s="447"/>
      <c r="NTW65" s="447"/>
      <c r="NTX65" s="447"/>
      <c r="NTY65" s="447"/>
      <c r="NTZ65" s="447"/>
      <c r="NUA65" s="447"/>
      <c r="NUB65" s="447"/>
      <c r="NUC65" s="447"/>
      <c r="NUD65" s="447"/>
      <c r="NUE65" s="447"/>
      <c r="NUF65" s="447"/>
      <c r="NUG65" s="447"/>
      <c r="NUH65" s="447"/>
      <c r="NUI65" s="447"/>
      <c r="NUJ65" s="447"/>
      <c r="NUK65" s="447"/>
      <c r="NUL65" s="447"/>
      <c r="NUM65" s="447"/>
      <c r="NUN65" s="447"/>
      <c r="NUO65" s="447"/>
      <c r="NUP65" s="447"/>
      <c r="NUQ65" s="447"/>
      <c r="NUR65" s="447"/>
      <c r="NUS65" s="447"/>
      <c r="NUT65" s="447"/>
      <c r="NUU65" s="447"/>
      <c r="NUV65" s="447"/>
      <c r="NUW65" s="447"/>
      <c r="NUX65" s="447"/>
      <c r="NUY65" s="447"/>
      <c r="NUZ65" s="447"/>
      <c r="NVA65" s="447"/>
      <c r="NVB65" s="447"/>
      <c r="NVC65" s="447"/>
      <c r="NVD65" s="447"/>
      <c r="NVE65" s="447"/>
      <c r="NVF65" s="447"/>
      <c r="NVG65" s="447"/>
      <c r="NVH65" s="447"/>
      <c r="NVI65" s="447"/>
      <c r="NVJ65" s="447"/>
      <c r="NVK65" s="447"/>
      <c r="NVL65" s="447"/>
      <c r="NVM65" s="447"/>
      <c r="NVN65" s="447"/>
      <c r="NVO65" s="447"/>
      <c r="NVP65" s="447"/>
      <c r="NVQ65" s="447"/>
      <c r="NVR65" s="447"/>
      <c r="NVS65" s="447"/>
      <c r="NVT65" s="447"/>
      <c r="NVU65" s="447"/>
      <c r="NVV65" s="447"/>
      <c r="NVW65" s="447"/>
      <c r="NVX65" s="447"/>
      <c r="NVY65" s="447"/>
      <c r="NVZ65" s="447"/>
      <c r="NWA65" s="447"/>
      <c r="NWB65" s="447"/>
      <c r="NWC65" s="447"/>
      <c r="NWD65" s="447"/>
      <c r="NWE65" s="447"/>
      <c r="NWF65" s="447"/>
      <c r="NWG65" s="447"/>
      <c r="NWH65" s="447"/>
      <c r="NWI65" s="447"/>
      <c r="NWJ65" s="447"/>
      <c r="NWK65" s="447"/>
      <c r="NWL65" s="447"/>
      <c r="NWM65" s="447"/>
      <c r="NWN65" s="447"/>
      <c r="NWO65" s="447"/>
      <c r="NWP65" s="447"/>
      <c r="NWQ65" s="447"/>
      <c r="NWR65" s="447"/>
      <c r="NWS65" s="447"/>
      <c r="NWT65" s="447"/>
      <c r="NWU65" s="447"/>
      <c r="NWV65" s="447"/>
      <c r="NWW65" s="447"/>
      <c r="NWX65" s="447"/>
      <c r="NWY65" s="447"/>
      <c r="NWZ65" s="447"/>
      <c r="NXA65" s="447"/>
      <c r="NXB65" s="447"/>
      <c r="NXC65" s="447"/>
      <c r="NXD65" s="447"/>
      <c r="NXE65" s="447"/>
      <c r="NXF65" s="447"/>
      <c r="NXG65" s="447"/>
      <c r="NXH65" s="447"/>
      <c r="NXI65" s="447"/>
      <c r="NXJ65" s="447"/>
      <c r="NXK65" s="447"/>
      <c r="NXL65" s="447"/>
      <c r="NXM65" s="447"/>
      <c r="NXN65" s="447"/>
      <c r="NXO65" s="447"/>
      <c r="NXP65" s="447"/>
      <c r="NXQ65" s="447"/>
      <c r="NXR65" s="447"/>
      <c r="NXS65" s="447"/>
      <c r="NXT65" s="447"/>
      <c r="NXU65" s="447"/>
      <c r="NXV65" s="447"/>
      <c r="NXW65" s="447"/>
      <c r="NXX65" s="447"/>
      <c r="NXY65" s="447"/>
      <c r="NXZ65" s="447"/>
      <c r="NYA65" s="447"/>
      <c r="NYB65" s="447"/>
      <c r="NYC65" s="447"/>
      <c r="NYD65" s="447"/>
      <c r="NYE65" s="447"/>
      <c r="NYF65" s="447"/>
      <c r="NYG65" s="447"/>
      <c r="NYH65" s="447"/>
      <c r="NYI65" s="447"/>
      <c r="NYJ65" s="447"/>
      <c r="NYK65" s="447"/>
      <c r="NYL65" s="447"/>
      <c r="NYM65" s="447"/>
      <c r="NYN65" s="447"/>
      <c r="NYO65" s="447"/>
      <c r="NYP65" s="447"/>
      <c r="NYQ65" s="447"/>
      <c r="NYR65" s="447"/>
      <c r="NYS65" s="447"/>
      <c r="NYT65" s="447"/>
      <c r="NYU65" s="447"/>
      <c r="NYV65" s="447"/>
      <c r="NYW65" s="447"/>
      <c r="NYX65" s="447"/>
      <c r="NYY65" s="447"/>
      <c r="NYZ65" s="447"/>
      <c r="NZA65" s="447"/>
      <c r="NZB65" s="447"/>
      <c r="NZC65" s="447"/>
      <c r="NZD65" s="447"/>
      <c r="NZE65" s="447"/>
      <c r="NZF65" s="447"/>
      <c r="NZG65" s="447"/>
      <c r="NZH65" s="447"/>
      <c r="NZI65" s="447"/>
      <c r="NZJ65" s="447"/>
      <c r="NZK65" s="447"/>
      <c r="NZL65" s="447"/>
      <c r="NZM65" s="447"/>
      <c r="NZN65" s="447"/>
      <c r="NZO65" s="447"/>
      <c r="NZP65" s="447"/>
      <c r="NZQ65" s="447"/>
      <c r="NZR65" s="447"/>
      <c r="NZS65" s="447"/>
      <c r="NZT65" s="447"/>
      <c r="NZU65" s="447"/>
      <c r="NZV65" s="447"/>
      <c r="NZW65" s="447"/>
      <c r="NZX65" s="447"/>
      <c r="NZY65" s="447"/>
      <c r="NZZ65" s="447"/>
      <c r="OAA65" s="447"/>
      <c r="OAB65" s="447"/>
      <c r="OAC65" s="447"/>
      <c r="OAD65" s="447"/>
      <c r="OAE65" s="447"/>
      <c r="OAF65" s="447"/>
      <c r="OAG65" s="447"/>
      <c r="OAH65" s="447"/>
      <c r="OAI65" s="447"/>
      <c r="OAJ65" s="447"/>
      <c r="OAK65" s="447"/>
      <c r="OAL65" s="447"/>
      <c r="OAM65" s="447"/>
      <c r="OAN65" s="447"/>
      <c r="OAO65" s="447"/>
      <c r="OAP65" s="447"/>
      <c r="OAQ65" s="447"/>
      <c r="OAR65" s="447"/>
      <c r="OAS65" s="447"/>
      <c r="OAT65" s="447"/>
      <c r="OAU65" s="447"/>
      <c r="OAV65" s="447"/>
      <c r="OAW65" s="447"/>
      <c r="OAX65" s="447"/>
      <c r="OAY65" s="447"/>
      <c r="OAZ65" s="447"/>
      <c r="OBA65" s="447"/>
      <c r="OBB65" s="447"/>
      <c r="OBC65" s="447"/>
      <c r="OBD65" s="447"/>
      <c r="OBE65" s="447"/>
      <c r="OBF65" s="447"/>
      <c r="OBG65" s="447"/>
      <c r="OBH65" s="447"/>
      <c r="OBI65" s="447"/>
      <c r="OBJ65" s="447"/>
      <c r="OBK65" s="447"/>
      <c r="OBL65" s="447"/>
      <c r="OBM65" s="447"/>
      <c r="OBN65" s="447"/>
      <c r="OBO65" s="447"/>
      <c r="OBP65" s="447"/>
      <c r="OBQ65" s="447"/>
      <c r="OBR65" s="447"/>
      <c r="OBS65" s="447"/>
      <c r="OBT65" s="447"/>
      <c r="OBU65" s="447"/>
      <c r="OBV65" s="447"/>
      <c r="OBW65" s="447"/>
      <c r="OBX65" s="447"/>
      <c r="OBY65" s="447"/>
      <c r="OBZ65" s="447"/>
      <c r="OCA65" s="447"/>
      <c r="OCB65" s="447"/>
      <c r="OCC65" s="447"/>
      <c r="OCD65" s="447"/>
      <c r="OCE65" s="447"/>
      <c r="OCF65" s="447"/>
      <c r="OCG65" s="447"/>
      <c r="OCH65" s="447"/>
      <c r="OCI65" s="447"/>
      <c r="OCJ65" s="447"/>
      <c r="OCK65" s="447"/>
      <c r="OCL65" s="447"/>
      <c r="OCM65" s="447"/>
      <c r="OCN65" s="447"/>
      <c r="OCO65" s="447"/>
      <c r="OCP65" s="447"/>
      <c r="OCQ65" s="447"/>
      <c r="OCR65" s="447"/>
      <c r="OCS65" s="447"/>
      <c r="OCT65" s="447"/>
      <c r="OCU65" s="447"/>
      <c r="OCV65" s="447"/>
      <c r="OCW65" s="447"/>
      <c r="OCX65" s="447"/>
      <c r="OCY65" s="447"/>
      <c r="OCZ65" s="447"/>
      <c r="ODA65" s="447"/>
      <c r="ODB65" s="447"/>
      <c r="ODC65" s="447"/>
      <c r="ODD65" s="447"/>
      <c r="ODE65" s="447"/>
      <c r="ODF65" s="447"/>
      <c r="ODG65" s="447"/>
      <c r="ODH65" s="447"/>
      <c r="ODI65" s="447"/>
      <c r="ODJ65" s="447"/>
      <c r="ODK65" s="447"/>
      <c r="ODL65" s="447"/>
      <c r="ODM65" s="447"/>
      <c r="ODN65" s="447"/>
      <c r="ODO65" s="447"/>
      <c r="ODP65" s="447"/>
      <c r="ODQ65" s="447"/>
      <c r="ODR65" s="447"/>
      <c r="ODS65" s="447"/>
      <c r="ODT65" s="447"/>
      <c r="ODU65" s="447"/>
      <c r="ODV65" s="447"/>
      <c r="ODW65" s="447"/>
      <c r="ODX65" s="447"/>
      <c r="ODY65" s="447"/>
      <c r="ODZ65" s="447"/>
      <c r="OEA65" s="447"/>
      <c r="OEB65" s="447"/>
      <c r="OEC65" s="447"/>
      <c r="OED65" s="447"/>
      <c r="OEE65" s="447"/>
      <c r="OEF65" s="447"/>
      <c r="OEG65" s="447"/>
      <c r="OEH65" s="447"/>
      <c r="OEI65" s="447"/>
      <c r="OEJ65" s="447"/>
      <c r="OEK65" s="447"/>
      <c r="OEL65" s="447"/>
      <c r="OEM65" s="447"/>
      <c r="OEN65" s="447"/>
      <c r="OEO65" s="447"/>
      <c r="OEP65" s="447"/>
      <c r="OEQ65" s="447"/>
      <c r="OER65" s="447"/>
      <c r="OES65" s="447"/>
      <c r="OET65" s="447"/>
      <c r="OEU65" s="447"/>
      <c r="OEV65" s="447"/>
      <c r="OEW65" s="447"/>
      <c r="OEX65" s="447"/>
      <c r="OEY65" s="447"/>
      <c r="OEZ65" s="447"/>
      <c r="OFA65" s="447"/>
      <c r="OFB65" s="447"/>
      <c r="OFC65" s="447"/>
      <c r="OFD65" s="447"/>
      <c r="OFE65" s="447"/>
      <c r="OFF65" s="447"/>
      <c r="OFG65" s="447"/>
      <c r="OFH65" s="447"/>
      <c r="OFI65" s="447"/>
      <c r="OFJ65" s="447"/>
      <c r="OFK65" s="447"/>
      <c r="OFL65" s="447"/>
      <c r="OFM65" s="447"/>
      <c r="OFN65" s="447"/>
      <c r="OFO65" s="447"/>
      <c r="OFP65" s="447"/>
      <c r="OFQ65" s="447"/>
      <c r="OFR65" s="447"/>
      <c r="OFS65" s="447"/>
      <c r="OFT65" s="447"/>
      <c r="OFU65" s="447"/>
      <c r="OFV65" s="447"/>
      <c r="OFW65" s="447"/>
      <c r="OFX65" s="447"/>
      <c r="OFY65" s="447"/>
      <c r="OFZ65" s="447"/>
      <c r="OGA65" s="447"/>
      <c r="OGB65" s="447"/>
      <c r="OGC65" s="447"/>
      <c r="OGD65" s="447"/>
      <c r="OGE65" s="447"/>
      <c r="OGF65" s="447"/>
      <c r="OGG65" s="447"/>
      <c r="OGH65" s="447"/>
      <c r="OGI65" s="447"/>
      <c r="OGJ65" s="447"/>
      <c r="OGK65" s="447"/>
      <c r="OGL65" s="447"/>
      <c r="OGM65" s="447"/>
      <c r="OGN65" s="447"/>
      <c r="OGO65" s="447"/>
      <c r="OGP65" s="447"/>
      <c r="OGQ65" s="447"/>
      <c r="OGR65" s="447"/>
      <c r="OGS65" s="447"/>
      <c r="OGT65" s="447"/>
      <c r="OGU65" s="447"/>
      <c r="OGV65" s="447"/>
      <c r="OGW65" s="447"/>
      <c r="OGX65" s="447"/>
      <c r="OGY65" s="447"/>
      <c r="OGZ65" s="447"/>
      <c r="OHA65" s="447"/>
      <c r="OHB65" s="447"/>
      <c r="OHC65" s="447"/>
      <c r="OHD65" s="447"/>
      <c r="OHE65" s="447"/>
      <c r="OHF65" s="447"/>
      <c r="OHG65" s="447"/>
      <c r="OHH65" s="447"/>
      <c r="OHI65" s="447"/>
      <c r="OHJ65" s="447"/>
      <c r="OHK65" s="447"/>
      <c r="OHL65" s="447"/>
      <c r="OHM65" s="447"/>
      <c r="OHN65" s="447"/>
      <c r="OHO65" s="447"/>
      <c r="OHP65" s="447"/>
      <c r="OHQ65" s="447"/>
      <c r="OHR65" s="447"/>
      <c r="OHS65" s="447"/>
      <c r="OHT65" s="447"/>
      <c r="OHU65" s="447"/>
      <c r="OHV65" s="447"/>
      <c r="OHW65" s="447"/>
      <c r="OHX65" s="447"/>
      <c r="OHY65" s="447"/>
      <c r="OHZ65" s="447"/>
      <c r="OIA65" s="447"/>
      <c r="OIB65" s="447"/>
      <c r="OIC65" s="447"/>
      <c r="OID65" s="447"/>
      <c r="OIE65" s="447"/>
      <c r="OIF65" s="447"/>
      <c r="OIG65" s="447"/>
      <c r="OIH65" s="447"/>
      <c r="OII65" s="447"/>
      <c r="OIJ65" s="447"/>
      <c r="OIK65" s="447"/>
      <c r="OIL65" s="447"/>
      <c r="OIM65" s="447"/>
      <c r="OIN65" s="447"/>
      <c r="OIO65" s="447"/>
      <c r="OIP65" s="447"/>
      <c r="OIQ65" s="447"/>
      <c r="OIR65" s="447"/>
      <c r="OIS65" s="447"/>
      <c r="OIT65" s="447"/>
      <c r="OIU65" s="447"/>
      <c r="OIV65" s="447"/>
      <c r="OIW65" s="447"/>
      <c r="OIX65" s="447"/>
      <c r="OIY65" s="447"/>
      <c r="OIZ65" s="447"/>
      <c r="OJA65" s="447"/>
      <c r="OJB65" s="447"/>
      <c r="OJC65" s="447"/>
      <c r="OJD65" s="447"/>
      <c r="OJE65" s="447"/>
      <c r="OJF65" s="447"/>
      <c r="OJG65" s="447"/>
      <c r="OJH65" s="447"/>
      <c r="OJI65" s="447"/>
      <c r="OJJ65" s="447"/>
      <c r="OJK65" s="447"/>
      <c r="OJL65" s="447"/>
      <c r="OJM65" s="447"/>
      <c r="OJN65" s="447"/>
      <c r="OJO65" s="447"/>
      <c r="OJP65" s="447"/>
      <c r="OJQ65" s="447"/>
      <c r="OJR65" s="447"/>
      <c r="OJS65" s="447"/>
      <c r="OJT65" s="447"/>
      <c r="OJU65" s="447"/>
      <c r="OJV65" s="447"/>
      <c r="OJW65" s="447"/>
      <c r="OJX65" s="447"/>
      <c r="OJY65" s="447"/>
      <c r="OJZ65" s="447"/>
      <c r="OKA65" s="447"/>
      <c r="OKB65" s="447"/>
      <c r="OKC65" s="447"/>
      <c r="OKD65" s="447"/>
      <c r="OKE65" s="447"/>
      <c r="OKF65" s="447"/>
      <c r="OKG65" s="447"/>
      <c r="OKH65" s="447"/>
      <c r="OKI65" s="447"/>
      <c r="OKJ65" s="447"/>
      <c r="OKK65" s="447"/>
      <c r="OKL65" s="447"/>
      <c r="OKM65" s="447"/>
      <c r="OKN65" s="447"/>
      <c r="OKO65" s="447"/>
      <c r="OKP65" s="447"/>
      <c r="OKQ65" s="447"/>
      <c r="OKR65" s="447"/>
      <c r="OKS65" s="447"/>
      <c r="OKT65" s="447"/>
      <c r="OKU65" s="447"/>
      <c r="OKV65" s="447"/>
      <c r="OKW65" s="447"/>
      <c r="OKX65" s="447"/>
      <c r="OKY65" s="447"/>
      <c r="OKZ65" s="447"/>
      <c r="OLA65" s="447"/>
      <c r="OLB65" s="447"/>
      <c r="OLC65" s="447"/>
      <c r="OLD65" s="447"/>
      <c r="OLE65" s="447"/>
      <c r="OLF65" s="447"/>
      <c r="OLG65" s="447"/>
      <c r="OLH65" s="447"/>
      <c r="OLI65" s="447"/>
      <c r="OLJ65" s="447"/>
      <c r="OLK65" s="447"/>
      <c r="OLL65" s="447"/>
      <c r="OLM65" s="447"/>
      <c r="OLN65" s="447"/>
      <c r="OLO65" s="447"/>
      <c r="OLP65" s="447"/>
      <c r="OLQ65" s="447"/>
      <c r="OLR65" s="447"/>
      <c r="OLS65" s="447"/>
      <c r="OLT65" s="447"/>
      <c r="OLU65" s="447"/>
      <c r="OLV65" s="447"/>
      <c r="OLW65" s="447"/>
      <c r="OLX65" s="447"/>
      <c r="OLY65" s="447"/>
      <c r="OLZ65" s="447"/>
      <c r="OMA65" s="447"/>
      <c r="OMB65" s="447"/>
      <c r="OMC65" s="447"/>
      <c r="OMD65" s="447"/>
      <c r="OME65" s="447"/>
      <c r="OMF65" s="447"/>
      <c r="OMG65" s="447"/>
      <c r="OMH65" s="447"/>
      <c r="OMI65" s="447"/>
      <c r="OMJ65" s="447"/>
      <c r="OMK65" s="447"/>
      <c r="OML65" s="447"/>
      <c r="OMM65" s="447"/>
      <c r="OMN65" s="447"/>
      <c r="OMO65" s="447"/>
      <c r="OMP65" s="447"/>
      <c r="OMQ65" s="447"/>
      <c r="OMR65" s="447"/>
      <c r="OMS65" s="447"/>
      <c r="OMT65" s="447"/>
      <c r="OMU65" s="447"/>
      <c r="OMV65" s="447"/>
      <c r="OMW65" s="447"/>
      <c r="OMX65" s="447"/>
      <c r="OMY65" s="447"/>
      <c r="OMZ65" s="447"/>
      <c r="ONA65" s="447"/>
      <c r="ONB65" s="447"/>
      <c r="ONC65" s="447"/>
      <c r="OND65" s="447"/>
      <c r="ONE65" s="447"/>
      <c r="ONF65" s="447"/>
      <c r="ONG65" s="447"/>
      <c r="ONH65" s="447"/>
      <c r="ONI65" s="447"/>
      <c r="ONJ65" s="447"/>
      <c r="ONK65" s="447"/>
      <c r="ONL65" s="447"/>
      <c r="ONM65" s="447"/>
      <c r="ONN65" s="447"/>
      <c r="ONO65" s="447"/>
      <c r="ONP65" s="447"/>
      <c r="ONQ65" s="447"/>
      <c r="ONR65" s="447"/>
      <c r="ONS65" s="447"/>
      <c r="ONT65" s="447"/>
      <c r="ONU65" s="447"/>
      <c r="ONV65" s="447"/>
      <c r="ONW65" s="447"/>
      <c r="ONX65" s="447"/>
      <c r="ONY65" s="447"/>
      <c r="ONZ65" s="447"/>
      <c r="OOA65" s="447"/>
      <c r="OOB65" s="447"/>
      <c r="OOC65" s="447"/>
      <c r="OOD65" s="447"/>
      <c r="OOE65" s="447"/>
      <c r="OOF65" s="447"/>
      <c r="OOG65" s="447"/>
      <c r="OOH65" s="447"/>
      <c r="OOI65" s="447"/>
      <c r="OOJ65" s="447"/>
      <c r="OOK65" s="447"/>
      <c r="OOL65" s="447"/>
      <c r="OOM65" s="447"/>
      <c r="OON65" s="447"/>
      <c r="OOO65" s="447"/>
      <c r="OOP65" s="447"/>
      <c r="OOQ65" s="447"/>
      <c r="OOR65" s="447"/>
      <c r="OOS65" s="447"/>
      <c r="OOT65" s="447"/>
      <c r="OOU65" s="447"/>
      <c r="OOV65" s="447"/>
      <c r="OOW65" s="447"/>
      <c r="OOX65" s="447"/>
      <c r="OOY65" s="447"/>
      <c r="OOZ65" s="447"/>
      <c r="OPA65" s="447"/>
      <c r="OPB65" s="447"/>
      <c r="OPC65" s="447"/>
      <c r="OPD65" s="447"/>
      <c r="OPE65" s="447"/>
      <c r="OPF65" s="447"/>
      <c r="OPG65" s="447"/>
      <c r="OPH65" s="447"/>
      <c r="OPI65" s="447"/>
      <c r="OPJ65" s="447"/>
      <c r="OPK65" s="447"/>
      <c r="OPL65" s="447"/>
      <c r="OPM65" s="447"/>
      <c r="OPN65" s="447"/>
      <c r="OPO65" s="447"/>
      <c r="OPP65" s="447"/>
      <c r="OPQ65" s="447"/>
      <c r="OPR65" s="447"/>
      <c r="OPS65" s="447"/>
      <c r="OPT65" s="447"/>
      <c r="OPU65" s="447"/>
      <c r="OPV65" s="447"/>
      <c r="OPW65" s="447"/>
      <c r="OPX65" s="447"/>
      <c r="OPY65" s="447"/>
      <c r="OPZ65" s="447"/>
      <c r="OQA65" s="447"/>
      <c r="OQB65" s="447"/>
      <c r="OQC65" s="447"/>
      <c r="OQD65" s="447"/>
      <c r="OQE65" s="447"/>
      <c r="OQF65" s="447"/>
      <c r="OQG65" s="447"/>
      <c r="OQH65" s="447"/>
      <c r="OQI65" s="447"/>
      <c r="OQJ65" s="447"/>
      <c r="OQK65" s="447"/>
      <c r="OQL65" s="447"/>
      <c r="OQM65" s="447"/>
      <c r="OQN65" s="447"/>
      <c r="OQO65" s="447"/>
      <c r="OQP65" s="447"/>
      <c r="OQQ65" s="447"/>
      <c r="OQR65" s="447"/>
      <c r="OQS65" s="447"/>
      <c r="OQT65" s="447"/>
      <c r="OQU65" s="447"/>
      <c r="OQV65" s="447"/>
      <c r="OQW65" s="447"/>
      <c r="OQX65" s="447"/>
      <c r="OQY65" s="447"/>
      <c r="OQZ65" s="447"/>
      <c r="ORA65" s="447"/>
      <c r="ORB65" s="447"/>
      <c r="ORC65" s="447"/>
      <c r="ORD65" s="447"/>
      <c r="ORE65" s="447"/>
      <c r="ORF65" s="447"/>
      <c r="ORG65" s="447"/>
      <c r="ORH65" s="447"/>
      <c r="ORI65" s="447"/>
      <c r="ORJ65" s="447"/>
      <c r="ORK65" s="447"/>
      <c r="ORL65" s="447"/>
      <c r="ORM65" s="447"/>
      <c r="ORN65" s="447"/>
      <c r="ORO65" s="447"/>
      <c r="ORP65" s="447"/>
      <c r="ORQ65" s="447"/>
      <c r="ORR65" s="447"/>
      <c r="ORS65" s="447"/>
      <c r="ORT65" s="447"/>
      <c r="ORU65" s="447"/>
      <c r="ORV65" s="447"/>
      <c r="ORW65" s="447"/>
      <c r="ORX65" s="447"/>
      <c r="ORY65" s="447"/>
      <c r="ORZ65" s="447"/>
      <c r="OSA65" s="447"/>
      <c r="OSB65" s="447"/>
      <c r="OSC65" s="447"/>
      <c r="OSD65" s="447"/>
      <c r="OSE65" s="447"/>
      <c r="OSF65" s="447"/>
      <c r="OSG65" s="447"/>
      <c r="OSH65" s="447"/>
      <c r="OSI65" s="447"/>
      <c r="OSJ65" s="447"/>
      <c r="OSK65" s="447"/>
      <c r="OSL65" s="447"/>
      <c r="OSM65" s="447"/>
      <c r="OSN65" s="447"/>
      <c r="OSO65" s="447"/>
      <c r="OSP65" s="447"/>
      <c r="OSQ65" s="447"/>
      <c r="OSR65" s="447"/>
      <c r="OSS65" s="447"/>
      <c r="OST65" s="447"/>
      <c r="OSU65" s="447"/>
      <c r="OSV65" s="447"/>
      <c r="OSW65" s="447"/>
      <c r="OSX65" s="447"/>
      <c r="OSY65" s="447"/>
      <c r="OSZ65" s="447"/>
      <c r="OTA65" s="447"/>
      <c r="OTB65" s="447"/>
      <c r="OTC65" s="447"/>
      <c r="OTD65" s="447"/>
      <c r="OTE65" s="447"/>
      <c r="OTF65" s="447"/>
      <c r="OTG65" s="447"/>
      <c r="OTH65" s="447"/>
      <c r="OTI65" s="447"/>
      <c r="OTJ65" s="447"/>
      <c r="OTK65" s="447"/>
      <c r="OTL65" s="447"/>
      <c r="OTM65" s="447"/>
      <c r="OTN65" s="447"/>
      <c r="OTO65" s="447"/>
      <c r="OTP65" s="447"/>
      <c r="OTQ65" s="447"/>
      <c r="OTR65" s="447"/>
      <c r="OTS65" s="447"/>
      <c r="OTT65" s="447"/>
      <c r="OTU65" s="447"/>
      <c r="OTV65" s="447"/>
      <c r="OTW65" s="447"/>
      <c r="OTX65" s="447"/>
      <c r="OTY65" s="447"/>
      <c r="OTZ65" s="447"/>
      <c r="OUA65" s="447"/>
      <c r="OUB65" s="447"/>
      <c r="OUC65" s="447"/>
      <c r="OUD65" s="447"/>
      <c r="OUE65" s="447"/>
      <c r="OUF65" s="447"/>
      <c r="OUG65" s="447"/>
      <c r="OUH65" s="447"/>
      <c r="OUI65" s="447"/>
      <c r="OUJ65" s="447"/>
      <c r="OUK65" s="447"/>
      <c r="OUL65" s="447"/>
      <c r="OUM65" s="447"/>
      <c r="OUN65" s="447"/>
      <c r="OUO65" s="447"/>
      <c r="OUP65" s="447"/>
      <c r="OUQ65" s="447"/>
      <c r="OUR65" s="447"/>
      <c r="OUS65" s="447"/>
      <c r="OUT65" s="447"/>
      <c r="OUU65" s="447"/>
      <c r="OUV65" s="447"/>
      <c r="OUW65" s="447"/>
      <c r="OUX65" s="447"/>
      <c r="OUY65" s="447"/>
      <c r="OUZ65" s="447"/>
      <c r="OVA65" s="447"/>
      <c r="OVB65" s="447"/>
      <c r="OVC65" s="447"/>
      <c r="OVD65" s="447"/>
      <c r="OVE65" s="447"/>
      <c r="OVF65" s="447"/>
      <c r="OVG65" s="447"/>
      <c r="OVH65" s="447"/>
      <c r="OVI65" s="447"/>
      <c r="OVJ65" s="447"/>
      <c r="OVK65" s="447"/>
      <c r="OVL65" s="447"/>
      <c r="OVM65" s="447"/>
      <c r="OVN65" s="447"/>
      <c r="OVO65" s="447"/>
      <c r="OVP65" s="447"/>
      <c r="OVQ65" s="447"/>
      <c r="OVR65" s="447"/>
      <c r="OVS65" s="447"/>
      <c r="OVT65" s="447"/>
      <c r="OVU65" s="447"/>
      <c r="OVV65" s="447"/>
      <c r="OVW65" s="447"/>
      <c r="OVX65" s="447"/>
      <c r="OVY65" s="447"/>
      <c r="OVZ65" s="447"/>
      <c r="OWA65" s="447"/>
      <c r="OWB65" s="447"/>
      <c r="OWC65" s="447"/>
      <c r="OWD65" s="447"/>
      <c r="OWE65" s="447"/>
      <c r="OWF65" s="447"/>
      <c r="OWG65" s="447"/>
      <c r="OWH65" s="447"/>
      <c r="OWI65" s="447"/>
      <c r="OWJ65" s="447"/>
      <c r="OWK65" s="447"/>
      <c r="OWL65" s="447"/>
      <c r="OWM65" s="447"/>
      <c r="OWN65" s="447"/>
      <c r="OWO65" s="447"/>
      <c r="OWP65" s="447"/>
      <c r="OWQ65" s="447"/>
      <c r="OWR65" s="447"/>
      <c r="OWS65" s="447"/>
      <c r="OWT65" s="447"/>
      <c r="OWU65" s="447"/>
      <c r="OWV65" s="447"/>
      <c r="OWW65" s="447"/>
      <c r="OWX65" s="447"/>
      <c r="OWY65" s="447"/>
      <c r="OWZ65" s="447"/>
      <c r="OXA65" s="447"/>
      <c r="OXB65" s="447"/>
      <c r="OXC65" s="447"/>
      <c r="OXD65" s="447"/>
      <c r="OXE65" s="447"/>
      <c r="OXF65" s="447"/>
      <c r="OXG65" s="447"/>
      <c r="OXH65" s="447"/>
      <c r="OXI65" s="447"/>
      <c r="OXJ65" s="447"/>
      <c r="OXK65" s="447"/>
      <c r="OXL65" s="447"/>
      <c r="OXM65" s="447"/>
      <c r="OXN65" s="447"/>
      <c r="OXO65" s="447"/>
      <c r="OXP65" s="447"/>
      <c r="OXQ65" s="447"/>
      <c r="OXR65" s="447"/>
      <c r="OXS65" s="447"/>
      <c r="OXT65" s="447"/>
      <c r="OXU65" s="447"/>
      <c r="OXV65" s="447"/>
      <c r="OXW65" s="447"/>
      <c r="OXX65" s="447"/>
      <c r="OXY65" s="447"/>
      <c r="OXZ65" s="447"/>
      <c r="OYA65" s="447"/>
      <c r="OYB65" s="447"/>
      <c r="OYC65" s="447"/>
      <c r="OYD65" s="447"/>
      <c r="OYE65" s="447"/>
      <c r="OYF65" s="447"/>
      <c r="OYG65" s="447"/>
      <c r="OYH65" s="447"/>
      <c r="OYI65" s="447"/>
      <c r="OYJ65" s="447"/>
      <c r="OYK65" s="447"/>
      <c r="OYL65" s="447"/>
      <c r="OYM65" s="447"/>
      <c r="OYN65" s="447"/>
      <c r="OYO65" s="447"/>
      <c r="OYP65" s="447"/>
      <c r="OYQ65" s="447"/>
      <c r="OYR65" s="447"/>
      <c r="OYS65" s="447"/>
      <c r="OYT65" s="447"/>
      <c r="OYU65" s="447"/>
      <c r="OYV65" s="447"/>
      <c r="OYW65" s="447"/>
      <c r="OYX65" s="447"/>
      <c r="OYY65" s="447"/>
      <c r="OYZ65" s="447"/>
      <c r="OZA65" s="447"/>
      <c r="OZB65" s="447"/>
      <c r="OZC65" s="447"/>
      <c r="OZD65" s="447"/>
      <c r="OZE65" s="447"/>
      <c r="OZF65" s="447"/>
      <c r="OZG65" s="447"/>
      <c r="OZH65" s="447"/>
      <c r="OZI65" s="447"/>
      <c r="OZJ65" s="447"/>
      <c r="OZK65" s="447"/>
      <c r="OZL65" s="447"/>
      <c r="OZM65" s="447"/>
      <c r="OZN65" s="447"/>
      <c r="OZO65" s="447"/>
      <c r="OZP65" s="447"/>
      <c r="OZQ65" s="447"/>
      <c r="OZR65" s="447"/>
      <c r="OZS65" s="447"/>
      <c r="OZT65" s="447"/>
      <c r="OZU65" s="447"/>
      <c r="OZV65" s="447"/>
      <c r="OZW65" s="447"/>
      <c r="OZX65" s="447"/>
      <c r="OZY65" s="447"/>
      <c r="OZZ65" s="447"/>
      <c r="PAA65" s="447"/>
      <c r="PAB65" s="447"/>
      <c r="PAC65" s="447"/>
      <c r="PAD65" s="447"/>
      <c r="PAE65" s="447"/>
      <c r="PAF65" s="447"/>
      <c r="PAG65" s="447"/>
      <c r="PAH65" s="447"/>
      <c r="PAI65" s="447"/>
      <c r="PAJ65" s="447"/>
      <c r="PAK65" s="447"/>
      <c r="PAL65" s="447"/>
      <c r="PAM65" s="447"/>
      <c r="PAN65" s="447"/>
      <c r="PAO65" s="447"/>
      <c r="PAP65" s="447"/>
      <c r="PAQ65" s="447"/>
      <c r="PAR65" s="447"/>
      <c r="PAS65" s="447"/>
      <c r="PAT65" s="447"/>
      <c r="PAU65" s="447"/>
      <c r="PAV65" s="447"/>
      <c r="PAW65" s="447"/>
      <c r="PAX65" s="447"/>
      <c r="PAY65" s="447"/>
      <c r="PAZ65" s="447"/>
      <c r="PBA65" s="447"/>
      <c r="PBB65" s="447"/>
      <c r="PBC65" s="447"/>
      <c r="PBD65" s="447"/>
      <c r="PBE65" s="447"/>
      <c r="PBF65" s="447"/>
      <c r="PBG65" s="447"/>
      <c r="PBH65" s="447"/>
      <c r="PBI65" s="447"/>
      <c r="PBJ65" s="447"/>
      <c r="PBK65" s="447"/>
      <c r="PBL65" s="447"/>
      <c r="PBM65" s="447"/>
      <c r="PBN65" s="447"/>
      <c r="PBO65" s="447"/>
      <c r="PBP65" s="447"/>
      <c r="PBQ65" s="447"/>
      <c r="PBR65" s="447"/>
      <c r="PBS65" s="447"/>
      <c r="PBT65" s="447"/>
      <c r="PBU65" s="447"/>
      <c r="PBV65" s="447"/>
      <c r="PBW65" s="447"/>
      <c r="PBX65" s="447"/>
      <c r="PBY65" s="447"/>
      <c r="PBZ65" s="447"/>
      <c r="PCA65" s="447"/>
      <c r="PCB65" s="447"/>
      <c r="PCC65" s="447"/>
      <c r="PCD65" s="447"/>
      <c r="PCE65" s="447"/>
      <c r="PCF65" s="447"/>
      <c r="PCG65" s="447"/>
      <c r="PCH65" s="447"/>
      <c r="PCI65" s="447"/>
      <c r="PCJ65" s="447"/>
      <c r="PCK65" s="447"/>
      <c r="PCL65" s="447"/>
      <c r="PCM65" s="447"/>
      <c r="PCN65" s="447"/>
      <c r="PCO65" s="447"/>
      <c r="PCP65" s="447"/>
      <c r="PCQ65" s="447"/>
      <c r="PCR65" s="447"/>
      <c r="PCS65" s="447"/>
      <c r="PCT65" s="447"/>
      <c r="PCU65" s="447"/>
      <c r="PCV65" s="447"/>
      <c r="PCW65" s="447"/>
      <c r="PCX65" s="447"/>
      <c r="PCY65" s="447"/>
      <c r="PCZ65" s="447"/>
      <c r="PDA65" s="447"/>
      <c r="PDB65" s="447"/>
      <c r="PDC65" s="447"/>
      <c r="PDD65" s="447"/>
      <c r="PDE65" s="447"/>
      <c r="PDF65" s="447"/>
      <c r="PDG65" s="447"/>
      <c r="PDH65" s="447"/>
      <c r="PDI65" s="447"/>
      <c r="PDJ65" s="447"/>
      <c r="PDK65" s="447"/>
      <c r="PDL65" s="447"/>
      <c r="PDM65" s="447"/>
      <c r="PDN65" s="447"/>
      <c r="PDO65" s="447"/>
      <c r="PDP65" s="447"/>
      <c r="PDQ65" s="447"/>
      <c r="PDR65" s="447"/>
      <c r="PDS65" s="447"/>
      <c r="PDT65" s="447"/>
      <c r="PDU65" s="447"/>
      <c r="PDV65" s="447"/>
      <c r="PDW65" s="447"/>
      <c r="PDX65" s="447"/>
      <c r="PDY65" s="447"/>
      <c r="PDZ65" s="447"/>
      <c r="PEA65" s="447"/>
      <c r="PEB65" s="447"/>
      <c r="PEC65" s="447"/>
      <c r="PED65" s="447"/>
      <c r="PEE65" s="447"/>
      <c r="PEF65" s="447"/>
      <c r="PEG65" s="447"/>
      <c r="PEH65" s="447"/>
      <c r="PEI65" s="447"/>
      <c r="PEJ65" s="447"/>
      <c r="PEK65" s="447"/>
      <c r="PEL65" s="447"/>
      <c r="PEM65" s="447"/>
      <c r="PEN65" s="447"/>
      <c r="PEO65" s="447"/>
      <c r="PEP65" s="447"/>
      <c r="PEQ65" s="447"/>
      <c r="PER65" s="447"/>
      <c r="PES65" s="447"/>
      <c r="PET65" s="447"/>
      <c r="PEU65" s="447"/>
      <c r="PEV65" s="447"/>
      <c r="PEW65" s="447"/>
      <c r="PEX65" s="447"/>
      <c r="PEY65" s="447"/>
      <c r="PEZ65" s="447"/>
      <c r="PFA65" s="447"/>
      <c r="PFB65" s="447"/>
      <c r="PFC65" s="447"/>
      <c r="PFD65" s="447"/>
      <c r="PFE65" s="447"/>
      <c r="PFF65" s="447"/>
      <c r="PFG65" s="447"/>
      <c r="PFH65" s="447"/>
      <c r="PFI65" s="447"/>
      <c r="PFJ65" s="447"/>
      <c r="PFK65" s="447"/>
      <c r="PFL65" s="447"/>
      <c r="PFM65" s="447"/>
      <c r="PFN65" s="447"/>
      <c r="PFO65" s="447"/>
      <c r="PFP65" s="447"/>
      <c r="PFQ65" s="447"/>
      <c r="PFR65" s="447"/>
      <c r="PFS65" s="447"/>
      <c r="PFT65" s="447"/>
      <c r="PFU65" s="447"/>
      <c r="PFV65" s="447"/>
      <c r="PFW65" s="447"/>
      <c r="PFX65" s="447"/>
      <c r="PFY65" s="447"/>
      <c r="PFZ65" s="447"/>
      <c r="PGA65" s="447"/>
      <c r="PGB65" s="447"/>
      <c r="PGC65" s="447"/>
      <c r="PGD65" s="447"/>
      <c r="PGE65" s="447"/>
      <c r="PGF65" s="447"/>
      <c r="PGG65" s="447"/>
      <c r="PGH65" s="447"/>
      <c r="PGI65" s="447"/>
      <c r="PGJ65" s="447"/>
      <c r="PGK65" s="447"/>
      <c r="PGL65" s="447"/>
      <c r="PGM65" s="447"/>
      <c r="PGN65" s="447"/>
      <c r="PGO65" s="447"/>
      <c r="PGP65" s="447"/>
      <c r="PGQ65" s="447"/>
      <c r="PGR65" s="447"/>
      <c r="PGS65" s="447"/>
      <c r="PGT65" s="447"/>
      <c r="PGU65" s="447"/>
      <c r="PGV65" s="447"/>
      <c r="PGW65" s="447"/>
      <c r="PGX65" s="447"/>
      <c r="PGY65" s="447"/>
      <c r="PGZ65" s="447"/>
      <c r="PHA65" s="447"/>
      <c r="PHB65" s="447"/>
      <c r="PHC65" s="447"/>
      <c r="PHD65" s="447"/>
      <c r="PHE65" s="447"/>
      <c r="PHF65" s="447"/>
      <c r="PHG65" s="447"/>
      <c r="PHH65" s="447"/>
      <c r="PHI65" s="447"/>
      <c r="PHJ65" s="447"/>
      <c r="PHK65" s="447"/>
      <c r="PHL65" s="447"/>
      <c r="PHM65" s="447"/>
      <c r="PHN65" s="447"/>
      <c r="PHO65" s="447"/>
      <c r="PHP65" s="447"/>
      <c r="PHQ65" s="447"/>
      <c r="PHR65" s="447"/>
      <c r="PHS65" s="447"/>
      <c r="PHT65" s="447"/>
      <c r="PHU65" s="447"/>
      <c r="PHV65" s="447"/>
      <c r="PHW65" s="447"/>
      <c r="PHX65" s="447"/>
      <c r="PHY65" s="447"/>
      <c r="PHZ65" s="447"/>
      <c r="PIA65" s="447"/>
      <c r="PIB65" s="447"/>
      <c r="PIC65" s="447"/>
      <c r="PID65" s="447"/>
      <c r="PIE65" s="447"/>
      <c r="PIF65" s="447"/>
      <c r="PIG65" s="447"/>
      <c r="PIH65" s="447"/>
      <c r="PII65" s="447"/>
      <c r="PIJ65" s="447"/>
      <c r="PIK65" s="447"/>
      <c r="PIL65" s="447"/>
      <c r="PIM65" s="447"/>
      <c r="PIN65" s="447"/>
      <c r="PIO65" s="447"/>
      <c r="PIP65" s="447"/>
      <c r="PIQ65" s="447"/>
      <c r="PIR65" s="447"/>
      <c r="PIS65" s="447"/>
      <c r="PIT65" s="447"/>
      <c r="PIU65" s="447"/>
      <c r="PIV65" s="447"/>
      <c r="PIW65" s="447"/>
      <c r="PIX65" s="447"/>
      <c r="PIY65" s="447"/>
      <c r="PIZ65" s="447"/>
      <c r="PJA65" s="447"/>
      <c r="PJB65" s="447"/>
      <c r="PJC65" s="447"/>
      <c r="PJD65" s="447"/>
      <c r="PJE65" s="447"/>
      <c r="PJF65" s="447"/>
      <c r="PJG65" s="447"/>
      <c r="PJH65" s="447"/>
      <c r="PJI65" s="447"/>
      <c r="PJJ65" s="447"/>
      <c r="PJK65" s="447"/>
      <c r="PJL65" s="447"/>
      <c r="PJM65" s="447"/>
      <c r="PJN65" s="447"/>
      <c r="PJO65" s="447"/>
      <c r="PJP65" s="447"/>
      <c r="PJQ65" s="447"/>
      <c r="PJR65" s="447"/>
      <c r="PJS65" s="447"/>
      <c r="PJT65" s="447"/>
      <c r="PJU65" s="447"/>
      <c r="PJV65" s="447"/>
      <c r="PJW65" s="447"/>
      <c r="PJX65" s="447"/>
      <c r="PJY65" s="447"/>
      <c r="PJZ65" s="447"/>
      <c r="PKA65" s="447"/>
      <c r="PKB65" s="447"/>
      <c r="PKC65" s="447"/>
      <c r="PKD65" s="447"/>
      <c r="PKE65" s="447"/>
      <c r="PKF65" s="447"/>
      <c r="PKG65" s="447"/>
      <c r="PKH65" s="447"/>
      <c r="PKI65" s="447"/>
      <c r="PKJ65" s="447"/>
      <c r="PKK65" s="447"/>
      <c r="PKL65" s="447"/>
      <c r="PKM65" s="447"/>
      <c r="PKN65" s="447"/>
      <c r="PKO65" s="447"/>
      <c r="PKP65" s="447"/>
      <c r="PKQ65" s="447"/>
      <c r="PKR65" s="447"/>
      <c r="PKS65" s="447"/>
      <c r="PKT65" s="447"/>
      <c r="PKU65" s="447"/>
      <c r="PKV65" s="447"/>
      <c r="PKW65" s="447"/>
      <c r="PKX65" s="447"/>
      <c r="PKY65" s="447"/>
      <c r="PKZ65" s="447"/>
      <c r="PLA65" s="447"/>
      <c r="PLB65" s="447"/>
      <c r="PLC65" s="447"/>
      <c r="PLD65" s="447"/>
      <c r="PLE65" s="447"/>
      <c r="PLF65" s="447"/>
      <c r="PLG65" s="447"/>
      <c r="PLH65" s="447"/>
      <c r="PLI65" s="447"/>
      <c r="PLJ65" s="447"/>
      <c r="PLK65" s="447"/>
      <c r="PLL65" s="447"/>
      <c r="PLM65" s="447"/>
      <c r="PLN65" s="447"/>
      <c r="PLO65" s="447"/>
      <c r="PLP65" s="447"/>
      <c r="PLQ65" s="447"/>
      <c r="PLR65" s="447"/>
      <c r="PLS65" s="447"/>
      <c r="PLT65" s="447"/>
      <c r="PLU65" s="447"/>
      <c r="PLV65" s="447"/>
      <c r="PLW65" s="447"/>
      <c r="PLX65" s="447"/>
      <c r="PLY65" s="447"/>
      <c r="PLZ65" s="447"/>
      <c r="PMA65" s="447"/>
      <c r="PMB65" s="447"/>
      <c r="PMC65" s="447"/>
      <c r="PMD65" s="447"/>
      <c r="PME65" s="447"/>
      <c r="PMF65" s="447"/>
      <c r="PMG65" s="447"/>
      <c r="PMH65" s="447"/>
      <c r="PMI65" s="447"/>
      <c r="PMJ65" s="447"/>
      <c r="PMK65" s="447"/>
      <c r="PML65" s="447"/>
      <c r="PMM65" s="447"/>
      <c r="PMN65" s="447"/>
      <c r="PMO65" s="447"/>
      <c r="PMP65" s="447"/>
      <c r="PMQ65" s="447"/>
      <c r="PMR65" s="447"/>
      <c r="PMS65" s="447"/>
      <c r="PMT65" s="447"/>
      <c r="PMU65" s="447"/>
      <c r="PMV65" s="447"/>
      <c r="PMW65" s="447"/>
      <c r="PMX65" s="447"/>
      <c r="PMY65" s="447"/>
      <c r="PMZ65" s="447"/>
      <c r="PNA65" s="447"/>
      <c r="PNB65" s="447"/>
      <c r="PNC65" s="447"/>
      <c r="PND65" s="447"/>
      <c r="PNE65" s="447"/>
      <c r="PNF65" s="447"/>
      <c r="PNG65" s="447"/>
      <c r="PNH65" s="447"/>
      <c r="PNI65" s="447"/>
      <c r="PNJ65" s="447"/>
      <c r="PNK65" s="447"/>
      <c r="PNL65" s="447"/>
      <c r="PNM65" s="447"/>
      <c r="PNN65" s="447"/>
      <c r="PNO65" s="447"/>
      <c r="PNP65" s="447"/>
      <c r="PNQ65" s="447"/>
      <c r="PNR65" s="447"/>
      <c r="PNS65" s="447"/>
      <c r="PNT65" s="447"/>
      <c r="PNU65" s="447"/>
      <c r="PNV65" s="447"/>
      <c r="PNW65" s="447"/>
      <c r="PNX65" s="447"/>
      <c r="PNY65" s="447"/>
      <c r="PNZ65" s="447"/>
      <c r="POA65" s="447"/>
      <c r="POB65" s="447"/>
      <c r="POC65" s="447"/>
      <c r="POD65" s="447"/>
      <c r="POE65" s="447"/>
      <c r="POF65" s="447"/>
      <c r="POG65" s="447"/>
      <c r="POH65" s="447"/>
      <c r="POI65" s="447"/>
      <c r="POJ65" s="447"/>
      <c r="POK65" s="447"/>
      <c r="POL65" s="447"/>
      <c r="POM65" s="447"/>
      <c r="PON65" s="447"/>
      <c r="POO65" s="447"/>
      <c r="POP65" s="447"/>
      <c r="POQ65" s="447"/>
      <c r="POR65" s="447"/>
      <c r="POS65" s="447"/>
      <c r="POT65" s="447"/>
      <c r="POU65" s="447"/>
      <c r="POV65" s="447"/>
      <c r="POW65" s="447"/>
      <c r="POX65" s="447"/>
      <c r="POY65" s="447"/>
      <c r="POZ65" s="447"/>
      <c r="PPA65" s="447"/>
      <c r="PPB65" s="447"/>
      <c r="PPC65" s="447"/>
      <c r="PPD65" s="447"/>
      <c r="PPE65" s="447"/>
      <c r="PPF65" s="447"/>
      <c r="PPG65" s="447"/>
      <c r="PPH65" s="447"/>
      <c r="PPI65" s="447"/>
      <c r="PPJ65" s="447"/>
      <c r="PPK65" s="447"/>
      <c r="PPL65" s="447"/>
      <c r="PPM65" s="447"/>
      <c r="PPN65" s="447"/>
      <c r="PPO65" s="447"/>
      <c r="PPP65" s="447"/>
      <c r="PPQ65" s="447"/>
      <c r="PPR65" s="447"/>
      <c r="PPS65" s="447"/>
      <c r="PPT65" s="447"/>
      <c r="PPU65" s="447"/>
      <c r="PPV65" s="447"/>
      <c r="PPW65" s="447"/>
      <c r="PPX65" s="447"/>
      <c r="PPY65" s="447"/>
      <c r="PPZ65" s="447"/>
      <c r="PQA65" s="447"/>
      <c r="PQB65" s="447"/>
      <c r="PQC65" s="447"/>
      <c r="PQD65" s="447"/>
      <c r="PQE65" s="447"/>
      <c r="PQF65" s="447"/>
      <c r="PQG65" s="447"/>
      <c r="PQH65" s="447"/>
      <c r="PQI65" s="447"/>
      <c r="PQJ65" s="447"/>
      <c r="PQK65" s="447"/>
      <c r="PQL65" s="447"/>
      <c r="PQM65" s="447"/>
      <c r="PQN65" s="447"/>
      <c r="PQO65" s="447"/>
      <c r="PQP65" s="447"/>
      <c r="PQQ65" s="447"/>
      <c r="PQR65" s="447"/>
      <c r="PQS65" s="447"/>
      <c r="PQT65" s="447"/>
      <c r="PQU65" s="447"/>
      <c r="PQV65" s="447"/>
      <c r="PQW65" s="447"/>
      <c r="PQX65" s="447"/>
      <c r="PQY65" s="447"/>
      <c r="PQZ65" s="447"/>
      <c r="PRA65" s="447"/>
      <c r="PRB65" s="447"/>
      <c r="PRC65" s="447"/>
      <c r="PRD65" s="447"/>
      <c r="PRE65" s="447"/>
      <c r="PRF65" s="447"/>
      <c r="PRG65" s="447"/>
      <c r="PRH65" s="447"/>
      <c r="PRI65" s="447"/>
      <c r="PRJ65" s="447"/>
      <c r="PRK65" s="447"/>
      <c r="PRL65" s="447"/>
      <c r="PRM65" s="447"/>
      <c r="PRN65" s="447"/>
      <c r="PRO65" s="447"/>
      <c r="PRP65" s="447"/>
      <c r="PRQ65" s="447"/>
      <c r="PRR65" s="447"/>
      <c r="PRS65" s="447"/>
      <c r="PRT65" s="447"/>
      <c r="PRU65" s="447"/>
      <c r="PRV65" s="447"/>
      <c r="PRW65" s="447"/>
      <c r="PRX65" s="447"/>
      <c r="PRY65" s="447"/>
      <c r="PRZ65" s="447"/>
      <c r="PSA65" s="447"/>
      <c r="PSB65" s="447"/>
      <c r="PSC65" s="447"/>
      <c r="PSD65" s="447"/>
      <c r="PSE65" s="447"/>
      <c r="PSF65" s="447"/>
      <c r="PSG65" s="447"/>
      <c r="PSH65" s="447"/>
      <c r="PSI65" s="447"/>
      <c r="PSJ65" s="447"/>
      <c r="PSK65" s="447"/>
      <c r="PSL65" s="447"/>
      <c r="PSM65" s="447"/>
      <c r="PSN65" s="447"/>
      <c r="PSO65" s="447"/>
      <c r="PSP65" s="447"/>
      <c r="PSQ65" s="447"/>
      <c r="PSR65" s="447"/>
      <c r="PSS65" s="447"/>
      <c r="PST65" s="447"/>
      <c r="PSU65" s="447"/>
      <c r="PSV65" s="447"/>
      <c r="PSW65" s="447"/>
      <c r="PSX65" s="447"/>
      <c r="PSY65" s="447"/>
      <c r="PSZ65" s="447"/>
      <c r="PTA65" s="447"/>
      <c r="PTB65" s="447"/>
      <c r="PTC65" s="447"/>
      <c r="PTD65" s="447"/>
      <c r="PTE65" s="447"/>
      <c r="PTF65" s="447"/>
      <c r="PTG65" s="447"/>
      <c r="PTH65" s="447"/>
      <c r="PTI65" s="447"/>
      <c r="PTJ65" s="447"/>
      <c r="PTK65" s="447"/>
      <c r="PTL65" s="447"/>
      <c r="PTM65" s="447"/>
      <c r="PTN65" s="447"/>
      <c r="PTO65" s="447"/>
      <c r="PTP65" s="447"/>
      <c r="PTQ65" s="447"/>
      <c r="PTR65" s="447"/>
      <c r="PTS65" s="447"/>
      <c r="PTT65" s="447"/>
      <c r="PTU65" s="447"/>
      <c r="PTV65" s="447"/>
      <c r="PTW65" s="447"/>
      <c r="PTX65" s="447"/>
      <c r="PTY65" s="447"/>
      <c r="PTZ65" s="447"/>
      <c r="PUA65" s="447"/>
      <c r="PUB65" s="447"/>
      <c r="PUC65" s="447"/>
      <c r="PUD65" s="447"/>
      <c r="PUE65" s="447"/>
      <c r="PUF65" s="447"/>
      <c r="PUG65" s="447"/>
      <c r="PUH65" s="447"/>
      <c r="PUI65" s="447"/>
      <c r="PUJ65" s="447"/>
      <c r="PUK65" s="447"/>
      <c r="PUL65" s="447"/>
      <c r="PUM65" s="447"/>
      <c r="PUN65" s="447"/>
      <c r="PUO65" s="447"/>
      <c r="PUP65" s="447"/>
      <c r="PUQ65" s="447"/>
      <c r="PUR65" s="447"/>
      <c r="PUS65" s="447"/>
      <c r="PUT65" s="447"/>
      <c r="PUU65" s="447"/>
      <c r="PUV65" s="447"/>
      <c r="PUW65" s="447"/>
      <c r="PUX65" s="447"/>
      <c r="PUY65" s="447"/>
      <c r="PUZ65" s="447"/>
      <c r="PVA65" s="447"/>
      <c r="PVB65" s="447"/>
      <c r="PVC65" s="447"/>
      <c r="PVD65" s="447"/>
      <c r="PVE65" s="447"/>
      <c r="PVF65" s="447"/>
      <c r="PVG65" s="447"/>
      <c r="PVH65" s="447"/>
      <c r="PVI65" s="447"/>
      <c r="PVJ65" s="447"/>
      <c r="PVK65" s="447"/>
      <c r="PVL65" s="447"/>
      <c r="PVM65" s="447"/>
      <c r="PVN65" s="447"/>
      <c r="PVO65" s="447"/>
      <c r="PVP65" s="447"/>
      <c r="PVQ65" s="447"/>
      <c r="PVR65" s="447"/>
      <c r="PVS65" s="447"/>
      <c r="PVT65" s="447"/>
      <c r="PVU65" s="447"/>
      <c r="PVV65" s="447"/>
      <c r="PVW65" s="447"/>
      <c r="PVX65" s="447"/>
      <c r="PVY65" s="447"/>
      <c r="PVZ65" s="447"/>
      <c r="PWA65" s="447"/>
      <c r="PWB65" s="447"/>
      <c r="PWC65" s="447"/>
      <c r="PWD65" s="447"/>
      <c r="PWE65" s="447"/>
      <c r="PWF65" s="447"/>
      <c r="PWG65" s="447"/>
      <c r="PWH65" s="447"/>
      <c r="PWI65" s="447"/>
      <c r="PWJ65" s="447"/>
      <c r="PWK65" s="447"/>
      <c r="PWL65" s="447"/>
      <c r="PWM65" s="447"/>
      <c r="PWN65" s="447"/>
      <c r="PWO65" s="447"/>
      <c r="PWP65" s="447"/>
      <c r="PWQ65" s="447"/>
      <c r="PWR65" s="447"/>
      <c r="PWS65" s="447"/>
      <c r="PWT65" s="447"/>
      <c r="PWU65" s="447"/>
      <c r="PWV65" s="447"/>
      <c r="PWW65" s="447"/>
      <c r="PWX65" s="447"/>
      <c r="PWY65" s="447"/>
      <c r="PWZ65" s="447"/>
      <c r="PXA65" s="447"/>
      <c r="PXB65" s="447"/>
      <c r="PXC65" s="447"/>
      <c r="PXD65" s="447"/>
      <c r="PXE65" s="447"/>
      <c r="PXF65" s="447"/>
      <c r="PXG65" s="447"/>
      <c r="PXH65" s="447"/>
      <c r="PXI65" s="447"/>
      <c r="PXJ65" s="447"/>
      <c r="PXK65" s="447"/>
      <c r="PXL65" s="447"/>
      <c r="PXM65" s="447"/>
      <c r="PXN65" s="447"/>
      <c r="PXO65" s="447"/>
      <c r="PXP65" s="447"/>
      <c r="PXQ65" s="447"/>
      <c r="PXR65" s="447"/>
      <c r="PXS65" s="447"/>
      <c r="PXT65" s="447"/>
      <c r="PXU65" s="447"/>
      <c r="PXV65" s="447"/>
      <c r="PXW65" s="447"/>
      <c r="PXX65" s="447"/>
      <c r="PXY65" s="447"/>
      <c r="PXZ65" s="447"/>
      <c r="PYA65" s="447"/>
      <c r="PYB65" s="447"/>
      <c r="PYC65" s="447"/>
      <c r="PYD65" s="447"/>
      <c r="PYE65" s="447"/>
      <c r="PYF65" s="447"/>
      <c r="PYG65" s="447"/>
      <c r="PYH65" s="447"/>
      <c r="PYI65" s="447"/>
      <c r="PYJ65" s="447"/>
      <c r="PYK65" s="447"/>
      <c r="PYL65" s="447"/>
      <c r="PYM65" s="447"/>
      <c r="PYN65" s="447"/>
      <c r="PYO65" s="447"/>
      <c r="PYP65" s="447"/>
      <c r="PYQ65" s="447"/>
      <c r="PYR65" s="447"/>
      <c r="PYS65" s="447"/>
      <c r="PYT65" s="447"/>
      <c r="PYU65" s="447"/>
      <c r="PYV65" s="447"/>
      <c r="PYW65" s="447"/>
      <c r="PYX65" s="447"/>
      <c r="PYY65" s="447"/>
      <c r="PYZ65" s="447"/>
      <c r="PZA65" s="447"/>
      <c r="PZB65" s="447"/>
      <c r="PZC65" s="447"/>
      <c r="PZD65" s="447"/>
      <c r="PZE65" s="447"/>
      <c r="PZF65" s="447"/>
      <c r="PZG65" s="447"/>
      <c r="PZH65" s="447"/>
      <c r="PZI65" s="447"/>
      <c r="PZJ65" s="447"/>
      <c r="PZK65" s="447"/>
      <c r="PZL65" s="447"/>
      <c r="PZM65" s="447"/>
      <c r="PZN65" s="447"/>
      <c r="PZO65" s="447"/>
      <c r="PZP65" s="447"/>
      <c r="PZQ65" s="447"/>
      <c r="PZR65" s="447"/>
      <c r="PZS65" s="447"/>
      <c r="PZT65" s="447"/>
      <c r="PZU65" s="447"/>
      <c r="PZV65" s="447"/>
      <c r="PZW65" s="447"/>
      <c r="PZX65" s="447"/>
      <c r="PZY65" s="447"/>
      <c r="PZZ65" s="447"/>
      <c r="QAA65" s="447"/>
      <c r="QAB65" s="447"/>
      <c r="QAC65" s="447"/>
      <c r="QAD65" s="447"/>
      <c r="QAE65" s="447"/>
      <c r="QAF65" s="447"/>
      <c r="QAG65" s="447"/>
      <c r="QAH65" s="447"/>
      <c r="QAI65" s="447"/>
      <c r="QAJ65" s="447"/>
      <c r="QAK65" s="447"/>
      <c r="QAL65" s="447"/>
      <c r="QAM65" s="447"/>
      <c r="QAN65" s="447"/>
      <c r="QAO65" s="447"/>
      <c r="QAP65" s="447"/>
      <c r="QAQ65" s="447"/>
      <c r="QAR65" s="447"/>
      <c r="QAS65" s="447"/>
      <c r="QAT65" s="447"/>
      <c r="QAU65" s="447"/>
      <c r="QAV65" s="447"/>
      <c r="QAW65" s="447"/>
      <c r="QAX65" s="447"/>
      <c r="QAY65" s="447"/>
      <c r="QAZ65" s="447"/>
      <c r="QBA65" s="447"/>
      <c r="QBB65" s="447"/>
      <c r="QBC65" s="447"/>
      <c r="QBD65" s="447"/>
      <c r="QBE65" s="447"/>
      <c r="QBF65" s="447"/>
      <c r="QBG65" s="447"/>
      <c r="QBH65" s="447"/>
      <c r="QBI65" s="447"/>
      <c r="QBJ65" s="447"/>
      <c r="QBK65" s="447"/>
      <c r="QBL65" s="447"/>
      <c r="QBM65" s="447"/>
      <c r="QBN65" s="447"/>
      <c r="QBO65" s="447"/>
      <c r="QBP65" s="447"/>
      <c r="QBQ65" s="447"/>
      <c r="QBR65" s="447"/>
      <c r="QBS65" s="447"/>
      <c r="QBT65" s="447"/>
      <c r="QBU65" s="447"/>
      <c r="QBV65" s="447"/>
      <c r="QBW65" s="447"/>
      <c r="QBX65" s="447"/>
      <c r="QBY65" s="447"/>
      <c r="QBZ65" s="447"/>
      <c r="QCA65" s="447"/>
      <c r="QCB65" s="447"/>
      <c r="QCC65" s="447"/>
      <c r="QCD65" s="447"/>
      <c r="QCE65" s="447"/>
      <c r="QCF65" s="447"/>
      <c r="QCG65" s="447"/>
      <c r="QCH65" s="447"/>
      <c r="QCI65" s="447"/>
      <c r="QCJ65" s="447"/>
      <c r="QCK65" s="447"/>
      <c r="QCL65" s="447"/>
      <c r="QCM65" s="447"/>
      <c r="QCN65" s="447"/>
      <c r="QCO65" s="447"/>
      <c r="QCP65" s="447"/>
      <c r="QCQ65" s="447"/>
      <c r="QCR65" s="447"/>
      <c r="QCS65" s="447"/>
      <c r="QCT65" s="447"/>
      <c r="QCU65" s="447"/>
      <c r="QCV65" s="447"/>
      <c r="QCW65" s="447"/>
      <c r="QCX65" s="447"/>
      <c r="QCY65" s="447"/>
      <c r="QCZ65" s="447"/>
      <c r="QDA65" s="447"/>
      <c r="QDB65" s="447"/>
      <c r="QDC65" s="447"/>
      <c r="QDD65" s="447"/>
      <c r="QDE65" s="447"/>
      <c r="QDF65" s="447"/>
      <c r="QDG65" s="447"/>
      <c r="QDH65" s="447"/>
      <c r="QDI65" s="447"/>
      <c r="QDJ65" s="447"/>
      <c r="QDK65" s="447"/>
      <c r="QDL65" s="447"/>
      <c r="QDM65" s="447"/>
      <c r="QDN65" s="447"/>
      <c r="QDO65" s="447"/>
      <c r="QDP65" s="447"/>
      <c r="QDQ65" s="447"/>
      <c r="QDR65" s="447"/>
      <c r="QDS65" s="447"/>
      <c r="QDT65" s="447"/>
      <c r="QDU65" s="447"/>
      <c r="QDV65" s="447"/>
      <c r="QDW65" s="447"/>
      <c r="QDX65" s="447"/>
      <c r="QDY65" s="447"/>
      <c r="QDZ65" s="447"/>
      <c r="QEA65" s="447"/>
      <c r="QEB65" s="447"/>
      <c r="QEC65" s="447"/>
      <c r="QED65" s="447"/>
      <c r="QEE65" s="447"/>
      <c r="QEF65" s="447"/>
      <c r="QEG65" s="447"/>
      <c r="QEH65" s="447"/>
      <c r="QEI65" s="447"/>
      <c r="QEJ65" s="447"/>
      <c r="QEK65" s="447"/>
      <c r="QEL65" s="447"/>
      <c r="QEM65" s="447"/>
      <c r="QEN65" s="447"/>
      <c r="QEO65" s="447"/>
      <c r="QEP65" s="447"/>
      <c r="QEQ65" s="447"/>
      <c r="QER65" s="447"/>
      <c r="QES65" s="447"/>
      <c r="QET65" s="447"/>
      <c r="QEU65" s="447"/>
      <c r="QEV65" s="447"/>
      <c r="QEW65" s="447"/>
      <c r="QEX65" s="447"/>
      <c r="QEY65" s="447"/>
      <c r="QEZ65" s="447"/>
      <c r="QFA65" s="447"/>
      <c r="QFB65" s="447"/>
      <c r="QFC65" s="447"/>
      <c r="QFD65" s="447"/>
      <c r="QFE65" s="447"/>
      <c r="QFF65" s="447"/>
      <c r="QFG65" s="447"/>
      <c r="QFH65" s="447"/>
      <c r="QFI65" s="447"/>
      <c r="QFJ65" s="447"/>
      <c r="QFK65" s="447"/>
      <c r="QFL65" s="447"/>
      <c r="QFM65" s="447"/>
      <c r="QFN65" s="447"/>
      <c r="QFO65" s="447"/>
      <c r="QFP65" s="447"/>
      <c r="QFQ65" s="447"/>
      <c r="QFR65" s="447"/>
      <c r="QFS65" s="447"/>
      <c r="QFT65" s="447"/>
      <c r="QFU65" s="447"/>
      <c r="QFV65" s="447"/>
      <c r="QFW65" s="447"/>
      <c r="QFX65" s="447"/>
      <c r="QFY65" s="447"/>
      <c r="QFZ65" s="447"/>
      <c r="QGA65" s="447"/>
      <c r="QGB65" s="447"/>
      <c r="QGC65" s="447"/>
      <c r="QGD65" s="447"/>
      <c r="QGE65" s="447"/>
      <c r="QGF65" s="447"/>
      <c r="QGG65" s="447"/>
      <c r="QGH65" s="447"/>
      <c r="QGI65" s="447"/>
      <c r="QGJ65" s="447"/>
      <c r="QGK65" s="447"/>
      <c r="QGL65" s="447"/>
      <c r="QGM65" s="447"/>
      <c r="QGN65" s="447"/>
      <c r="QGO65" s="447"/>
      <c r="QGP65" s="447"/>
      <c r="QGQ65" s="447"/>
      <c r="QGR65" s="447"/>
      <c r="QGS65" s="447"/>
      <c r="QGT65" s="447"/>
      <c r="QGU65" s="447"/>
      <c r="QGV65" s="447"/>
      <c r="QGW65" s="447"/>
      <c r="QGX65" s="447"/>
      <c r="QGY65" s="447"/>
      <c r="QGZ65" s="447"/>
      <c r="QHA65" s="447"/>
      <c r="QHB65" s="447"/>
      <c r="QHC65" s="447"/>
      <c r="QHD65" s="447"/>
      <c r="QHE65" s="447"/>
      <c r="QHF65" s="447"/>
      <c r="QHG65" s="447"/>
      <c r="QHH65" s="447"/>
      <c r="QHI65" s="447"/>
      <c r="QHJ65" s="447"/>
      <c r="QHK65" s="447"/>
      <c r="QHL65" s="447"/>
      <c r="QHM65" s="447"/>
      <c r="QHN65" s="447"/>
      <c r="QHO65" s="447"/>
      <c r="QHP65" s="447"/>
      <c r="QHQ65" s="447"/>
      <c r="QHR65" s="447"/>
      <c r="QHS65" s="447"/>
      <c r="QHT65" s="447"/>
      <c r="QHU65" s="447"/>
      <c r="QHV65" s="447"/>
      <c r="QHW65" s="447"/>
      <c r="QHX65" s="447"/>
      <c r="QHY65" s="447"/>
      <c r="QHZ65" s="447"/>
      <c r="QIA65" s="447"/>
      <c r="QIB65" s="447"/>
      <c r="QIC65" s="447"/>
      <c r="QID65" s="447"/>
      <c r="QIE65" s="447"/>
      <c r="QIF65" s="447"/>
      <c r="QIG65" s="447"/>
      <c r="QIH65" s="447"/>
      <c r="QII65" s="447"/>
      <c r="QIJ65" s="447"/>
      <c r="QIK65" s="447"/>
      <c r="QIL65" s="447"/>
      <c r="QIM65" s="447"/>
      <c r="QIN65" s="447"/>
      <c r="QIO65" s="447"/>
      <c r="QIP65" s="447"/>
      <c r="QIQ65" s="447"/>
      <c r="QIR65" s="447"/>
      <c r="QIS65" s="447"/>
      <c r="QIT65" s="447"/>
      <c r="QIU65" s="447"/>
      <c r="QIV65" s="447"/>
      <c r="QIW65" s="447"/>
      <c r="QIX65" s="447"/>
      <c r="QIY65" s="447"/>
      <c r="QIZ65" s="447"/>
      <c r="QJA65" s="447"/>
      <c r="QJB65" s="447"/>
      <c r="QJC65" s="447"/>
      <c r="QJD65" s="447"/>
      <c r="QJE65" s="447"/>
      <c r="QJF65" s="447"/>
      <c r="QJG65" s="447"/>
      <c r="QJH65" s="447"/>
      <c r="QJI65" s="447"/>
      <c r="QJJ65" s="447"/>
      <c r="QJK65" s="447"/>
      <c r="QJL65" s="447"/>
      <c r="QJM65" s="447"/>
      <c r="QJN65" s="447"/>
      <c r="QJO65" s="447"/>
      <c r="QJP65" s="447"/>
      <c r="QJQ65" s="447"/>
      <c r="QJR65" s="447"/>
      <c r="QJS65" s="447"/>
      <c r="QJT65" s="447"/>
      <c r="QJU65" s="447"/>
      <c r="QJV65" s="447"/>
      <c r="QJW65" s="447"/>
      <c r="QJX65" s="447"/>
      <c r="QJY65" s="447"/>
      <c r="QJZ65" s="447"/>
      <c r="QKA65" s="447"/>
      <c r="QKB65" s="447"/>
      <c r="QKC65" s="447"/>
      <c r="QKD65" s="447"/>
      <c r="QKE65" s="447"/>
      <c r="QKF65" s="447"/>
      <c r="QKG65" s="447"/>
      <c r="QKH65" s="447"/>
      <c r="QKI65" s="447"/>
      <c r="QKJ65" s="447"/>
      <c r="QKK65" s="447"/>
      <c r="QKL65" s="447"/>
      <c r="QKM65" s="447"/>
      <c r="QKN65" s="447"/>
      <c r="QKO65" s="447"/>
      <c r="QKP65" s="447"/>
      <c r="QKQ65" s="447"/>
      <c r="QKR65" s="447"/>
      <c r="QKS65" s="447"/>
      <c r="QKT65" s="447"/>
      <c r="QKU65" s="447"/>
      <c r="QKV65" s="447"/>
      <c r="QKW65" s="447"/>
      <c r="QKX65" s="447"/>
      <c r="QKY65" s="447"/>
      <c r="QKZ65" s="447"/>
      <c r="QLA65" s="447"/>
      <c r="QLB65" s="447"/>
      <c r="QLC65" s="447"/>
      <c r="QLD65" s="447"/>
      <c r="QLE65" s="447"/>
      <c r="QLF65" s="447"/>
      <c r="QLG65" s="447"/>
      <c r="QLH65" s="447"/>
      <c r="QLI65" s="447"/>
      <c r="QLJ65" s="447"/>
      <c r="QLK65" s="447"/>
      <c r="QLL65" s="447"/>
      <c r="QLM65" s="447"/>
      <c r="QLN65" s="447"/>
      <c r="QLO65" s="447"/>
      <c r="QLP65" s="447"/>
      <c r="QLQ65" s="447"/>
      <c r="QLR65" s="447"/>
      <c r="QLS65" s="447"/>
      <c r="QLT65" s="447"/>
      <c r="QLU65" s="447"/>
      <c r="QLV65" s="447"/>
      <c r="QLW65" s="447"/>
      <c r="QLX65" s="447"/>
      <c r="QLY65" s="447"/>
      <c r="QLZ65" s="447"/>
      <c r="QMA65" s="447"/>
      <c r="QMB65" s="447"/>
      <c r="QMC65" s="447"/>
      <c r="QMD65" s="447"/>
      <c r="QME65" s="447"/>
      <c r="QMF65" s="447"/>
      <c r="QMG65" s="447"/>
      <c r="QMH65" s="447"/>
      <c r="QMI65" s="447"/>
      <c r="QMJ65" s="447"/>
      <c r="QMK65" s="447"/>
      <c r="QML65" s="447"/>
      <c r="QMM65" s="447"/>
      <c r="QMN65" s="447"/>
      <c r="QMO65" s="447"/>
      <c r="QMP65" s="447"/>
      <c r="QMQ65" s="447"/>
      <c r="QMR65" s="447"/>
      <c r="QMS65" s="447"/>
      <c r="QMT65" s="447"/>
      <c r="QMU65" s="447"/>
      <c r="QMV65" s="447"/>
      <c r="QMW65" s="447"/>
      <c r="QMX65" s="447"/>
      <c r="QMY65" s="447"/>
      <c r="QMZ65" s="447"/>
      <c r="QNA65" s="447"/>
      <c r="QNB65" s="447"/>
      <c r="QNC65" s="447"/>
      <c r="QND65" s="447"/>
      <c r="QNE65" s="447"/>
      <c r="QNF65" s="447"/>
      <c r="QNG65" s="447"/>
      <c r="QNH65" s="447"/>
      <c r="QNI65" s="447"/>
      <c r="QNJ65" s="447"/>
      <c r="QNK65" s="447"/>
      <c r="QNL65" s="447"/>
      <c r="QNM65" s="447"/>
      <c r="QNN65" s="447"/>
      <c r="QNO65" s="447"/>
      <c r="QNP65" s="447"/>
      <c r="QNQ65" s="447"/>
      <c r="QNR65" s="447"/>
      <c r="QNS65" s="447"/>
      <c r="QNT65" s="447"/>
      <c r="QNU65" s="447"/>
      <c r="QNV65" s="447"/>
      <c r="QNW65" s="447"/>
      <c r="QNX65" s="447"/>
      <c r="QNY65" s="447"/>
      <c r="QNZ65" s="447"/>
      <c r="QOA65" s="447"/>
      <c r="QOB65" s="447"/>
      <c r="QOC65" s="447"/>
      <c r="QOD65" s="447"/>
      <c r="QOE65" s="447"/>
      <c r="QOF65" s="447"/>
      <c r="QOG65" s="447"/>
      <c r="QOH65" s="447"/>
      <c r="QOI65" s="447"/>
      <c r="QOJ65" s="447"/>
      <c r="QOK65" s="447"/>
      <c r="QOL65" s="447"/>
      <c r="QOM65" s="447"/>
      <c r="QON65" s="447"/>
      <c r="QOO65" s="447"/>
      <c r="QOP65" s="447"/>
      <c r="QOQ65" s="447"/>
      <c r="QOR65" s="447"/>
      <c r="QOS65" s="447"/>
      <c r="QOT65" s="447"/>
      <c r="QOU65" s="447"/>
      <c r="QOV65" s="447"/>
      <c r="QOW65" s="447"/>
      <c r="QOX65" s="447"/>
      <c r="QOY65" s="447"/>
      <c r="QOZ65" s="447"/>
      <c r="QPA65" s="447"/>
      <c r="QPB65" s="447"/>
      <c r="QPC65" s="447"/>
      <c r="QPD65" s="447"/>
      <c r="QPE65" s="447"/>
      <c r="QPF65" s="447"/>
      <c r="QPG65" s="447"/>
      <c r="QPH65" s="447"/>
      <c r="QPI65" s="447"/>
      <c r="QPJ65" s="447"/>
      <c r="QPK65" s="447"/>
      <c r="QPL65" s="447"/>
      <c r="QPM65" s="447"/>
      <c r="QPN65" s="447"/>
      <c r="QPO65" s="447"/>
      <c r="QPP65" s="447"/>
      <c r="QPQ65" s="447"/>
      <c r="QPR65" s="447"/>
      <c r="QPS65" s="447"/>
      <c r="QPT65" s="447"/>
      <c r="QPU65" s="447"/>
      <c r="QPV65" s="447"/>
      <c r="QPW65" s="447"/>
      <c r="QPX65" s="447"/>
      <c r="QPY65" s="447"/>
      <c r="QPZ65" s="447"/>
      <c r="QQA65" s="447"/>
      <c r="QQB65" s="447"/>
      <c r="QQC65" s="447"/>
      <c r="QQD65" s="447"/>
      <c r="QQE65" s="447"/>
      <c r="QQF65" s="447"/>
      <c r="QQG65" s="447"/>
      <c r="QQH65" s="447"/>
      <c r="QQI65" s="447"/>
      <c r="QQJ65" s="447"/>
      <c r="QQK65" s="447"/>
      <c r="QQL65" s="447"/>
      <c r="QQM65" s="447"/>
      <c r="QQN65" s="447"/>
      <c r="QQO65" s="447"/>
      <c r="QQP65" s="447"/>
      <c r="QQQ65" s="447"/>
      <c r="QQR65" s="447"/>
      <c r="QQS65" s="447"/>
      <c r="QQT65" s="447"/>
      <c r="QQU65" s="447"/>
      <c r="QQV65" s="447"/>
      <c r="QQW65" s="447"/>
      <c r="QQX65" s="447"/>
      <c r="QQY65" s="447"/>
      <c r="QQZ65" s="447"/>
      <c r="QRA65" s="447"/>
      <c r="QRB65" s="447"/>
      <c r="QRC65" s="447"/>
      <c r="QRD65" s="447"/>
      <c r="QRE65" s="447"/>
      <c r="QRF65" s="447"/>
      <c r="QRG65" s="447"/>
      <c r="QRH65" s="447"/>
      <c r="QRI65" s="447"/>
      <c r="QRJ65" s="447"/>
      <c r="QRK65" s="447"/>
      <c r="QRL65" s="447"/>
      <c r="QRM65" s="447"/>
      <c r="QRN65" s="447"/>
      <c r="QRO65" s="447"/>
      <c r="QRP65" s="447"/>
      <c r="QRQ65" s="447"/>
      <c r="QRR65" s="447"/>
      <c r="QRS65" s="447"/>
      <c r="QRT65" s="447"/>
      <c r="QRU65" s="447"/>
      <c r="QRV65" s="447"/>
      <c r="QRW65" s="447"/>
      <c r="QRX65" s="447"/>
      <c r="QRY65" s="447"/>
      <c r="QRZ65" s="447"/>
      <c r="QSA65" s="447"/>
      <c r="QSB65" s="447"/>
      <c r="QSC65" s="447"/>
      <c r="QSD65" s="447"/>
      <c r="QSE65" s="447"/>
      <c r="QSF65" s="447"/>
      <c r="QSG65" s="447"/>
      <c r="QSH65" s="447"/>
      <c r="QSI65" s="447"/>
      <c r="QSJ65" s="447"/>
      <c r="QSK65" s="447"/>
      <c r="QSL65" s="447"/>
      <c r="QSM65" s="447"/>
      <c r="QSN65" s="447"/>
      <c r="QSO65" s="447"/>
      <c r="QSP65" s="447"/>
      <c r="QSQ65" s="447"/>
      <c r="QSR65" s="447"/>
      <c r="QSS65" s="447"/>
      <c r="QST65" s="447"/>
      <c r="QSU65" s="447"/>
      <c r="QSV65" s="447"/>
      <c r="QSW65" s="447"/>
      <c r="QSX65" s="447"/>
      <c r="QSY65" s="447"/>
      <c r="QSZ65" s="447"/>
      <c r="QTA65" s="447"/>
      <c r="QTB65" s="447"/>
      <c r="QTC65" s="447"/>
      <c r="QTD65" s="447"/>
      <c r="QTE65" s="447"/>
      <c r="QTF65" s="447"/>
      <c r="QTG65" s="447"/>
      <c r="QTH65" s="447"/>
      <c r="QTI65" s="447"/>
      <c r="QTJ65" s="447"/>
      <c r="QTK65" s="447"/>
      <c r="QTL65" s="447"/>
      <c r="QTM65" s="447"/>
      <c r="QTN65" s="447"/>
      <c r="QTO65" s="447"/>
      <c r="QTP65" s="447"/>
      <c r="QTQ65" s="447"/>
      <c r="QTR65" s="447"/>
      <c r="QTS65" s="447"/>
      <c r="QTT65" s="447"/>
      <c r="QTU65" s="447"/>
      <c r="QTV65" s="447"/>
      <c r="QTW65" s="447"/>
      <c r="QTX65" s="447"/>
      <c r="QTY65" s="447"/>
      <c r="QTZ65" s="447"/>
      <c r="QUA65" s="447"/>
      <c r="QUB65" s="447"/>
      <c r="QUC65" s="447"/>
      <c r="QUD65" s="447"/>
      <c r="QUE65" s="447"/>
      <c r="QUF65" s="447"/>
      <c r="QUG65" s="447"/>
      <c r="QUH65" s="447"/>
      <c r="QUI65" s="447"/>
      <c r="QUJ65" s="447"/>
      <c r="QUK65" s="447"/>
      <c r="QUL65" s="447"/>
      <c r="QUM65" s="447"/>
      <c r="QUN65" s="447"/>
      <c r="QUO65" s="447"/>
      <c r="QUP65" s="447"/>
      <c r="QUQ65" s="447"/>
      <c r="QUR65" s="447"/>
      <c r="QUS65" s="447"/>
      <c r="QUT65" s="447"/>
      <c r="QUU65" s="447"/>
      <c r="QUV65" s="447"/>
      <c r="QUW65" s="447"/>
      <c r="QUX65" s="447"/>
      <c r="QUY65" s="447"/>
      <c r="QUZ65" s="447"/>
      <c r="QVA65" s="447"/>
      <c r="QVB65" s="447"/>
      <c r="QVC65" s="447"/>
      <c r="QVD65" s="447"/>
      <c r="QVE65" s="447"/>
      <c r="QVF65" s="447"/>
      <c r="QVG65" s="447"/>
      <c r="QVH65" s="447"/>
      <c r="QVI65" s="447"/>
      <c r="QVJ65" s="447"/>
      <c r="QVK65" s="447"/>
      <c r="QVL65" s="447"/>
      <c r="QVM65" s="447"/>
      <c r="QVN65" s="447"/>
      <c r="QVO65" s="447"/>
      <c r="QVP65" s="447"/>
      <c r="QVQ65" s="447"/>
      <c r="QVR65" s="447"/>
      <c r="QVS65" s="447"/>
      <c r="QVT65" s="447"/>
      <c r="QVU65" s="447"/>
      <c r="QVV65" s="447"/>
      <c r="QVW65" s="447"/>
      <c r="QVX65" s="447"/>
      <c r="QVY65" s="447"/>
      <c r="QVZ65" s="447"/>
      <c r="QWA65" s="447"/>
      <c r="QWB65" s="447"/>
      <c r="QWC65" s="447"/>
      <c r="QWD65" s="447"/>
      <c r="QWE65" s="447"/>
      <c r="QWF65" s="447"/>
      <c r="QWG65" s="447"/>
      <c r="QWH65" s="447"/>
      <c r="QWI65" s="447"/>
      <c r="QWJ65" s="447"/>
      <c r="QWK65" s="447"/>
      <c r="QWL65" s="447"/>
      <c r="QWM65" s="447"/>
      <c r="QWN65" s="447"/>
      <c r="QWO65" s="447"/>
      <c r="QWP65" s="447"/>
      <c r="QWQ65" s="447"/>
      <c r="QWR65" s="447"/>
      <c r="QWS65" s="447"/>
      <c r="QWT65" s="447"/>
      <c r="QWU65" s="447"/>
      <c r="QWV65" s="447"/>
      <c r="QWW65" s="447"/>
      <c r="QWX65" s="447"/>
      <c r="QWY65" s="447"/>
      <c r="QWZ65" s="447"/>
      <c r="QXA65" s="447"/>
      <c r="QXB65" s="447"/>
      <c r="QXC65" s="447"/>
      <c r="QXD65" s="447"/>
      <c r="QXE65" s="447"/>
      <c r="QXF65" s="447"/>
      <c r="QXG65" s="447"/>
      <c r="QXH65" s="447"/>
      <c r="QXI65" s="447"/>
      <c r="QXJ65" s="447"/>
      <c r="QXK65" s="447"/>
      <c r="QXL65" s="447"/>
      <c r="QXM65" s="447"/>
      <c r="QXN65" s="447"/>
      <c r="QXO65" s="447"/>
      <c r="QXP65" s="447"/>
      <c r="QXQ65" s="447"/>
      <c r="QXR65" s="447"/>
      <c r="QXS65" s="447"/>
      <c r="QXT65" s="447"/>
      <c r="QXU65" s="447"/>
      <c r="QXV65" s="447"/>
      <c r="QXW65" s="447"/>
      <c r="QXX65" s="447"/>
      <c r="QXY65" s="447"/>
      <c r="QXZ65" s="447"/>
      <c r="QYA65" s="447"/>
      <c r="QYB65" s="447"/>
      <c r="QYC65" s="447"/>
      <c r="QYD65" s="447"/>
      <c r="QYE65" s="447"/>
      <c r="QYF65" s="447"/>
      <c r="QYG65" s="447"/>
      <c r="QYH65" s="447"/>
      <c r="QYI65" s="447"/>
      <c r="QYJ65" s="447"/>
      <c r="QYK65" s="447"/>
      <c r="QYL65" s="447"/>
      <c r="QYM65" s="447"/>
      <c r="QYN65" s="447"/>
      <c r="QYO65" s="447"/>
      <c r="QYP65" s="447"/>
      <c r="QYQ65" s="447"/>
      <c r="QYR65" s="447"/>
      <c r="QYS65" s="447"/>
      <c r="QYT65" s="447"/>
      <c r="QYU65" s="447"/>
      <c r="QYV65" s="447"/>
      <c r="QYW65" s="447"/>
      <c r="QYX65" s="447"/>
      <c r="QYY65" s="447"/>
      <c r="QYZ65" s="447"/>
      <c r="QZA65" s="447"/>
      <c r="QZB65" s="447"/>
      <c r="QZC65" s="447"/>
      <c r="QZD65" s="447"/>
      <c r="QZE65" s="447"/>
      <c r="QZF65" s="447"/>
      <c r="QZG65" s="447"/>
      <c r="QZH65" s="447"/>
      <c r="QZI65" s="447"/>
      <c r="QZJ65" s="447"/>
      <c r="QZK65" s="447"/>
      <c r="QZL65" s="447"/>
      <c r="QZM65" s="447"/>
      <c r="QZN65" s="447"/>
      <c r="QZO65" s="447"/>
      <c r="QZP65" s="447"/>
      <c r="QZQ65" s="447"/>
      <c r="QZR65" s="447"/>
      <c r="QZS65" s="447"/>
      <c r="QZT65" s="447"/>
      <c r="QZU65" s="447"/>
      <c r="QZV65" s="447"/>
      <c r="QZW65" s="447"/>
      <c r="QZX65" s="447"/>
      <c r="QZY65" s="447"/>
      <c r="QZZ65" s="447"/>
      <c r="RAA65" s="447"/>
      <c r="RAB65" s="447"/>
      <c r="RAC65" s="447"/>
      <c r="RAD65" s="447"/>
      <c r="RAE65" s="447"/>
      <c r="RAF65" s="447"/>
      <c r="RAG65" s="447"/>
      <c r="RAH65" s="447"/>
      <c r="RAI65" s="447"/>
      <c r="RAJ65" s="447"/>
      <c r="RAK65" s="447"/>
      <c r="RAL65" s="447"/>
      <c r="RAM65" s="447"/>
      <c r="RAN65" s="447"/>
      <c r="RAO65" s="447"/>
      <c r="RAP65" s="447"/>
      <c r="RAQ65" s="447"/>
      <c r="RAR65" s="447"/>
      <c r="RAS65" s="447"/>
      <c r="RAT65" s="447"/>
      <c r="RAU65" s="447"/>
      <c r="RAV65" s="447"/>
      <c r="RAW65" s="447"/>
      <c r="RAX65" s="447"/>
      <c r="RAY65" s="447"/>
      <c r="RAZ65" s="447"/>
      <c r="RBA65" s="447"/>
      <c r="RBB65" s="447"/>
      <c r="RBC65" s="447"/>
      <c r="RBD65" s="447"/>
      <c r="RBE65" s="447"/>
      <c r="RBF65" s="447"/>
      <c r="RBG65" s="447"/>
      <c r="RBH65" s="447"/>
      <c r="RBI65" s="447"/>
      <c r="RBJ65" s="447"/>
      <c r="RBK65" s="447"/>
      <c r="RBL65" s="447"/>
      <c r="RBM65" s="447"/>
      <c r="RBN65" s="447"/>
      <c r="RBO65" s="447"/>
      <c r="RBP65" s="447"/>
      <c r="RBQ65" s="447"/>
      <c r="RBR65" s="447"/>
      <c r="RBS65" s="447"/>
      <c r="RBT65" s="447"/>
      <c r="RBU65" s="447"/>
      <c r="RBV65" s="447"/>
      <c r="RBW65" s="447"/>
      <c r="RBX65" s="447"/>
      <c r="RBY65" s="447"/>
      <c r="RBZ65" s="447"/>
      <c r="RCA65" s="447"/>
      <c r="RCB65" s="447"/>
      <c r="RCC65" s="447"/>
      <c r="RCD65" s="447"/>
      <c r="RCE65" s="447"/>
      <c r="RCF65" s="447"/>
      <c r="RCG65" s="447"/>
      <c r="RCH65" s="447"/>
      <c r="RCI65" s="447"/>
      <c r="RCJ65" s="447"/>
      <c r="RCK65" s="447"/>
      <c r="RCL65" s="447"/>
      <c r="RCM65" s="447"/>
      <c r="RCN65" s="447"/>
      <c r="RCO65" s="447"/>
      <c r="RCP65" s="447"/>
      <c r="RCQ65" s="447"/>
      <c r="RCR65" s="447"/>
      <c r="RCS65" s="447"/>
      <c r="RCT65" s="447"/>
      <c r="RCU65" s="447"/>
      <c r="RCV65" s="447"/>
      <c r="RCW65" s="447"/>
      <c r="RCX65" s="447"/>
      <c r="RCY65" s="447"/>
      <c r="RCZ65" s="447"/>
      <c r="RDA65" s="447"/>
      <c r="RDB65" s="447"/>
      <c r="RDC65" s="447"/>
      <c r="RDD65" s="447"/>
      <c r="RDE65" s="447"/>
      <c r="RDF65" s="447"/>
      <c r="RDG65" s="447"/>
      <c r="RDH65" s="447"/>
      <c r="RDI65" s="447"/>
      <c r="RDJ65" s="447"/>
      <c r="RDK65" s="447"/>
      <c r="RDL65" s="447"/>
      <c r="RDM65" s="447"/>
      <c r="RDN65" s="447"/>
      <c r="RDO65" s="447"/>
      <c r="RDP65" s="447"/>
      <c r="RDQ65" s="447"/>
      <c r="RDR65" s="447"/>
      <c r="RDS65" s="447"/>
      <c r="RDT65" s="447"/>
      <c r="RDU65" s="447"/>
      <c r="RDV65" s="447"/>
      <c r="RDW65" s="447"/>
      <c r="RDX65" s="447"/>
      <c r="RDY65" s="447"/>
      <c r="RDZ65" s="447"/>
      <c r="REA65" s="447"/>
      <c r="REB65" s="447"/>
      <c r="REC65" s="447"/>
      <c r="RED65" s="447"/>
      <c r="REE65" s="447"/>
      <c r="REF65" s="447"/>
      <c r="REG65" s="447"/>
      <c r="REH65" s="447"/>
      <c r="REI65" s="447"/>
      <c r="REJ65" s="447"/>
      <c r="REK65" s="447"/>
      <c r="REL65" s="447"/>
      <c r="REM65" s="447"/>
      <c r="REN65" s="447"/>
      <c r="REO65" s="447"/>
      <c r="REP65" s="447"/>
      <c r="REQ65" s="447"/>
      <c r="RER65" s="447"/>
      <c r="RES65" s="447"/>
      <c r="RET65" s="447"/>
      <c r="REU65" s="447"/>
      <c r="REV65" s="447"/>
      <c r="REW65" s="447"/>
      <c r="REX65" s="447"/>
      <c r="REY65" s="447"/>
      <c r="REZ65" s="447"/>
      <c r="RFA65" s="447"/>
      <c r="RFB65" s="447"/>
      <c r="RFC65" s="447"/>
      <c r="RFD65" s="447"/>
      <c r="RFE65" s="447"/>
      <c r="RFF65" s="447"/>
      <c r="RFG65" s="447"/>
      <c r="RFH65" s="447"/>
      <c r="RFI65" s="447"/>
      <c r="RFJ65" s="447"/>
      <c r="RFK65" s="447"/>
      <c r="RFL65" s="447"/>
      <c r="RFM65" s="447"/>
      <c r="RFN65" s="447"/>
      <c r="RFO65" s="447"/>
      <c r="RFP65" s="447"/>
      <c r="RFQ65" s="447"/>
      <c r="RFR65" s="447"/>
      <c r="RFS65" s="447"/>
      <c r="RFT65" s="447"/>
      <c r="RFU65" s="447"/>
      <c r="RFV65" s="447"/>
      <c r="RFW65" s="447"/>
      <c r="RFX65" s="447"/>
      <c r="RFY65" s="447"/>
      <c r="RFZ65" s="447"/>
      <c r="RGA65" s="447"/>
      <c r="RGB65" s="447"/>
      <c r="RGC65" s="447"/>
      <c r="RGD65" s="447"/>
      <c r="RGE65" s="447"/>
      <c r="RGF65" s="447"/>
      <c r="RGG65" s="447"/>
      <c r="RGH65" s="447"/>
      <c r="RGI65" s="447"/>
      <c r="RGJ65" s="447"/>
      <c r="RGK65" s="447"/>
      <c r="RGL65" s="447"/>
      <c r="RGM65" s="447"/>
      <c r="RGN65" s="447"/>
      <c r="RGO65" s="447"/>
      <c r="RGP65" s="447"/>
      <c r="RGQ65" s="447"/>
      <c r="RGR65" s="447"/>
      <c r="RGS65" s="447"/>
      <c r="RGT65" s="447"/>
      <c r="RGU65" s="447"/>
      <c r="RGV65" s="447"/>
      <c r="RGW65" s="447"/>
      <c r="RGX65" s="447"/>
      <c r="RGY65" s="447"/>
      <c r="RGZ65" s="447"/>
      <c r="RHA65" s="447"/>
      <c r="RHB65" s="447"/>
      <c r="RHC65" s="447"/>
      <c r="RHD65" s="447"/>
      <c r="RHE65" s="447"/>
      <c r="RHF65" s="447"/>
      <c r="RHG65" s="447"/>
      <c r="RHH65" s="447"/>
      <c r="RHI65" s="447"/>
      <c r="RHJ65" s="447"/>
      <c r="RHK65" s="447"/>
      <c r="RHL65" s="447"/>
      <c r="RHM65" s="447"/>
      <c r="RHN65" s="447"/>
      <c r="RHO65" s="447"/>
      <c r="RHP65" s="447"/>
      <c r="RHQ65" s="447"/>
      <c r="RHR65" s="447"/>
      <c r="RHS65" s="447"/>
      <c r="RHT65" s="447"/>
      <c r="RHU65" s="447"/>
      <c r="RHV65" s="447"/>
      <c r="RHW65" s="447"/>
      <c r="RHX65" s="447"/>
      <c r="RHY65" s="447"/>
      <c r="RHZ65" s="447"/>
      <c r="RIA65" s="447"/>
      <c r="RIB65" s="447"/>
      <c r="RIC65" s="447"/>
      <c r="RID65" s="447"/>
      <c r="RIE65" s="447"/>
      <c r="RIF65" s="447"/>
      <c r="RIG65" s="447"/>
      <c r="RIH65" s="447"/>
      <c r="RII65" s="447"/>
      <c r="RIJ65" s="447"/>
      <c r="RIK65" s="447"/>
      <c r="RIL65" s="447"/>
      <c r="RIM65" s="447"/>
      <c r="RIN65" s="447"/>
      <c r="RIO65" s="447"/>
      <c r="RIP65" s="447"/>
      <c r="RIQ65" s="447"/>
      <c r="RIR65" s="447"/>
      <c r="RIS65" s="447"/>
      <c r="RIT65" s="447"/>
      <c r="RIU65" s="447"/>
      <c r="RIV65" s="447"/>
      <c r="RIW65" s="447"/>
      <c r="RIX65" s="447"/>
      <c r="RIY65" s="447"/>
      <c r="RIZ65" s="447"/>
      <c r="RJA65" s="447"/>
      <c r="RJB65" s="447"/>
      <c r="RJC65" s="447"/>
      <c r="RJD65" s="447"/>
      <c r="RJE65" s="447"/>
      <c r="RJF65" s="447"/>
      <c r="RJG65" s="447"/>
      <c r="RJH65" s="447"/>
      <c r="RJI65" s="447"/>
      <c r="RJJ65" s="447"/>
      <c r="RJK65" s="447"/>
      <c r="RJL65" s="447"/>
      <c r="RJM65" s="447"/>
      <c r="RJN65" s="447"/>
      <c r="RJO65" s="447"/>
      <c r="RJP65" s="447"/>
      <c r="RJQ65" s="447"/>
      <c r="RJR65" s="447"/>
      <c r="RJS65" s="447"/>
      <c r="RJT65" s="447"/>
      <c r="RJU65" s="447"/>
      <c r="RJV65" s="447"/>
      <c r="RJW65" s="447"/>
      <c r="RJX65" s="447"/>
      <c r="RJY65" s="447"/>
      <c r="RJZ65" s="447"/>
      <c r="RKA65" s="447"/>
      <c r="RKB65" s="447"/>
      <c r="RKC65" s="447"/>
      <c r="RKD65" s="447"/>
      <c r="RKE65" s="447"/>
      <c r="RKF65" s="447"/>
      <c r="RKG65" s="447"/>
      <c r="RKH65" s="447"/>
      <c r="RKI65" s="447"/>
      <c r="RKJ65" s="447"/>
      <c r="RKK65" s="447"/>
      <c r="RKL65" s="447"/>
      <c r="RKM65" s="447"/>
      <c r="RKN65" s="447"/>
      <c r="RKO65" s="447"/>
      <c r="RKP65" s="447"/>
      <c r="RKQ65" s="447"/>
      <c r="RKR65" s="447"/>
      <c r="RKS65" s="447"/>
      <c r="RKT65" s="447"/>
      <c r="RKU65" s="447"/>
      <c r="RKV65" s="447"/>
      <c r="RKW65" s="447"/>
      <c r="RKX65" s="447"/>
      <c r="RKY65" s="447"/>
      <c r="RKZ65" s="447"/>
      <c r="RLA65" s="447"/>
      <c r="RLB65" s="447"/>
      <c r="RLC65" s="447"/>
      <c r="RLD65" s="447"/>
      <c r="RLE65" s="447"/>
      <c r="RLF65" s="447"/>
      <c r="RLG65" s="447"/>
      <c r="RLH65" s="447"/>
      <c r="RLI65" s="447"/>
      <c r="RLJ65" s="447"/>
      <c r="RLK65" s="447"/>
      <c r="RLL65" s="447"/>
      <c r="RLM65" s="447"/>
      <c r="RLN65" s="447"/>
      <c r="RLO65" s="447"/>
      <c r="RLP65" s="447"/>
      <c r="RLQ65" s="447"/>
      <c r="RLR65" s="447"/>
      <c r="RLS65" s="447"/>
      <c r="RLT65" s="447"/>
      <c r="RLU65" s="447"/>
      <c r="RLV65" s="447"/>
      <c r="RLW65" s="447"/>
      <c r="RLX65" s="447"/>
      <c r="RLY65" s="447"/>
      <c r="RLZ65" s="447"/>
      <c r="RMA65" s="447"/>
      <c r="RMB65" s="447"/>
      <c r="RMC65" s="447"/>
      <c r="RMD65" s="447"/>
      <c r="RME65" s="447"/>
      <c r="RMF65" s="447"/>
      <c r="RMG65" s="447"/>
      <c r="RMH65" s="447"/>
      <c r="RMI65" s="447"/>
      <c r="RMJ65" s="447"/>
      <c r="RMK65" s="447"/>
      <c r="RML65" s="447"/>
      <c r="RMM65" s="447"/>
      <c r="RMN65" s="447"/>
      <c r="RMO65" s="447"/>
      <c r="RMP65" s="447"/>
      <c r="RMQ65" s="447"/>
      <c r="RMR65" s="447"/>
      <c r="RMS65" s="447"/>
      <c r="RMT65" s="447"/>
      <c r="RMU65" s="447"/>
      <c r="RMV65" s="447"/>
      <c r="RMW65" s="447"/>
      <c r="RMX65" s="447"/>
      <c r="RMY65" s="447"/>
      <c r="RMZ65" s="447"/>
      <c r="RNA65" s="447"/>
      <c r="RNB65" s="447"/>
      <c r="RNC65" s="447"/>
      <c r="RND65" s="447"/>
      <c r="RNE65" s="447"/>
      <c r="RNF65" s="447"/>
      <c r="RNG65" s="447"/>
      <c r="RNH65" s="447"/>
      <c r="RNI65" s="447"/>
      <c r="RNJ65" s="447"/>
      <c r="RNK65" s="447"/>
      <c r="RNL65" s="447"/>
      <c r="RNM65" s="447"/>
      <c r="RNN65" s="447"/>
      <c r="RNO65" s="447"/>
      <c r="RNP65" s="447"/>
      <c r="RNQ65" s="447"/>
      <c r="RNR65" s="447"/>
      <c r="RNS65" s="447"/>
      <c r="RNT65" s="447"/>
      <c r="RNU65" s="447"/>
      <c r="RNV65" s="447"/>
      <c r="RNW65" s="447"/>
      <c r="RNX65" s="447"/>
      <c r="RNY65" s="447"/>
      <c r="RNZ65" s="447"/>
      <c r="ROA65" s="447"/>
      <c r="ROB65" s="447"/>
      <c r="ROC65" s="447"/>
      <c r="ROD65" s="447"/>
      <c r="ROE65" s="447"/>
      <c r="ROF65" s="447"/>
      <c r="ROG65" s="447"/>
      <c r="ROH65" s="447"/>
      <c r="ROI65" s="447"/>
      <c r="ROJ65" s="447"/>
      <c r="ROK65" s="447"/>
      <c r="ROL65" s="447"/>
      <c r="ROM65" s="447"/>
      <c r="RON65" s="447"/>
      <c r="ROO65" s="447"/>
      <c r="ROP65" s="447"/>
      <c r="ROQ65" s="447"/>
      <c r="ROR65" s="447"/>
      <c r="ROS65" s="447"/>
      <c r="ROT65" s="447"/>
      <c r="ROU65" s="447"/>
      <c r="ROV65" s="447"/>
      <c r="ROW65" s="447"/>
      <c r="ROX65" s="447"/>
      <c r="ROY65" s="447"/>
      <c r="ROZ65" s="447"/>
      <c r="RPA65" s="447"/>
      <c r="RPB65" s="447"/>
      <c r="RPC65" s="447"/>
      <c r="RPD65" s="447"/>
      <c r="RPE65" s="447"/>
      <c r="RPF65" s="447"/>
      <c r="RPG65" s="447"/>
      <c r="RPH65" s="447"/>
      <c r="RPI65" s="447"/>
      <c r="RPJ65" s="447"/>
      <c r="RPK65" s="447"/>
      <c r="RPL65" s="447"/>
      <c r="RPM65" s="447"/>
      <c r="RPN65" s="447"/>
      <c r="RPO65" s="447"/>
      <c r="RPP65" s="447"/>
      <c r="RPQ65" s="447"/>
      <c r="RPR65" s="447"/>
      <c r="RPS65" s="447"/>
      <c r="RPT65" s="447"/>
      <c r="RPU65" s="447"/>
      <c r="RPV65" s="447"/>
      <c r="RPW65" s="447"/>
      <c r="RPX65" s="447"/>
      <c r="RPY65" s="447"/>
      <c r="RPZ65" s="447"/>
      <c r="RQA65" s="447"/>
      <c r="RQB65" s="447"/>
      <c r="RQC65" s="447"/>
      <c r="RQD65" s="447"/>
      <c r="RQE65" s="447"/>
      <c r="RQF65" s="447"/>
      <c r="RQG65" s="447"/>
      <c r="RQH65" s="447"/>
      <c r="RQI65" s="447"/>
      <c r="RQJ65" s="447"/>
      <c r="RQK65" s="447"/>
      <c r="RQL65" s="447"/>
      <c r="RQM65" s="447"/>
      <c r="RQN65" s="447"/>
      <c r="RQO65" s="447"/>
      <c r="RQP65" s="447"/>
      <c r="RQQ65" s="447"/>
      <c r="RQR65" s="447"/>
      <c r="RQS65" s="447"/>
      <c r="RQT65" s="447"/>
      <c r="RQU65" s="447"/>
      <c r="RQV65" s="447"/>
      <c r="RQW65" s="447"/>
      <c r="RQX65" s="447"/>
      <c r="RQY65" s="447"/>
      <c r="RQZ65" s="447"/>
      <c r="RRA65" s="447"/>
      <c r="RRB65" s="447"/>
      <c r="RRC65" s="447"/>
      <c r="RRD65" s="447"/>
      <c r="RRE65" s="447"/>
      <c r="RRF65" s="447"/>
      <c r="RRG65" s="447"/>
      <c r="RRH65" s="447"/>
      <c r="RRI65" s="447"/>
      <c r="RRJ65" s="447"/>
      <c r="RRK65" s="447"/>
      <c r="RRL65" s="447"/>
      <c r="RRM65" s="447"/>
      <c r="RRN65" s="447"/>
      <c r="RRO65" s="447"/>
      <c r="RRP65" s="447"/>
      <c r="RRQ65" s="447"/>
      <c r="RRR65" s="447"/>
      <c r="RRS65" s="447"/>
      <c r="RRT65" s="447"/>
      <c r="RRU65" s="447"/>
      <c r="RRV65" s="447"/>
      <c r="RRW65" s="447"/>
      <c r="RRX65" s="447"/>
      <c r="RRY65" s="447"/>
      <c r="RRZ65" s="447"/>
      <c r="RSA65" s="447"/>
      <c r="RSB65" s="447"/>
      <c r="RSC65" s="447"/>
      <c r="RSD65" s="447"/>
      <c r="RSE65" s="447"/>
      <c r="RSF65" s="447"/>
      <c r="RSG65" s="447"/>
      <c r="RSH65" s="447"/>
      <c r="RSI65" s="447"/>
      <c r="RSJ65" s="447"/>
      <c r="RSK65" s="447"/>
      <c r="RSL65" s="447"/>
      <c r="RSM65" s="447"/>
      <c r="RSN65" s="447"/>
      <c r="RSO65" s="447"/>
      <c r="RSP65" s="447"/>
      <c r="RSQ65" s="447"/>
      <c r="RSR65" s="447"/>
      <c r="RSS65" s="447"/>
      <c r="RST65" s="447"/>
      <c r="RSU65" s="447"/>
      <c r="RSV65" s="447"/>
      <c r="RSW65" s="447"/>
      <c r="RSX65" s="447"/>
      <c r="RSY65" s="447"/>
      <c r="RSZ65" s="447"/>
      <c r="RTA65" s="447"/>
      <c r="RTB65" s="447"/>
      <c r="RTC65" s="447"/>
      <c r="RTD65" s="447"/>
      <c r="RTE65" s="447"/>
      <c r="RTF65" s="447"/>
      <c r="RTG65" s="447"/>
      <c r="RTH65" s="447"/>
      <c r="RTI65" s="447"/>
      <c r="RTJ65" s="447"/>
      <c r="RTK65" s="447"/>
      <c r="RTL65" s="447"/>
      <c r="RTM65" s="447"/>
      <c r="RTN65" s="447"/>
      <c r="RTO65" s="447"/>
      <c r="RTP65" s="447"/>
      <c r="RTQ65" s="447"/>
      <c r="RTR65" s="447"/>
      <c r="RTS65" s="447"/>
      <c r="RTT65" s="447"/>
      <c r="RTU65" s="447"/>
      <c r="RTV65" s="447"/>
      <c r="RTW65" s="447"/>
      <c r="RTX65" s="447"/>
      <c r="RTY65" s="447"/>
      <c r="RTZ65" s="447"/>
      <c r="RUA65" s="447"/>
      <c r="RUB65" s="447"/>
      <c r="RUC65" s="447"/>
      <c r="RUD65" s="447"/>
      <c r="RUE65" s="447"/>
      <c r="RUF65" s="447"/>
      <c r="RUG65" s="447"/>
      <c r="RUH65" s="447"/>
      <c r="RUI65" s="447"/>
      <c r="RUJ65" s="447"/>
      <c r="RUK65" s="447"/>
      <c r="RUL65" s="447"/>
      <c r="RUM65" s="447"/>
      <c r="RUN65" s="447"/>
      <c r="RUO65" s="447"/>
      <c r="RUP65" s="447"/>
      <c r="RUQ65" s="447"/>
      <c r="RUR65" s="447"/>
      <c r="RUS65" s="447"/>
      <c r="RUT65" s="447"/>
      <c r="RUU65" s="447"/>
      <c r="RUV65" s="447"/>
      <c r="RUW65" s="447"/>
      <c r="RUX65" s="447"/>
      <c r="RUY65" s="447"/>
      <c r="RUZ65" s="447"/>
      <c r="RVA65" s="447"/>
      <c r="RVB65" s="447"/>
      <c r="RVC65" s="447"/>
      <c r="RVD65" s="447"/>
      <c r="RVE65" s="447"/>
      <c r="RVF65" s="447"/>
      <c r="RVG65" s="447"/>
      <c r="RVH65" s="447"/>
      <c r="RVI65" s="447"/>
      <c r="RVJ65" s="447"/>
      <c r="RVK65" s="447"/>
      <c r="RVL65" s="447"/>
      <c r="RVM65" s="447"/>
      <c r="RVN65" s="447"/>
      <c r="RVO65" s="447"/>
      <c r="RVP65" s="447"/>
      <c r="RVQ65" s="447"/>
      <c r="RVR65" s="447"/>
      <c r="RVS65" s="447"/>
      <c r="RVT65" s="447"/>
      <c r="RVU65" s="447"/>
      <c r="RVV65" s="447"/>
      <c r="RVW65" s="447"/>
      <c r="RVX65" s="447"/>
      <c r="RVY65" s="447"/>
      <c r="RVZ65" s="447"/>
      <c r="RWA65" s="447"/>
      <c r="RWB65" s="447"/>
      <c r="RWC65" s="447"/>
      <c r="RWD65" s="447"/>
      <c r="RWE65" s="447"/>
      <c r="RWF65" s="447"/>
      <c r="RWG65" s="447"/>
      <c r="RWH65" s="447"/>
      <c r="RWI65" s="447"/>
      <c r="RWJ65" s="447"/>
      <c r="RWK65" s="447"/>
      <c r="RWL65" s="447"/>
      <c r="RWM65" s="447"/>
      <c r="RWN65" s="447"/>
      <c r="RWO65" s="447"/>
      <c r="RWP65" s="447"/>
      <c r="RWQ65" s="447"/>
      <c r="RWR65" s="447"/>
      <c r="RWS65" s="447"/>
      <c r="RWT65" s="447"/>
      <c r="RWU65" s="447"/>
      <c r="RWV65" s="447"/>
      <c r="RWW65" s="447"/>
      <c r="RWX65" s="447"/>
      <c r="RWY65" s="447"/>
      <c r="RWZ65" s="447"/>
      <c r="RXA65" s="447"/>
      <c r="RXB65" s="447"/>
      <c r="RXC65" s="447"/>
      <c r="RXD65" s="447"/>
      <c r="RXE65" s="447"/>
      <c r="RXF65" s="447"/>
      <c r="RXG65" s="447"/>
      <c r="RXH65" s="447"/>
      <c r="RXI65" s="447"/>
      <c r="RXJ65" s="447"/>
      <c r="RXK65" s="447"/>
      <c r="RXL65" s="447"/>
      <c r="RXM65" s="447"/>
      <c r="RXN65" s="447"/>
      <c r="RXO65" s="447"/>
      <c r="RXP65" s="447"/>
      <c r="RXQ65" s="447"/>
      <c r="RXR65" s="447"/>
      <c r="RXS65" s="447"/>
      <c r="RXT65" s="447"/>
      <c r="RXU65" s="447"/>
      <c r="RXV65" s="447"/>
      <c r="RXW65" s="447"/>
      <c r="RXX65" s="447"/>
      <c r="RXY65" s="447"/>
      <c r="RXZ65" s="447"/>
      <c r="RYA65" s="447"/>
      <c r="RYB65" s="447"/>
      <c r="RYC65" s="447"/>
      <c r="RYD65" s="447"/>
      <c r="RYE65" s="447"/>
      <c r="RYF65" s="447"/>
      <c r="RYG65" s="447"/>
      <c r="RYH65" s="447"/>
      <c r="RYI65" s="447"/>
      <c r="RYJ65" s="447"/>
      <c r="RYK65" s="447"/>
      <c r="RYL65" s="447"/>
      <c r="RYM65" s="447"/>
      <c r="RYN65" s="447"/>
      <c r="RYO65" s="447"/>
      <c r="RYP65" s="447"/>
      <c r="RYQ65" s="447"/>
      <c r="RYR65" s="447"/>
      <c r="RYS65" s="447"/>
      <c r="RYT65" s="447"/>
      <c r="RYU65" s="447"/>
      <c r="RYV65" s="447"/>
      <c r="RYW65" s="447"/>
      <c r="RYX65" s="447"/>
      <c r="RYY65" s="447"/>
      <c r="RYZ65" s="447"/>
      <c r="RZA65" s="447"/>
      <c r="RZB65" s="447"/>
      <c r="RZC65" s="447"/>
      <c r="RZD65" s="447"/>
      <c r="RZE65" s="447"/>
      <c r="RZF65" s="447"/>
      <c r="RZG65" s="447"/>
      <c r="RZH65" s="447"/>
      <c r="RZI65" s="447"/>
      <c r="RZJ65" s="447"/>
      <c r="RZK65" s="447"/>
      <c r="RZL65" s="447"/>
      <c r="RZM65" s="447"/>
      <c r="RZN65" s="447"/>
      <c r="RZO65" s="447"/>
      <c r="RZP65" s="447"/>
      <c r="RZQ65" s="447"/>
      <c r="RZR65" s="447"/>
      <c r="RZS65" s="447"/>
      <c r="RZT65" s="447"/>
      <c r="RZU65" s="447"/>
      <c r="RZV65" s="447"/>
      <c r="RZW65" s="447"/>
      <c r="RZX65" s="447"/>
      <c r="RZY65" s="447"/>
      <c r="RZZ65" s="447"/>
      <c r="SAA65" s="447"/>
      <c r="SAB65" s="447"/>
      <c r="SAC65" s="447"/>
      <c r="SAD65" s="447"/>
      <c r="SAE65" s="447"/>
      <c r="SAF65" s="447"/>
      <c r="SAG65" s="447"/>
      <c r="SAH65" s="447"/>
      <c r="SAI65" s="447"/>
      <c r="SAJ65" s="447"/>
      <c r="SAK65" s="447"/>
      <c r="SAL65" s="447"/>
      <c r="SAM65" s="447"/>
      <c r="SAN65" s="447"/>
      <c r="SAO65" s="447"/>
      <c r="SAP65" s="447"/>
      <c r="SAQ65" s="447"/>
      <c r="SAR65" s="447"/>
      <c r="SAS65" s="447"/>
      <c r="SAT65" s="447"/>
      <c r="SAU65" s="447"/>
      <c r="SAV65" s="447"/>
      <c r="SAW65" s="447"/>
      <c r="SAX65" s="447"/>
      <c r="SAY65" s="447"/>
      <c r="SAZ65" s="447"/>
      <c r="SBA65" s="447"/>
      <c r="SBB65" s="447"/>
      <c r="SBC65" s="447"/>
      <c r="SBD65" s="447"/>
      <c r="SBE65" s="447"/>
      <c r="SBF65" s="447"/>
      <c r="SBG65" s="447"/>
      <c r="SBH65" s="447"/>
      <c r="SBI65" s="447"/>
      <c r="SBJ65" s="447"/>
      <c r="SBK65" s="447"/>
      <c r="SBL65" s="447"/>
      <c r="SBM65" s="447"/>
      <c r="SBN65" s="447"/>
      <c r="SBO65" s="447"/>
      <c r="SBP65" s="447"/>
      <c r="SBQ65" s="447"/>
      <c r="SBR65" s="447"/>
      <c r="SBS65" s="447"/>
      <c r="SBT65" s="447"/>
      <c r="SBU65" s="447"/>
      <c r="SBV65" s="447"/>
      <c r="SBW65" s="447"/>
      <c r="SBX65" s="447"/>
      <c r="SBY65" s="447"/>
      <c r="SBZ65" s="447"/>
      <c r="SCA65" s="447"/>
      <c r="SCB65" s="447"/>
      <c r="SCC65" s="447"/>
      <c r="SCD65" s="447"/>
      <c r="SCE65" s="447"/>
      <c r="SCF65" s="447"/>
      <c r="SCG65" s="447"/>
      <c r="SCH65" s="447"/>
      <c r="SCI65" s="447"/>
      <c r="SCJ65" s="447"/>
      <c r="SCK65" s="447"/>
      <c r="SCL65" s="447"/>
      <c r="SCM65" s="447"/>
      <c r="SCN65" s="447"/>
      <c r="SCO65" s="447"/>
      <c r="SCP65" s="447"/>
      <c r="SCQ65" s="447"/>
      <c r="SCR65" s="447"/>
      <c r="SCS65" s="447"/>
      <c r="SCT65" s="447"/>
      <c r="SCU65" s="447"/>
      <c r="SCV65" s="447"/>
      <c r="SCW65" s="447"/>
      <c r="SCX65" s="447"/>
      <c r="SCY65" s="447"/>
      <c r="SCZ65" s="447"/>
      <c r="SDA65" s="447"/>
      <c r="SDB65" s="447"/>
      <c r="SDC65" s="447"/>
      <c r="SDD65" s="447"/>
      <c r="SDE65" s="447"/>
      <c r="SDF65" s="447"/>
      <c r="SDG65" s="447"/>
      <c r="SDH65" s="447"/>
      <c r="SDI65" s="447"/>
      <c r="SDJ65" s="447"/>
      <c r="SDK65" s="447"/>
      <c r="SDL65" s="447"/>
      <c r="SDM65" s="447"/>
      <c r="SDN65" s="447"/>
      <c r="SDO65" s="447"/>
      <c r="SDP65" s="447"/>
      <c r="SDQ65" s="447"/>
      <c r="SDR65" s="447"/>
      <c r="SDS65" s="447"/>
      <c r="SDT65" s="447"/>
      <c r="SDU65" s="447"/>
      <c r="SDV65" s="447"/>
      <c r="SDW65" s="447"/>
      <c r="SDX65" s="447"/>
      <c r="SDY65" s="447"/>
      <c r="SDZ65" s="447"/>
      <c r="SEA65" s="447"/>
      <c r="SEB65" s="447"/>
      <c r="SEC65" s="447"/>
      <c r="SED65" s="447"/>
      <c r="SEE65" s="447"/>
      <c r="SEF65" s="447"/>
      <c r="SEG65" s="447"/>
      <c r="SEH65" s="447"/>
      <c r="SEI65" s="447"/>
      <c r="SEJ65" s="447"/>
      <c r="SEK65" s="447"/>
      <c r="SEL65" s="447"/>
      <c r="SEM65" s="447"/>
      <c r="SEN65" s="447"/>
      <c r="SEO65" s="447"/>
      <c r="SEP65" s="447"/>
      <c r="SEQ65" s="447"/>
      <c r="SER65" s="447"/>
      <c r="SES65" s="447"/>
      <c r="SET65" s="447"/>
      <c r="SEU65" s="447"/>
      <c r="SEV65" s="447"/>
      <c r="SEW65" s="447"/>
      <c r="SEX65" s="447"/>
      <c r="SEY65" s="447"/>
      <c r="SEZ65" s="447"/>
      <c r="SFA65" s="447"/>
      <c r="SFB65" s="447"/>
      <c r="SFC65" s="447"/>
      <c r="SFD65" s="447"/>
      <c r="SFE65" s="447"/>
      <c r="SFF65" s="447"/>
      <c r="SFG65" s="447"/>
      <c r="SFH65" s="447"/>
      <c r="SFI65" s="447"/>
      <c r="SFJ65" s="447"/>
      <c r="SFK65" s="447"/>
      <c r="SFL65" s="447"/>
      <c r="SFM65" s="447"/>
      <c r="SFN65" s="447"/>
      <c r="SFO65" s="447"/>
      <c r="SFP65" s="447"/>
      <c r="SFQ65" s="447"/>
      <c r="SFR65" s="447"/>
      <c r="SFS65" s="447"/>
      <c r="SFT65" s="447"/>
      <c r="SFU65" s="447"/>
      <c r="SFV65" s="447"/>
      <c r="SFW65" s="447"/>
      <c r="SFX65" s="447"/>
      <c r="SFY65" s="447"/>
      <c r="SFZ65" s="447"/>
      <c r="SGA65" s="447"/>
      <c r="SGB65" s="447"/>
      <c r="SGC65" s="447"/>
      <c r="SGD65" s="447"/>
      <c r="SGE65" s="447"/>
      <c r="SGF65" s="447"/>
      <c r="SGG65" s="447"/>
      <c r="SGH65" s="447"/>
      <c r="SGI65" s="447"/>
      <c r="SGJ65" s="447"/>
      <c r="SGK65" s="447"/>
      <c r="SGL65" s="447"/>
      <c r="SGM65" s="447"/>
      <c r="SGN65" s="447"/>
      <c r="SGO65" s="447"/>
      <c r="SGP65" s="447"/>
      <c r="SGQ65" s="447"/>
      <c r="SGR65" s="447"/>
      <c r="SGS65" s="447"/>
      <c r="SGT65" s="447"/>
      <c r="SGU65" s="447"/>
      <c r="SGV65" s="447"/>
      <c r="SGW65" s="447"/>
      <c r="SGX65" s="447"/>
      <c r="SGY65" s="447"/>
      <c r="SGZ65" s="447"/>
      <c r="SHA65" s="447"/>
      <c r="SHB65" s="447"/>
      <c r="SHC65" s="447"/>
      <c r="SHD65" s="447"/>
      <c r="SHE65" s="447"/>
      <c r="SHF65" s="447"/>
      <c r="SHG65" s="447"/>
      <c r="SHH65" s="447"/>
      <c r="SHI65" s="447"/>
      <c r="SHJ65" s="447"/>
      <c r="SHK65" s="447"/>
      <c r="SHL65" s="447"/>
      <c r="SHM65" s="447"/>
      <c r="SHN65" s="447"/>
      <c r="SHO65" s="447"/>
      <c r="SHP65" s="447"/>
      <c r="SHQ65" s="447"/>
      <c r="SHR65" s="447"/>
      <c r="SHS65" s="447"/>
      <c r="SHT65" s="447"/>
      <c r="SHU65" s="447"/>
      <c r="SHV65" s="447"/>
      <c r="SHW65" s="447"/>
      <c r="SHX65" s="447"/>
      <c r="SHY65" s="447"/>
      <c r="SHZ65" s="447"/>
      <c r="SIA65" s="447"/>
      <c r="SIB65" s="447"/>
      <c r="SIC65" s="447"/>
      <c r="SID65" s="447"/>
      <c r="SIE65" s="447"/>
      <c r="SIF65" s="447"/>
      <c r="SIG65" s="447"/>
      <c r="SIH65" s="447"/>
      <c r="SII65" s="447"/>
      <c r="SIJ65" s="447"/>
      <c r="SIK65" s="447"/>
      <c r="SIL65" s="447"/>
      <c r="SIM65" s="447"/>
      <c r="SIN65" s="447"/>
      <c r="SIO65" s="447"/>
      <c r="SIP65" s="447"/>
      <c r="SIQ65" s="447"/>
      <c r="SIR65" s="447"/>
      <c r="SIS65" s="447"/>
      <c r="SIT65" s="447"/>
      <c r="SIU65" s="447"/>
      <c r="SIV65" s="447"/>
      <c r="SIW65" s="447"/>
      <c r="SIX65" s="447"/>
      <c r="SIY65" s="447"/>
      <c r="SIZ65" s="447"/>
      <c r="SJA65" s="447"/>
      <c r="SJB65" s="447"/>
      <c r="SJC65" s="447"/>
      <c r="SJD65" s="447"/>
      <c r="SJE65" s="447"/>
      <c r="SJF65" s="447"/>
      <c r="SJG65" s="447"/>
      <c r="SJH65" s="447"/>
      <c r="SJI65" s="447"/>
      <c r="SJJ65" s="447"/>
      <c r="SJK65" s="447"/>
      <c r="SJL65" s="447"/>
      <c r="SJM65" s="447"/>
      <c r="SJN65" s="447"/>
      <c r="SJO65" s="447"/>
      <c r="SJP65" s="447"/>
      <c r="SJQ65" s="447"/>
      <c r="SJR65" s="447"/>
      <c r="SJS65" s="447"/>
      <c r="SJT65" s="447"/>
      <c r="SJU65" s="447"/>
      <c r="SJV65" s="447"/>
      <c r="SJW65" s="447"/>
      <c r="SJX65" s="447"/>
      <c r="SJY65" s="447"/>
      <c r="SJZ65" s="447"/>
      <c r="SKA65" s="447"/>
      <c r="SKB65" s="447"/>
      <c r="SKC65" s="447"/>
      <c r="SKD65" s="447"/>
      <c r="SKE65" s="447"/>
      <c r="SKF65" s="447"/>
      <c r="SKG65" s="447"/>
      <c r="SKH65" s="447"/>
      <c r="SKI65" s="447"/>
      <c r="SKJ65" s="447"/>
      <c r="SKK65" s="447"/>
      <c r="SKL65" s="447"/>
      <c r="SKM65" s="447"/>
      <c r="SKN65" s="447"/>
      <c r="SKO65" s="447"/>
      <c r="SKP65" s="447"/>
      <c r="SKQ65" s="447"/>
      <c r="SKR65" s="447"/>
      <c r="SKS65" s="447"/>
      <c r="SKT65" s="447"/>
      <c r="SKU65" s="447"/>
      <c r="SKV65" s="447"/>
      <c r="SKW65" s="447"/>
      <c r="SKX65" s="447"/>
      <c r="SKY65" s="447"/>
      <c r="SKZ65" s="447"/>
      <c r="SLA65" s="447"/>
      <c r="SLB65" s="447"/>
      <c r="SLC65" s="447"/>
      <c r="SLD65" s="447"/>
      <c r="SLE65" s="447"/>
      <c r="SLF65" s="447"/>
      <c r="SLG65" s="447"/>
      <c r="SLH65" s="447"/>
      <c r="SLI65" s="447"/>
      <c r="SLJ65" s="447"/>
      <c r="SLK65" s="447"/>
      <c r="SLL65" s="447"/>
      <c r="SLM65" s="447"/>
      <c r="SLN65" s="447"/>
      <c r="SLO65" s="447"/>
      <c r="SLP65" s="447"/>
      <c r="SLQ65" s="447"/>
      <c r="SLR65" s="447"/>
      <c r="SLS65" s="447"/>
      <c r="SLT65" s="447"/>
      <c r="SLU65" s="447"/>
      <c r="SLV65" s="447"/>
      <c r="SLW65" s="447"/>
      <c r="SLX65" s="447"/>
      <c r="SLY65" s="447"/>
      <c r="SLZ65" s="447"/>
      <c r="SMA65" s="447"/>
      <c r="SMB65" s="447"/>
      <c r="SMC65" s="447"/>
      <c r="SMD65" s="447"/>
      <c r="SME65" s="447"/>
      <c r="SMF65" s="447"/>
      <c r="SMG65" s="447"/>
      <c r="SMH65" s="447"/>
      <c r="SMI65" s="447"/>
      <c r="SMJ65" s="447"/>
      <c r="SMK65" s="447"/>
      <c r="SML65" s="447"/>
      <c r="SMM65" s="447"/>
      <c r="SMN65" s="447"/>
      <c r="SMO65" s="447"/>
      <c r="SMP65" s="447"/>
      <c r="SMQ65" s="447"/>
      <c r="SMR65" s="447"/>
      <c r="SMS65" s="447"/>
      <c r="SMT65" s="447"/>
      <c r="SMU65" s="447"/>
      <c r="SMV65" s="447"/>
      <c r="SMW65" s="447"/>
      <c r="SMX65" s="447"/>
      <c r="SMY65" s="447"/>
      <c r="SMZ65" s="447"/>
      <c r="SNA65" s="447"/>
      <c r="SNB65" s="447"/>
      <c r="SNC65" s="447"/>
      <c r="SND65" s="447"/>
      <c r="SNE65" s="447"/>
      <c r="SNF65" s="447"/>
      <c r="SNG65" s="447"/>
      <c r="SNH65" s="447"/>
      <c r="SNI65" s="447"/>
      <c r="SNJ65" s="447"/>
      <c r="SNK65" s="447"/>
      <c r="SNL65" s="447"/>
      <c r="SNM65" s="447"/>
      <c r="SNN65" s="447"/>
      <c r="SNO65" s="447"/>
      <c r="SNP65" s="447"/>
      <c r="SNQ65" s="447"/>
      <c r="SNR65" s="447"/>
      <c r="SNS65" s="447"/>
      <c r="SNT65" s="447"/>
      <c r="SNU65" s="447"/>
      <c r="SNV65" s="447"/>
      <c r="SNW65" s="447"/>
      <c r="SNX65" s="447"/>
      <c r="SNY65" s="447"/>
      <c r="SNZ65" s="447"/>
      <c r="SOA65" s="447"/>
      <c r="SOB65" s="447"/>
      <c r="SOC65" s="447"/>
      <c r="SOD65" s="447"/>
      <c r="SOE65" s="447"/>
      <c r="SOF65" s="447"/>
      <c r="SOG65" s="447"/>
      <c r="SOH65" s="447"/>
      <c r="SOI65" s="447"/>
      <c r="SOJ65" s="447"/>
      <c r="SOK65" s="447"/>
      <c r="SOL65" s="447"/>
      <c r="SOM65" s="447"/>
      <c r="SON65" s="447"/>
      <c r="SOO65" s="447"/>
      <c r="SOP65" s="447"/>
      <c r="SOQ65" s="447"/>
      <c r="SOR65" s="447"/>
      <c r="SOS65" s="447"/>
      <c r="SOT65" s="447"/>
      <c r="SOU65" s="447"/>
      <c r="SOV65" s="447"/>
      <c r="SOW65" s="447"/>
      <c r="SOX65" s="447"/>
      <c r="SOY65" s="447"/>
      <c r="SOZ65" s="447"/>
      <c r="SPA65" s="447"/>
      <c r="SPB65" s="447"/>
      <c r="SPC65" s="447"/>
      <c r="SPD65" s="447"/>
      <c r="SPE65" s="447"/>
      <c r="SPF65" s="447"/>
      <c r="SPG65" s="447"/>
      <c r="SPH65" s="447"/>
      <c r="SPI65" s="447"/>
      <c r="SPJ65" s="447"/>
      <c r="SPK65" s="447"/>
      <c r="SPL65" s="447"/>
      <c r="SPM65" s="447"/>
      <c r="SPN65" s="447"/>
      <c r="SPO65" s="447"/>
      <c r="SPP65" s="447"/>
      <c r="SPQ65" s="447"/>
      <c r="SPR65" s="447"/>
      <c r="SPS65" s="447"/>
      <c r="SPT65" s="447"/>
      <c r="SPU65" s="447"/>
      <c r="SPV65" s="447"/>
      <c r="SPW65" s="447"/>
      <c r="SPX65" s="447"/>
      <c r="SPY65" s="447"/>
      <c r="SPZ65" s="447"/>
      <c r="SQA65" s="447"/>
      <c r="SQB65" s="447"/>
      <c r="SQC65" s="447"/>
      <c r="SQD65" s="447"/>
      <c r="SQE65" s="447"/>
      <c r="SQF65" s="447"/>
      <c r="SQG65" s="447"/>
      <c r="SQH65" s="447"/>
      <c r="SQI65" s="447"/>
      <c r="SQJ65" s="447"/>
      <c r="SQK65" s="447"/>
      <c r="SQL65" s="447"/>
      <c r="SQM65" s="447"/>
      <c r="SQN65" s="447"/>
      <c r="SQO65" s="447"/>
      <c r="SQP65" s="447"/>
      <c r="SQQ65" s="447"/>
      <c r="SQR65" s="447"/>
      <c r="SQS65" s="447"/>
      <c r="SQT65" s="447"/>
      <c r="SQU65" s="447"/>
      <c r="SQV65" s="447"/>
      <c r="SQW65" s="447"/>
      <c r="SQX65" s="447"/>
      <c r="SQY65" s="447"/>
      <c r="SQZ65" s="447"/>
      <c r="SRA65" s="447"/>
      <c r="SRB65" s="447"/>
      <c r="SRC65" s="447"/>
      <c r="SRD65" s="447"/>
      <c r="SRE65" s="447"/>
      <c r="SRF65" s="447"/>
      <c r="SRG65" s="447"/>
      <c r="SRH65" s="447"/>
      <c r="SRI65" s="447"/>
      <c r="SRJ65" s="447"/>
      <c r="SRK65" s="447"/>
      <c r="SRL65" s="447"/>
      <c r="SRM65" s="447"/>
      <c r="SRN65" s="447"/>
      <c r="SRO65" s="447"/>
      <c r="SRP65" s="447"/>
      <c r="SRQ65" s="447"/>
      <c r="SRR65" s="447"/>
      <c r="SRS65" s="447"/>
      <c r="SRT65" s="447"/>
      <c r="SRU65" s="447"/>
      <c r="SRV65" s="447"/>
      <c r="SRW65" s="447"/>
      <c r="SRX65" s="447"/>
      <c r="SRY65" s="447"/>
      <c r="SRZ65" s="447"/>
      <c r="SSA65" s="447"/>
      <c r="SSB65" s="447"/>
      <c r="SSC65" s="447"/>
      <c r="SSD65" s="447"/>
      <c r="SSE65" s="447"/>
      <c r="SSF65" s="447"/>
      <c r="SSG65" s="447"/>
      <c r="SSH65" s="447"/>
      <c r="SSI65" s="447"/>
      <c r="SSJ65" s="447"/>
      <c r="SSK65" s="447"/>
      <c r="SSL65" s="447"/>
      <c r="SSM65" s="447"/>
      <c r="SSN65" s="447"/>
      <c r="SSO65" s="447"/>
      <c r="SSP65" s="447"/>
      <c r="SSQ65" s="447"/>
      <c r="SSR65" s="447"/>
      <c r="SSS65" s="447"/>
      <c r="SST65" s="447"/>
      <c r="SSU65" s="447"/>
      <c r="SSV65" s="447"/>
      <c r="SSW65" s="447"/>
      <c r="SSX65" s="447"/>
      <c r="SSY65" s="447"/>
      <c r="SSZ65" s="447"/>
      <c r="STA65" s="447"/>
      <c r="STB65" s="447"/>
      <c r="STC65" s="447"/>
      <c r="STD65" s="447"/>
      <c r="STE65" s="447"/>
      <c r="STF65" s="447"/>
      <c r="STG65" s="447"/>
      <c r="STH65" s="447"/>
      <c r="STI65" s="447"/>
      <c r="STJ65" s="447"/>
      <c r="STK65" s="447"/>
      <c r="STL65" s="447"/>
      <c r="STM65" s="447"/>
      <c r="STN65" s="447"/>
      <c r="STO65" s="447"/>
      <c r="STP65" s="447"/>
      <c r="STQ65" s="447"/>
      <c r="STR65" s="447"/>
      <c r="STS65" s="447"/>
      <c r="STT65" s="447"/>
      <c r="STU65" s="447"/>
      <c r="STV65" s="447"/>
      <c r="STW65" s="447"/>
      <c r="STX65" s="447"/>
      <c r="STY65" s="447"/>
      <c r="STZ65" s="447"/>
      <c r="SUA65" s="447"/>
      <c r="SUB65" s="447"/>
      <c r="SUC65" s="447"/>
      <c r="SUD65" s="447"/>
      <c r="SUE65" s="447"/>
      <c r="SUF65" s="447"/>
      <c r="SUG65" s="447"/>
      <c r="SUH65" s="447"/>
      <c r="SUI65" s="447"/>
      <c r="SUJ65" s="447"/>
      <c r="SUK65" s="447"/>
      <c r="SUL65" s="447"/>
      <c r="SUM65" s="447"/>
      <c r="SUN65" s="447"/>
      <c r="SUO65" s="447"/>
      <c r="SUP65" s="447"/>
      <c r="SUQ65" s="447"/>
      <c r="SUR65" s="447"/>
      <c r="SUS65" s="447"/>
      <c r="SUT65" s="447"/>
      <c r="SUU65" s="447"/>
      <c r="SUV65" s="447"/>
      <c r="SUW65" s="447"/>
      <c r="SUX65" s="447"/>
      <c r="SUY65" s="447"/>
      <c r="SUZ65" s="447"/>
      <c r="SVA65" s="447"/>
      <c r="SVB65" s="447"/>
      <c r="SVC65" s="447"/>
      <c r="SVD65" s="447"/>
      <c r="SVE65" s="447"/>
      <c r="SVF65" s="447"/>
      <c r="SVG65" s="447"/>
      <c r="SVH65" s="447"/>
      <c r="SVI65" s="447"/>
      <c r="SVJ65" s="447"/>
      <c r="SVK65" s="447"/>
      <c r="SVL65" s="447"/>
      <c r="SVM65" s="447"/>
      <c r="SVN65" s="447"/>
      <c r="SVO65" s="447"/>
      <c r="SVP65" s="447"/>
      <c r="SVQ65" s="447"/>
      <c r="SVR65" s="447"/>
      <c r="SVS65" s="447"/>
      <c r="SVT65" s="447"/>
      <c r="SVU65" s="447"/>
      <c r="SVV65" s="447"/>
      <c r="SVW65" s="447"/>
      <c r="SVX65" s="447"/>
      <c r="SVY65" s="447"/>
      <c r="SVZ65" s="447"/>
      <c r="SWA65" s="447"/>
      <c r="SWB65" s="447"/>
      <c r="SWC65" s="447"/>
      <c r="SWD65" s="447"/>
      <c r="SWE65" s="447"/>
      <c r="SWF65" s="447"/>
      <c r="SWG65" s="447"/>
      <c r="SWH65" s="447"/>
      <c r="SWI65" s="447"/>
      <c r="SWJ65" s="447"/>
      <c r="SWK65" s="447"/>
      <c r="SWL65" s="447"/>
      <c r="SWM65" s="447"/>
      <c r="SWN65" s="447"/>
      <c r="SWO65" s="447"/>
      <c r="SWP65" s="447"/>
      <c r="SWQ65" s="447"/>
      <c r="SWR65" s="447"/>
      <c r="SWS65" s="447"/>
      <c r="SWT65" s="447"/>
      <c r="SWU65" s="447"/>
      <c r="SWV65" s="447"/>
      <c r="SWW65" s="447"/>
      <c r="SWX65" s="447"/>
      <c r="SWY65" s="447"/>
      <c r="SWZ65" s="447"/>
      <c r="SXA65" s="447"/>
      <c r="SXB65" s="447"/>
      <c r="SXC65" s="447"/>
      <c r="SXD65" s="447"/>
      <c r="SXE65" s="447"/>
      <c r="SXF65" s="447"/>
      <c r="SXG65" s="447"/>
      <c r="SXH65" s="447"/>
      <c r="SXI65" s="447"/>
      <c r="SXJ65" s="447"/>
      <c r="SXK65" s="447"/>
      <c r="SXL65" s="447"/>
      <c r="SXM65" s="447"/>
      <c r="SXN65" s="447"/>
      <c r="SXO65" s="447"/>
      <c r="SXP65" s="447"/>
      <c r="SXQ65" s="447"/>
      <c r="SXR65" s="447"/>
      <c r="SXS65" s="447"/>
      <c r="SXT65" s="447"/>
      <c r="SXU65" s="447"/>
      <c r="SXV65" s="447"/>
      <c r="SXW65" s="447"/>
      <c r="SXX65" s="447"/>
      <c r="SXY65" s="447"/>
      <c r="SXZ65" s="447"/>
      <c r="SYA65" s="447"/>
      <c r="SYB65" s="447"/>
      <c r="SYC65" s="447"/>
      <c r="SYD65" s="447"/>
      <c r="SYE65" s="447"/>
      <c r="SYF65" s="447"/>
      <c r="SYG65" s="447"/>
      <c r="SYH65" s="447"/>
      <c r="SYI65" s="447"/>
      <c r="SYJ65" s="447"/>
      <c r="SYK65" s="447"/>
      <c r="SYL65" s="447"/>
      <c r="SYM65" s="447"/>
      <c r="SYN65" s="447"/>
      <c r="SYO65" s="447"/>
      <c r="SYP65" s="447"/>
      <c r="SYQ65" s="447"/>
      <c r="SYR65" s="447"/>
      <c r="SYS65" s="447"/>
      <c r="SYT65" s="447"/>
      <c r="SYU65" s="447"/>
      <c r="SYV65" s="447"/>
      <c r="SYW65" s="447"/>
      <c r="SYX65" s="447"/>
      <c r="SYY65" s="447"/>
      <c r="SYZ65" s="447"/>
      <c r="SZA65" s="447"/>
      <c r="SZB65" s="447"/>
      <c r="SZC65" s="447"/>
      <c r="SZD65" s="447"/>
      <c r="SZE65" s="447"/>
      <c r="SZF65" s="447"/>
      <c r="SZG65" s="447"/>
      <c r="SZH65" s="447"/>
      <c r="SZI65" s="447"/>
      <c r="SZJ65" s="447"/>
      <c r="SZK65" s="447"/>
      <c r="SZL65" s="447"/>
      <c r="SZM65" s="447"/>
      <c r="SZN65" s="447"/>
      <c r="SZO65" s="447"/>
      <c r="SZP65" s="447"/>
      <c r="SZQ65" s="447"/>
      <c r="SZR65" s="447"/>
      <c r="SZS65" s="447"/>
      <c r="SZT65" s="447"/>
      <c r="SZU65" s="447"/>
      <c r="SZV65" s="447"/>
      <c r="SZW65" s="447"/>
      <c r="SZX65" s="447"/>
      <c r="SZY65" s="447"/>
      <c r="SZZ65" s="447"/>
      <c r="TAA65" s="447"/>
      <c r="TAB65" s="447"/>
      <c r="TAC65" s="447"/>
      <c r="TAD65" s="447"/>
      <c r="TAE65" s="447"/>
      <c r="TAF65" s="447"/>
      <c r="TAG65" s="447"/>
      <c r="TAH65" s="447"/>
      <c r="TAI65" s="447"/>
      <c r="TAJ65" s="447"/>
      <c r="TAK65" s="447"/>
      <c r="TAL65" s="447"/>
      <c r="TAM65" s="447"/>
      <c r="TAN65" s="447"/>
      <c r="TAO65" s="447"/>
      <c r="TAP65" s="447"/>
      <c r="TAQ65" s="447"/>
      <c r="TAR65" s="447"/>
      <c r="TAS65" s="447"/>
      <c r="TAT65" s="447"/>
      <c r="TAU65" s="447"/>
      <c r="TAV65" s="447"/>
      <c r="TAW65" s="447"/>
      <c r="TAX65" s="447"/>
      <c r="TAY65" s="447"/>
      <c r="TAZ65" s="447"/>
      <c r="TBA65" s="447"/>
      <c r="TBB65" s="447"/>
      <c r="TBC65" s="447"/>
      <c r="TBD65" s="447"/>
      <c r="TBE65" s="447"/>
      <c r="TBF65" s="447"/>
      <c r="TBG65" s="447"/>
      <c r="TBH65" s="447"/>
      <c r="TBI65" s="447"/>
      <c r="TBJ65" s="447"/>
      <c r="TBK65" s="447"/>
      <c r="TBL65" s="447"/>
      <c r="TBM65" s="447"/>
      <c r="TBN65" s="447"/>
      <c r="TBO65" s="447"/>
      <c r="TBP65" s="447"/>
      <c r="TBQ65" s="447"/>
      <c r="TBR65" s="447"/>
      <c r="TBS65" s="447"/>
      <c r="TBT65" s="447"/>
      <c r="TBU65" s="447"/>
      <c r="TBV65" s="447"/>
      <c r="TBW65" s="447"/>
      <c r="TBX65" s="447"/>
      <c r="TBY65" s="447"/>
      <c r="TBZ65" s="447"/>
      <c r="TCA65" s="447"/>
      <c r="TCB65" s="447"/>
      <c r="TCC65" s="447"/>
      <c r="TCD65" s="447"/>
      <c r="TCE65" s="447"/>
      <c r="TCF65" s="447"/>
      <c r="TCG65" s="447"/>
      <c r="TCH65" s="447"/>
      <c r="TCI65" s="447"/>
      <c r="TCJ65" s="447"/>
      <c r="TCK65" s="447"/>
      <c r="TCL65" s="447"/>
      <c r="TCM65" s="447"/>
      <c r="TCN65" s="447"/>
      <c r="TCO65" s="447"/>
      <c r="TCP65" s="447"/>
      <c r="TCQ65" s="447"/>
      <c r="TCR65" s="447"/>
      <c r="TCS65" s="447"/>
      <c r="TCT65" s="447"/>
      <c r="TCU65" s="447"/>
      <c r="TCV65" s="447"/>
      <c r="TCW65" s="447"/>
      <c r="TCX65" s="447"/>
      <c r="TCY65" s="447"/>
      <c r="TCZ65" s="447"/>
      <c r="TDA65" s="447"/>
      <c r="TDB65" s="447"/>
      <c r="TDC65" s="447"/>
      <c r="TDD65" s="447"/>
      <c r="TDE65" s="447"/>
      <c r="TDF65" s="447"/>
      <c r="TDG65" s="447"/>
      <c r="TDH65" s="447"/>
      <c r="TDI65" s="447"/>
      <c r="TDJ65" s="447"/>
      <c r="TDK65" s="447"/>
      <c r="TDL65" s="447"/>
      <c r="TDM65" s="447"/>
      <c r="TDN65" s="447"/>
      <c r="TDO65" s="447"/>
      <c r="TDP65" s="447"/>
      <c r="TDQ65" s="447"/>
      <c r="TDR65" s="447"/>
      <c r="TDS65" s="447"/>
      <c r="TDT65" s="447"/>
      <c r="TDU65" s="447"/>
      <c r="TDV65" s="447"/>
      <c r="TDW65" s="447"/>
      <c r="TDX65" s="447"/>
      <c r="TDY65" s="447"/>
      <c r="TDZ65" s="447"/>
      <c r="TEA65" s="447"/>
      <c r="TEB65" s="447"/>
      <c r="TEC65" s="447"/>
      <c r="TED65" s="447"/>
      <c r="TEE65" s="447"/>
      <c r="TEF65" s="447"/>
      <c r="TEG65" s="447"/>
      <c r="TEH65" s="447"/>
      <c r="TEI65" s="447"/>
      <c r="TEJ65" s="447"/>
      <c r="TEK65" s="447"/>
      <c r="TEL65" s="447"/>
      <c r="TEM65" s="447"/>
      <c r="TEN65" s="447"/>
      <c r="TEO65" s="447"/>
      <c r="TEP65" s="447"/>
      <c r="TEQ65" s="447"/>
      <c r="TER65" s="447"/>
      <c r="TES65" s="447"/>
      <c r="TET65" s="447"/>
      <c r="TEU65" s="447"/>
      <c r="TEV65" s="447"/>
      <c r="TEW65" s="447"/>
      <c r="TEX65" s="447"/>
      <c r="TEY65" s="447"/>
      <c r="TEZ65" s="447"/>
      <c r="TFA65" s="447"/>
      <c r="TFB65" s="447"/>
      <c r="TFC65" s="447"/>
      <c r="TFD65" s="447"/>
      <c r="TFE65" s="447"/>
      <c r="TFF65" s="447"/>
      <c r="TFG65" s="447"/>
      <c r="TFH65" s="447"/>
      <c r="TFI65" s="447"/>
      <c r="TFJ65" s="447"/>
      <c r="TFK65" s="447"/>
      <c r="TFL65" s="447"/>
      <c r="TFM65" s="447"/>
      <c r="TFN65" s="447"/>
      <c r="TFO65" s="447"/>
      <c r="TFP65" s="447"/>
      <c r="TFQ65" s="447"/>
      <c r="TFR65" s="447"/>
      <c r="TFS65" s="447"/>
      <c r="TFT65" s="447"/>
      <c r="TFU65" s="447"/>
      <c r="TFV65" s="447"/>
      <c r="TFW65" s="447"/>
      <c r="TFX65" s="447"/>
      <c r="TFY65" s="447"/>
      <c r="TFZ65" s="447"/>
      <c r="TGA65" s="447"/>
      <c r="TGB65" s="447"/>
      <c r="TGC65" s="447"/>
      <c r="TGD65" s="447"/>
      <c r="TGE65" s="447"/>
      <c r="TGF65" s="447"/>
      <c r="TGG65" s="447"/>
      <c r="TGH65" s="447"/>
      <c r="TGI65" s="447"/>
      <c r="TGJ65" s="447"/>
      <c r="TGK65" s="447"/>
      <c r="TGL65" s="447"/>
      <c r="TGM65" s="447"/>
      <c r="TGN65" s="447"/>
      <c r="TGO65" s="447"/>
      <c r="TGP65" s="447"/>
      <c r="TGQ65" s="447"/>
      <c r="TGR65" s="447"/>
      <c r="TGS65" s="447"/>
      <c r="TGT65" s="447"/>
      <c r="TGU65" s="447"/>
      <c r="TGV65" s="447"/>
      <c r="TGW65" s="447"/>
      <c r="TGX65" s="447"/>
      <c r="TGY65" s="447"/>
      <c r="TGZ65" s="447"/>
      <c r="THA65" s="447"/>
      <c r="THB65" s="447"/>
      <c r="THC65" s="447"/>
      <c r="THD65" s="447"/>
      <c r="THE65" s="447"/>
      <c r="THF65" s="447"/>
      <c r="THG65" s="447"/>
      <c r="THH65" s="447"/>
      <c r="THI65" s="447"/>
      <c r="THJ65" s="447"/>
      <c r="THK65" s="447"/>
      <c r="THL65" s="447"/>
      <c r="THM65" s="447"/>
      <c r="THN65" s="447"/>
      <c r="THO65" s="447"/>
      <c r="THP65" s="447"/>
      <c r="THQ65" s="447"/>
      <c r="THR65" s="447"/>
      <c r="THS65" s="447"/>
      <c r="THT65" s="447"/>
      <c r="THU65" s="447"/>
      <c r="THV65" s="447"/>
      <c r="THW65" s="447"/>
      <c r="THX65" s="447"/>
      <c r="THY65" s="447"/>
      <c r="THZ65" s="447"/>
      <c r="TIA65" s="447"/>
      <c r="TIB65" s="447"/>
      <c r="TIC65" s="447"/>
      <c r="TID65" s="447"/>
      <c r="TIE65" s="447"/>
      <c r="TIF65" s="447"/>
      <c r="TIG65" s="447"/>
      <c r="TIH65" s="447"/>
      <c r="TII65" s="447"/>
      <c r="TIJ65" s="447"/>
      <c r="TIK65" s="447"/>
      <c r="TIL65" s="447"/>
      <c r="TIM65" s="447"/>
      <c r="TIN65" s="447"/>
      <c r="TIO65" s="447"/>
      <c r="TIP65" s="447"/>
      <c r="TIQ65" s="447"/>
      <c r="TIR65" s="447"/>
      <c r="TIS65" s="447"/>
      <c r="TIT65" s="447"/>
      <c r="TIU65" s="447"/>
      <c r="TIV65" s="447"/>
      <c r="TIW65" s="447"/>
      <c r="TIX65" s="447"/>
      <c r="TIY65" s="447"/>
      <c r="TIZ65" s="447"/>
      <c r="TJA65" s="447"/>
      <c r="TJB65" s="447"/>
      <c r="TJC65" s="447"/>
      <c r="TJD65" s="447"/>
      <c r="TJE65" s="447"/>
      <c r="TJF65" s="447"/>
      <c r="TJG65" s="447"/>
      <c r="TJH65" s="447"/>
      <c r="TJI65" s="447"/>
      <c r="TJJ65" s="447"/>
      <c r="TJK65" s="447"/>
      <c r="TJL65" s="447"/>
      <c r="TJM65" s="447"/>
      <c r="TJN65" s="447"/>
      <c r="TJO65" s="447"/>
      <c r="TJP65" s="447"/>
      <c r="TJQ65" s="447"/>
      <c r="TJR65" s="447"/>
      <c r="TJS65" s="447"/>
      <c r="TJT65" s="447"/>
      <c r="TJU65" s="447"/>
      <c r="TJV65" s="447"/>
      <c r="TJW65" s="447"/>
      <c r="TJX65" s="447"/>
      <c r="TJY65" s="447"/>
      <c r="TJZ65" s="447"/>
      <c r="TKA65" s="447"/>
      <c r="TKB65" s="447"/>
      <c r="TKC65" s="447"/>
      <c r="TKD65" s="447"/>
      <c r="TKE65" s="447"/>
      <c r="TKF65" s="447"/>
      <c r="TKG65" s="447"/>
      <c r="TKH65" s="447"/>
      <c r="TKI65" s="447"/>
      <c r="TKJ65" s="447"/>
      <c r="TKK65" s="447"/>
      <c r="TKL65" s="447"/>
      <c r="TKM65" s="447"/>
      <c r="TKN65" s="447"/>
      <c r="TKO65" s="447"/>
      <c r="TKP65" s="447"/>
      <c r="TKQ65" s="447"/>
      <c r="TKR65" s="447"/>
      <c r="TKS65" s="447"/>
      <c r="TKT65" s="447"/>
      <c r="TKU65" s="447"/>
      <c r="TKV65" s="447"/>
      <c r="TKW65" s="447"/>
      <c r="TKX65" s="447"/>
      <c r="TKY65" s="447"/>
      <c r="TKZ65" s="447"/>
      <c r="TLA65" s="447"/>
      <c r="TLB65" s="447"/>
      <c r="TLC65" s="447"/>
      <c r="TLD65" s="447"/>
      <c r="TLE65" s="447"/>
      <c r="TLF65" s="447"/>
      <c r="TLG65" s="447"/>
      <c r="TLH65" s="447"/>
      <c r="TLI65" s="447"/>
      <c r="TLJ65" s="447"/>
      <c r="TLK65" s="447"/>
      <c r="TLL65" s="447"/>
      <c r="TLM65" s="447"/>
      <c r="TLN65" s="447"/>
      <c r="TLO65" s="447"/>
      <c r="TLP65" s="447"/>
      <c r="TLQ65" s="447"/>
      <c r="TLR65" s="447"/>
      <c r="TLS65" s="447"/>
      <c r="TLT65" s="447"/>
      <c r="TLU65" s="447"/>
      <c r="TLV65" s="447"/>
      <c r="TLW65" s="447"/>
      <c r="TLX65" s="447"/>
      <c r="TLY65" s="447"/>
      <c r="TLZ65" s="447"/>
      <c r="TMA65" s="447"/>
      <c r="TMB65" s="447"/>
      <c r="TMC65" s="447"/>
      <c r="TMD65" s="447"/>
      <c r="TME65" s="447"/>
      <c r="TMF65" s="447"/>
      <c r="TMG65" s="447"/>
      <c r="TMH65" s="447"/>
      <c r="TMI65" s="447"/>
      <c r="TMJ65" s="447"/>
      <c r="TMK65" s="447"/>
      <c r="TML65" s="447"/>
      <c r="TMM65" s="447"/>
      <c r="TMN65" s="447"/>
      <c r="TMO65" s="447"/>
      <c r="TMP65" s="447"/>
      <c r="TMQ65" s="447"/>
      <c r="TMR65" s="447"/>
      <c r="TMS65" s="447"/>
      <c r="TMT65" s="447"/>
      <c r="TMU65" s="447"/>
      <c r="TMV65" s="447"/>
      <c r="TMW65" s="447"/>
      <c r="TMX65" s="447"/>
      <c r="TMY65" s="447"/>
      <c r="TMZ65" s="447"/>
      <c r="TNA65" s="447"/>
      <c r="TNB65" s="447"/>
      <c r="TNC65" s="447"/>
      <c r="TND65" s="447"/>
      <c r="TNE65" s="447"/>
      <c r="TNF65" s="447"/>
      <c r="TNG65" s="447"/>
      <c r="TNH65" s="447"/>
      <c r="TNI65" s="447"/>
      <c r="TNJ65" s="447"/>
      <c r="TNK65" s="447"/>
      <c r="TNL65" s="447"/>
      <c r="TNM65" s="447"/>
      <c r="TNN65" s="447"/>
      <c r="TNO65" s="447"/>
      <c r="TNP65" s="447"/>
      <c r="TNQ65" s="447"/>
      <c r="TNR65" s="447"/>
      <c r="TNS65" s="447"/>
      <c r="TNT65" s="447"/>
      <c r="TNU65" s="447"/>
      <c r="TNV65" s="447"/>
      <c r="TNW65" s="447"/>
      <c r="TNX65" s="447"/>
      <c r="TNY65" s="447"/>
      <c r="TNZ65" s="447"/>
      <c r="TOA65" s="447"/>
      <c r="TOB65" s="447"/>
      <c r="TOC65" s="447"/>
      <c r="TOD65" s="447"/>
      <c r="TOE65" s="447"/>
      <c r="TOF65" s="447"/>
      <c r="TOG65" s="447"/>
      <c r="TOH65" s="447"/>
      <c r="TOI65" s="447"/>
      <c r="TOJ65" s="447"/>
      <c r="TOK65" s="447"/>
      <c r="TOL65" s="447"/>
      <c r="TOM65" s="447"/>
      <c r="TON65" s="447"/>
      <c r="TOO65" s="447"/>
      <c r="TOP65" s="447"/>
      <c r="TOQ65" s="447"/>
      <c r="TOR65" s="447"/>
      <c r="TOS65" s="447"/>
      <c r="TOT65" s="447"/>
      <c r="TOU65" s="447"/>
      <c r="TOV65" s="447"/>
      <c r="TOW65" s="447"/>
      <c r="TOX65" s="447"/>
      <c r="TOY65" s="447"/>
      <c r="TOZ65" s="447"/>
      <c r="TPA65" s="447"/>
      <c r="TPB65" s="447"/>
      <c r="TPC65" s="447"/>
      <c r="TPD65" s="447"/>
      <c r="TPE65" s="447"/>
      <c r="TPF65" s="447"/>
      <c r="TPG65" s="447"/>
      <c r="TPH65" s="447"/>
      <c r="TPI65" s="447"/>
      <c r="TPJ65" s="447"/>
      <c r="TPK65" s="447"/>
      <c r="TPL65" s="447"/>
      <c r="TPM65" s="447"/>
      <c r="TPN65" s="447"/>
      <c r="TPO65" s="447"/>
      <c r="TPP65" s="447"/>
      <c r="TPQ65" s="447"/>
      <c r="TPR65" s="447"/>
      <c r="TPS65" s="447"/>
      <c r="TPT65" s="447"/>
      <c r="TPU65" s="447"/>
      <c r="TPV65" s="447"/>
      <c r="TPW65" s="447"/>
      <c r="TPX65" s="447"/>
      <c r="TPY65" s="447"/>
      <c r="TPZ65" s="447"/>
      <c r="TQA65" s="447"/>
      <c r="TQB65" s="447"/>
      <c r="TQC65" s="447"/>
      <c r="TQD65" s="447"/>
      <c r="TQE65" s="447"/>
      <c r="TQF65" s="447"/>
      <c r="TQG65" s="447"/>
      <c r="TQH65" s="447"/>
      <c r="TQI65" s="447"/>
      <c r="TQJ65" s="447"/>
      <c r="TQK65" s="447"/>
      <c r="TQL65" s="447"/>
      <c r="TQM65" s="447"/>
      <c r="TQN65" s="447"/>
      <c r="TQO65" s="447"/>
      <c r="TQP65" s="447"/>
      <c r="TQQ65" s="447"/>
      <c r="TQR65" s="447"/>
      <c r="TQS65" s="447"/>
      <c r="TQT65" s="447"/>
      <c r="TQU65" s="447"/>
      <c r="TQV65" s="447"/>
      <c r="TQW65" s="447"/>
      <c r="TQX65" s="447"/>
      <c r="TQY65" s="447"/>
      <c r="TQZ65" s="447"/>
      <c r="TRA65" s="447"/>
      <c r="TRB65" s="447"/>
      <c r="TRC65" s="447"/>
      <c r="TRD65" s="447"/>
      <c r="TRE65" s="447"/>
      <c r="TRF65" s="447"/>
      <c r="TRG65" s="447"/>
      <c r="TRH65" s="447"/>
      <c r="TRI65" s="447"/>
      <c r="TRJ65" s="447"/>
      <c r="TRK65" s="447"/>
      <c r="TRL65" s="447"/>
      <c r="TRM65" s="447"/>
      <c r="TRN65" s="447"/>
      <c r="TRO65" s="447"/>
      <c r="TRP65" s="447"/>
      <c r="TRQ65" s="447"/>
      <c r="TRR65" s="447"/>
      <c r="TRS65" s="447"/>
      <c r="TRT65" s="447"/>
      <c r="TRU65" s="447"/>
      <c r="TRV65" s="447"/>
      <c r="TRW65" s="447"/>
      <c r="TRX65" s="447"/>
      <c r="TRY65" s="447"/>
      <c r="TRZ65" s="447"/>
      <c r="TSA65" s="447"/>
      <c r="TSB65" s="447"/>
      <c r="TSC65" s="447"/>
      <c r="TSD65" s="447"/>
      <c r="TSE65" s="447"/>
      <c r="TSF65" s="447"/>
      <c r="TSG65" s="447"/>
      <c r="TSH65" s="447"/>
      <c r="TSI65" s="447"/>
      <c r="TSJ65" s="447"/>
      <c r="TSK65" s="447"/>
      <c r="TSL65" s="447"/>
      <c r="TSM65" s="447"/>
      <c r="TSN65" s="447"/>
      <c r="TSO65" s="447"/>
      <c r="TSP65" s="447"/>
      <c r="TSQ65" s="447"/>
      <c r="TSR65" s="447"/>
      <c r="TSS65" s="447"/>
      <c r="TST65" s="447"/>
      <c r="TSU65" s="447"/>
      <c r="TSV65" s="447"/>
      <c r="TSW65" s="447"/>
      <c r="TSX65" s="447"/>
      <c r="TSY65" s="447"/>
      <c r="TSZ65" s="447"/>
      <c r="TTA65" s="447"/>
      <c r="TTB65" s="447"/>
      <c r="TTC65" s="447"/>
      <c r="TTD65" s="447"/>
      <c r="TTE65" s="447"/>
      <c r="TTF65" s="447"/>
      <c r="TTG65" s="447"/>
      <c r="TTH65" s="447"/>
      <c r="TTI65" s="447"/>
      <c r="TTJ65" s="447"/>
      <c r="TTK65" s="447"/>
      <c r="TTL65" s="447"/>
      <c r="TTM65" s="447"/>
      <c r="TTN65" s="447"/>
      <c r="TTO65" s="447"/>
      <c r="TTP65" s="447"/>
      <c r="TTQ65" s="447"/>
      <c r="TTR65" s="447"/>
      <c r="TTS65" s="447"/>
      <c r="TTT65" s="447"/>
      <c r="TTU65" s="447"/>
      <c r="TTV65" s="447"/>
      <c r="TTW65" s="447"/>
      <c r="TTX65" s="447"/>
      <c r="TTY65" s="447"/>
      <c r="TTZ65" s="447"/>
      <c r="TUA65" s="447"/>
      <c r="TUB65" s="447"/>
      <c r="TUC65" s="447"/>
      <c r="TUD65" s="447"/>
      <c r="TUE65" s="447"/>
      <c r="TUF65" s="447"/>
      <c r="TUG65" s="447"/>
      <c r="TUH65" s="447"/>
      <c r="TUI65" s="447"/>
      <c r="TUJ65" s="447"/>
      <c r="TUK65" s="447"/>
      <c r="TUL65" s="447"/>
      <c r="TUM65" s="447"/>
      <c r="TUN65" s="447"/>
      <c r="TUO65" s="447"/>
      <c r="TUP65" s="447"/>
      <c r="TUQ65" s="447"/>
      <c r="TUR65" s="447"/>
      <c r="TUS65" s="447"/>
      <c r="TUT65" s="447"/>
      <c r="TUU65" s="447"/>
      <c r="TUV65" s="447"/>
      <c r="TUW65" s="447"/>
      <c r="TUX65" s="447"/>
      <c r="TUY65" s="447"/>
      <c r="TUZ65" s="447"/>
      <c r="TVA65" s="447"/>
      <c r="TVB65" s="447"/>
      <c r="TVC65" s="447"/>
      <c r="TVD65" s="447"/>
      <c r="TVE65" s="447"/>
      <c r="TVF65" s="447"/>
      <c r="TVG65" s="447"/>
      <c r="TVH65" s="447"/>
      <c r="TVI65" s="447"/>
      <c r="TVJ65" s="447"/>
      <c r="TVK65" s="447"/>
      <c r="TVL65" s="447"/>
      <c r="TVM65" s="447"/>
      <c r="TVN65" s="447"/>
      <c r="TVO65" s="447"/>
      <c r="TVP65" s="447"/>
      <c r="TVQ65" s="447"/>
      <c r="TVR65" s="447"/>
      <c r="TVS65" s="447"/>
      <c r="TVT65" s="447"/>
      <c r="TVU65" s="447"/>
      <c r="TVV65" s="447"/>
      <c r="TVW65" s="447"/>
      <c r="TVX65" s="447"/>
      <c r="TVY65" s="447"/>
      <c r="TVZ65" s="447"/>
      <c r="TWA65" s="447"/>
      <c r="TWB65" s="447"/>
      <c r="TWC65" s="447"/>
      <c r="TWD65" s="447"/>
      <c r="TWE65" s="447"/>
      <c r="TWF65" s="447"/>
      <c r="TWG65" s="447"/>
      <c r="TWH65" s="447"/>
      <c r="TWI65" s="447"/>
      <c r="TWJ65" s="447"/>
      <c r="TWK65" s="447"/>
      <c r="TWL65" s="447"/>
      <c r="TWM65" s="447"/>
      <c r="TWN65" s="447"/>
      <c r="TWO65" s="447"/>
      <c r="TWP65" s="447"/>
      <c r="TWQ65" s="447"/>
      <c r="TWR65" s="447"/>
      <c r="TWS65" s="447"/>
      <c r="TWT65" s="447"/>
      <c r="TWU65" s="447"/>
      <c r="TWV65" s="447"/>
      <c r="TWW65" s="447"/>
      <c r="TWX65" s="447"/>
      <c r="TWY65" s="447"/>
      <c r="TWZ65" s="447"/>
      <c r="TXA65" s="447"/>
      <c r="TXB65" s="447"/>
      <c r="TXC65" s="447"/>
      <c r="TXD65" s="447"/>
      <c r="TXE65" s="447"/>
      <c r="TXF65" s="447"/>
      <c r="TXG65" s="447"/>
      <c r="TXH65" s="447"/>
      <c r="TXI65" s="447"/>
      <c r="TXJ65" s="447"/>
      <c r="TXK65" s="447"/>
      <c r="TXL65" s="447"/>
      <c r="TXM65" s="447"/>
      <c r="TXN65" s="447"/>
      <c r="TXO65" s="447"/>
      <c r="TXP65" s="447"/>
      <c r="TXQ65" s="447"/>
      <c r="TXR65" s="447"/>
      <c r="TXS65" s="447"/>
      <c r="TXT65" s="447"/>
      <c r="TXU65" s="447"/>
      <c r="TXV65" s="447"/>
      <c r="TXW65" s="447"/>
      <c r="TXX65" s="447"/>
      <c r="TXY65" s="447"/>
      <c r="TXZ65" s="447"/>
      <c r="TYA65" s="447"/>
      <c r="TYB65" s="447"/>
      <c r="TYC65" s="447"/>
      <c r="TYD65" s="447"/>
      <c r="TYE65" s="447"/>
      <c r="TYF65" s="447"/>
      <c r="TYG65" s="447"/>
      <c r="TYH65" s="447"/>
      <c r="TYI65" s="447"/>
      <c r="TYJ65" s="447"/>
      <c r="TYK65" s="447"/>
      <c r="TYL65" s="447"/>
      <c r="TYM65" s="447"/>
      <c r="TYN65" s="447"/>
      <c r="TYO65" s="447"/>
      <c r="TYP65" s="447"/>
      <c r="TYQ65" s="447"/>
      <c r="TYR65" s="447"/>
      <c r="TYS65" s="447"/>
      <c r="TYT65" s="447"/>
      <c r="TYU65" s="447"/>
      <c r="TYV65" s="447"/>
      <c r="TYW65" s="447"/>
      <c r="TYX65" s="447"/>
      <c r="TYY65" s="447"/>
      <c r="TYZ65" s="447"/>
      <c r="TZA65" s="447"/>
      <c r="TZB65" s="447"/>
      <c r="TZC65" s="447"/>
      <c r="TZD65" s="447"/>
      <c r="TZE65" s="447"/>
      <c r="TZF65" s="447"/>
      <c r="TZG65" s="447"/>
      <c r="TZH65" s="447"/>
      <c r="TZI65" s="447"/>
      <c r="TZJ65" s="447"/>
      <c r="TZK65" s="447"/>
      <c r="TZL65" s="447"/>
      <c r="TZM65" s="447"/>
      <c r="TZN65" s="447"/>
      <c r="TZO65" s="447"/>
      <c r="TZP65" s="447"/>
      <c r="TZQ65" s="447"/>
      <c r="TZR65" s="447"/>
      <c r="TZS65" s="447"/>
      <c r="TZT65" s="447"/>
      <c r="TZU65" s="447"/>
      <c r="TZV65" s="447"/>
      <c r="TZW65" s="447"/>
      <c r="TZX65" s="447"/>
      <c r="TZY65" s="447"/>
      <c r="TZZ65" s="447"/>
      <c r="UAA65" s="447"/>
      <c r="UAB65" s="447"/>
      <c r="UAC65" s="447"/>
      <c r="UAD65" s="447"/>
      <c r="UAE65" s="447"/>
      <c r="UAF65" s="447"/>
      <c r="UAG65" s="447"/>
      <c r="UAH65" s="447"/>
      <c r="UAI65" s="447"/>
      <c r="UAJ65" s="447"/>
      <c r="UAK65" s="447"/>
      <c r="UAL65" s="447"/>
      <c r="UAM65" s="447"/>
      <c r="UAN65" s="447"/>
      <c r="UAO65" s="447"/>
      <c r="UAP65" s="447"/>
      <c r="UAQ65" s="447"/>
      <c r="UAR65" s="447"/>
      <c r="UAS65" s="447"/>
      <c r="UAT65" s="447"/>
      <c r="UAU65" s="447"/>
      <c r="UAV65" s="447"/>
      <c r="UAW65" s="447"/>
      <c r="UAX65" s="447"/>
      <c r="UAY65" s="447"/>
      <c r="UAZ65" s="447"/>
      <c r="UBA65" s="447"/>
      <c r="UBB65" s="447"/>
      <c r="UBC65" s="447"/>
      <c r="UBD65" s="447"/>
      <c r="UBE65" s="447"/>
      <c r="UBF65" s="447"/>
      <c r="UBG65" s="447"/>
      <c r="UBH65" s="447"/>
      <c r="UBI65" s="447"/>
      <c r="UBJ65" s="447"/>
      <c r="UBK65" s="447"/>
      <c r="UBL65" s="447"/>
      <c r="UBM65" s="447"/>
      <c r="UBN65" s="447"/>
      <c r="UBO65" s="447"/>
      <c r="UBP65" s="447"/>
      <c r="UBQ65" s="447"/>
      <c r="UBR65" s="447"/>
      <c r="UBS65" s="447"/>
      <c r="UBT65" s="447"/>
      <c r="UBU65" s="447"/>
      <c r="UBV65" s="447"/>
      <c r="UBW65" s="447"/>
      <c r="UBX65" s="447"/>
      <c r="UBY65" s="447"/>
      <c r="UBZ65" s="447"/>
      <c r="UCA65" s="447"/>
      <c r="UCB65" s="447"/>
      <c r="UCC65" s="447"/>
      <c r="UCD65" s="447"/>
      <c r="UCE65" s="447"/>
      <c r="UCF65" s="447"/>
      <c r="UCG65" s="447"/>
      <c r="UCH65" s="447"/>
      <c r="UCI65" s="447"/>
      <c r="UCJ65" s="447"/>
      <c r="UCK65" s="447"/>
      <c r="UCL65" s="447"/>
      <c r="UCM65" s="447"/>
      <c r="UCN65" s="447"/>
      <c r="UCO65" s="447"/>
      <c r="UCP65" s="447"/>
      <c r="UCQ65" s="447"/>
      <c r="UCR65" s="447"/>
      <c r="UCS65" s="447"/>
      <c r="UCT65" s="447"/>
      <c r="UCU65" s="447"/>
      <c r="UCV65" s="447"/>
      <c r="UCW65" s="447"/>
      <c r="UCX65" s="447"/>
      <c r="UCY65" s="447"/>
      <c r="UCZ65" s="447"/>
      <c r="UDA65" s="447"/>
      <c r="UDB65" s="447"/>
      <c r="UDC65" s="447"/>
      <c r="UDD65" s="447"/>
      <c r="UDE65" s="447"/>
      <c r="UDF65" s="447"/>
      <c r="UDG65" s="447"/>
      <c r="UDH65" s="447"/>
      <c r="UDI65" s="447"/>
      <c r="UDJ65" s="447"/>
      <c r="UDK65" s="447"/>
      <c r="UDL65" s="447"/>
      <c r="UDM65" s="447"/>
      <c r="UDN65" s="447"/>
      <c r="UDO65" s="447"/>
      <c r="UDP65" s="447"/>
      <c r="UDQ65" s="447"/>
      <c r="UDR65" s="447"/>
      <c r="UDS65" s="447"/>
      <c r="UDT65" s="447"/>
      <c r="UDU65" s="447"/>
      <c r="UDV65" s="447"/>
      <c r="UDW65" s="447"/>
      <c r="UDX65" s="447"/>
      <c r="UDY65" s="447"/>
      <c r="UDZ65" s="447"/>
      <c r="UEA65" s="447"/>
      <c r="UEB65" s="447"/>
      <c r="UEC65" s="447"/>
      <c r="UED65" s="447"/>
      <c r="UEE65" s="447"/>
      <c r="UEF65" s="447"/>
      <c r="UEG65" s="447"/>
      <c r="UEH65" s="447"/>
      <c r="UEI65" s="447"/>
      <c r="UEJ65" s="447"/>
      <c r="UEK65" s="447"/>
      <c r="UEL65" s="447"/>
      <c r="UEM65" s="447"/>
      <c r="UEN65" s="447"/>
      <c r="UEO65" s="447"/>
      <c r="UEP65" s="447"/>
      <c r="UEQ65" s="447"/>
      <c r="UER65" s="447"/>
      <c r="UES65" s="447"/>
      <c r="UET65" s="447"/>
      <c r="UEU65" s="447"/>
      <c r="UEV65" s="447"/>
      <c r="UEW65" s="447"/>
      <c r="UEX65" s="447"/>
      <c r="UEY65" s="447"/>
      <c r="UEZ65" s="447"/>
      <c r="UFA65" s="447"/>
      <c r="UFB65" s="447"/>
      <c r="UFC65" s="447"/>
      <c r="UFD65" s="447"/>
      <c r="UFE65" s="447"/>
      <c r="UFF65" s="447"/>
      <c r="UFG65" s="447"/>
      <c r="UFH65" s="447"/>
      <c r="UFI65" s="447"/>
      <c r="UFJ65" s="447"/>
      <c r="UFK65" s="447"/>
      <c r="UFL65" s="447"/>
      <c r="UFM65" s="447"/>
      <c r="UFN65" s="447"/>
      <c r="UFO65" s="447"/>
      <c r="UFP65" s="447"/>
      <c r="UFQ65" s="447"/>
      <c r="UFR65" s="447"/>
      <c r="UFS65" s="447"/>
      <c r="UFT65" s="447"/>
      <c r="UFU65" s="447"/>
      <c r="UFV65" s="447"/>
      <c r="UFW65" s="447"/>
      <c r="UFX65" s="447"/>
      <c r="UFY65" s="447"/>
      <c r="UFZ65" s="447"/>
      <c r="UGA65" s="447"/>
      <c r="UGB65" s="447"/>
      <c r="UGC65" s="447"/>
      <c r="UGD65" s="447"/>
      <c r="UGE65" s="447"/>
      <c r="UGF65" s="447"/>
      <c r="UGG65" s="447"/>
      <c r="UGH65" s="447"/>
      <c r="UGI65" s="447"/>
      <c r="UGJ65" s="447"/>
      <c r="UGK65" s="447"/>
      <c r="UGL65" s="447"/>
      <c r="UGM65" s="447"/>
      <c r="UGN65" s="447"/>
      <c r="UGO65" s="447"/>
      <c r="UGP65" s="447"/>
      <c r="UGQ65" s="447"/>
      <c r="UGR65" s="447"/>
      <c r="UGS65" s="447"/>
      <c r="UGT65" s="447"/>
      <c r="UGU65" s="447"/>
      <c r="UGV65" s="447"/>
      <c r="UGW65" s="447"/>
      <c r="UGX65" s="447"/>
      <c r="UGY65" s="447"/>
      <c r="UGZ65" s="447"/>
      <c r="UHA65" s="447"/>
      <c r="UHB65" s="447"/>
      <c r="UHC65" s="447"/>
      <c r="UHD65" s="447"/>
      <c r="UHE65" s="447"/>
      <c r="UHF65" s="447"/>
      <c r="UHG65" s="447"/>
      <c r="UHH65" s="447"/>
      <c r="UHI65" s="447"/>
      <c r="UHJ65" s="447"/>
      <c r="UHK65" s="447"/>
      <c r="UHL65" s="447"/>
      <c r="UHM65" s="447"/>
      <c r="UHN65" s="447"/>
      <c r="UHO65" s="447"/>
      <c r="UHP65" s="447"/>
      <c r="UHQ65" s="447"/>
      <c r="UHR65" s="447"/>
      <c r="UHS65" s="447"/>
      <c r="UHT65" s="447"/>
      <c r="UHU65" s="447"/>
      <c r="UHV65" s="447"/>
      <c r="UHW65" s="447"/>
      <c r="UHX65" s="447"/>
      <c r="UHY65" s="447"/>
      <c r="UHZ65" s="447"/>
      <c r="UIA65" s="447"/>
      <c r="UIB65" s="447"/>
      <c r="UIC65" s="447"/>
      <c r="UID65" s="447"/>
      <c r="UIE65" s="447"/>
      <c r="UIF65" s="447"/>
      <c r="UIG65" s="447"/>
      <c r="UIH65" s="447"/>
      <c r="UII65" s="447"/>
      <c r="UIJ65" s="447"/>
      <c r="UIK65" s="447"/>
      <c r="UIL65" s="447"/>
      <c r="UIM65" s="447"/>
      <c r="UIN65" s="447"/>
      <c r="UIO65" s="447"/>
      <c r="UIP65" s="447"/>
      <c r="UIQ65" s="447"/>
      <c r="UIR65" s="447"/>
      <c r="UIS65" s="447"/>
      <c r="UIT65" s="447"/>
      <c r="UIU65" s="447"/>
      <c r="UIV65" s="447"/>
      <c r="UIW65" s="447"/>
      <c r="UIX65" s="447"/>
      <c r="UIY65" s="447"/>
      <c r="UIZ65" s="447"/>
      <c r="UJA65" s="447"/>
      <c r="UJB65" s="447"/>
      <c r="UJC65" s="447"/>
      <c r="UJD65" s="447"/>
      <c r="UJE65" s="447"/>
      <c r="UJF65" s="447"/>
      <c r="UJG65" s="447"/>
      <c r="UJH65" s="447"/>
      <c r="UJI65" s="447"/>
      <c r="UJJ65" s="447"/>
      <c r="UJK65" s="447"/>
      <c r="UJL65" s="447"/>
      <c r="UJM65" s="447"/>
      <c r="UJN65" s="447"/>
      <c r="UJO65" s="447"/>
      <c r="UJP65" s="447"/>
      <c r="UJQ65" s="447"/>
      <c r="UJR65" s="447"/>
      <c r="UJS65" s="447"/>
      <c r="UJT65" s="447"/>
      <c r="UJU65" s="447"/>
      <c r="UJV65" s="447"/>
      <c r="UJW65" s="447"/>
      <c r="UJX65" s="447"/>
      <c r="UJY65" s="447"/>
      <c r="UJZ65" s="447"/>
      <c r="UKA65" s="447"/>
      <c r="UKB65" s="447"/>
      <c r="UKC65" s="447"/>
      <c r="UKD65" s="447"/>
      <c r="UKE65" s="447"/>
      <c r="UKF65" s="447"/>
      <c r="UKG65" s="447"/>
      <c r="UKH65" s="447"/>
      <c r="UKI65" s="447"/>
      <c r="UKJ65" s="447"/>
      <c r="UKK65" s="447"/>
      <c r="UKL65" s="447"/>
      <c r="UKM65" s="447"/>
      <c r="UKN65" s="447"/>
      <c r="UKO65" s="447"/>
      <c r="UKP65" s="447"/>
      <c r="UKQ65" s="447"/>
      <c r="UKR65" s="447"/>
      <c r="UKS65" s="447"/>
      <c r="UKT65" s="447"/>
      <c r="UKU65" s="447"/>
      <c r="UKV65" s="447"/>
      <c r="UKW65" s="447"/>
      <c r="UKX65" s="447"/>
      <c r="UKY65" s="447"/>
      <c r="UKZ65" s="447"/>
      <c r="ULA65" s="447"/>
      <c r="ULB65" s="447"/>
      <c r="ULC65" s="447"/>
      <c r="ULD65" s="447"/>
      <c r="ULE65" s="447"/>
      <c r="ULF65" s="447"/>
      <c r="ULG65" s="447"/>
      <c r="ULH65" s="447"/>
      <c r="ULI65" s="447"/>
      <c r="ULJ65" s="447"/>
      <c r="ULK65" s="447"/>
      <c r="ULL65" s="447"/>
      <c r="ULM65" s="447"/>
      <c r="ULN65" s="447"/>
      <c r="ULO65" s="447"/>
      <c r="ULP65" s="447"/>
      <c r="ULQ65" s="447"/>
      <c r="ULR65" s="447"/>
      <c r="ULS65" s="447"/>
      <c r="ULT65" s="447"/>
      <c r="ULU65" s="447"/>
      <c r="ULV65" s="447"/>
      <c r="ULW65" s="447"/>
      <c r="ULX65" s="447"/>
      <c r="ULY65" s="447"/>
      <c r="ULZ65" s="447"/>
      <c r="UMA65" s="447"/>
      <c r="UMB65" s="447"/>
      <c r="UMC65" s="447"/>
      <c r="UMD65" s="447"/>
      <c r="UME65" s="447"/>
      <c r="UMF65" s="447"/>
      <c r="UMG65" s="447"/>
      <c r="UMH65" s="447"/>
      <c r="UMI65" s="447"/>
      <c r="UMJ65" s="447"/>
      <c r="UMK65" s="447"/>
      <c r="UML65" s="447"/>
      <c r="UMM65" s="447"/>
      <c r="UMN65" s="447"/>
      <c r="UMO65" s="447"/>
      <c r="UMP65" s="447"/>
      <c r="UMQ65" s="447"/>
      <c r="UMR65" s="447"/>
      <c r="UMS65" s="447"/>
      <c r="UMT65" s="447"/>
      <c r="UMU65" s="447"/>
      <c r="UMV65" s="447"/>
      <c r="UMW65" s="447"/>
      <c r="UMX65" s="447"/>
      <c r="UMY65" s="447"/>
      <c r="UMZ65" s="447"/>
      <c r="UNA65" s="447"/>
      <c r="UNB65" s="447"/>
      <c r="UNC65" s="447"/>
      <c r="UND65" s="447"/>
      <c r="UNE65" s="447"/>
      <c r="UNF65" s="447"/>
      <c r="UNG65" s="447"/>
      <c r="UNH65" s="447"/>
      <c r="UNI65" s="447"/>
      <c r="UNJ65" s="447"/>
      <c r="UNK65" s="447"/>
      <c r="UNL65" s="447"/>
      <c r="UNM65" s="447"/>
      <c r="UNN65" s="447"/>
      <c r="UNO65" s="447"/>
      <c r="UNP65" s="447"/>
      <c r="UNQ65" s="447"/>
      <c r="UNR65" s="447"/>
      <c r="UNS65" s="447"/>
      <c r="UNT65" s="447"/>
      <c r="UNU65" s="447"/>
      <c r="UNV65" s="447"/>
      <c r="UNW65" s="447"/>
      <c r="UNX65" s="447"/>
      <c r="UNY65" s="447"/>
      <c r="UNZ65" s="447"/>
      <c r="UOA65" s="447"/>
      <c r="UOB65" s="447"/>
      <c r="UOC65" s="447"/>
      <c r="UOD65" s="447"/>
      <c r="UOE65" s="447"/>
      <c r="UOF65" s="447"/>
      <c r="UOG65" s="447"/>
      <c r="UOH65" s="447"/>
      <c r="UOI65" s="447"/>
      <c r="UOJ65" s="447"/>
      <c r="UOK65" s="447"/>
      <c r="UOL65" s="447"/>
      <c r="UOM65" s="447"/>
      <c r="UON65" s="447"/>
      <c r="UOO65" s="447"/>
      <c r="UOP65" s="447"/>
      <c r="UOQ65" s="447"/>
      <c r="UOR65" s="447"/>
      <c r="UOS65" s="447"/>
      <c r="UOT65" s="447"/>
      <c r="UOU65" s="447"/>
      <c r="UOV65" s="447"/>
      <c r="UOW65" s="447"/>
      <c r="UOX65" s="447"/>
      <c r="UOY65" s="447"/>
      <c r="UOZ65" s="447"/>
      <c r="UPA65" s="447"/>
      <c r="UPB65" s="447"/>
      <c r="UPC65" s="447"/>
      <c r="UPD65" s="447"/>
      <c r="UPE65" s="447"/>
      <c r="UPF65" s="447"/>
      <c r="UPG65" s="447"/>
      <c r="UPH65" s="447"/>
      <c r="UPI65" s="447"/>
      <c r="UPJ65" s="447"/>
      <c r="UPK65" s="447"/>
      <c r="UPL65" s="447"/>
      <c r="UPM65" s="447"/>
      <c r="UPN65" s="447"/>
      <c r="UPO65" s="447"/>
      <c r="UPP65" s="447"/>
      <c r="UPQ65" s="447"/>
      <c r="UPR65" s="447"/>
      <c r="UPS65" s="447"/>
      <c r="UPT65" s="447"/>
      <c r="UPU65" s="447"/>
      <c r="UPV65" s="447"/>
      <c r="UPW65" s="447"/>
      <c r="UPX65" s="447"/>
      <c r="UPY65" s="447"/>
      <c r="UPZ65" s="447"/>
      <c r="UQA65" s="447"/>
      <c r="UQB65" s="447"/>
      <c r="UQC65" s="447"/>
      <c r="UQD65" s="447"/>
      <c r="UQE65" s="447"/>
      <c r="UQF65" s="447"/>
      <c r="UQG65" s="447"/>
      <c r="UQH65" s="447"/>
      <c r="UQI65" s="447"/>
      <c r="UQJ65" s="447"/>
      <c r="UQK65" s="447"/>
      <c r="UQL65" s="447"/>
      <c r="UQM65" s="447"/>
      <c r="UQN65" s="447"/>
      <c r="UQO65" s="447"/>
      <c r="UQP65" s="447"/>
      <c r="UQQ65" s="447"/>
      <c r="UQR65" s="447"/>
      <c r="UQS65" s="447"/>
      <c r="UQT65" s="447"/>
      <c r="UQU65" s="447"/>
      <c r="UQV65" s="447"/>
      <c r="UQW65" s="447"/>
      <c r="UQX65" s="447"/>
      <c r="UQY65" s="447"/>
      <c r="UQZ65" s="447"/>
      <c r="URA65" s="447"/>
      <c r="URB65" s="447"/>
      <c r="URC65" s="447"/>
      <c r="URD65" s="447"/>
      <c r="URE65" s="447"/>
      <c r="URF65" s="447"/>
      <c r="URG65" s="447"/>
      <c r="URH65" s="447"/>
      <c r="URI65" s="447"/>
      <c r="URJ65" s="447"/>
      <c r="URK65" s="447"/>
      <c r="URL65" s="447"/>
      <c r="URM65" s="447"/>
      <c r="URN65" s="447"/>
      <c r="URO65" s="447"/>
      <c r="URP65" s="447"/>
      <c r="URQ65" s="447"/>
      <c r="URR65" s="447"/>
      <c r="URS65" s="447"/>
      <c r="URT65" s="447"/>
      <c r="URU65" s="447"/>
      <c r="URV65" s="447"/>
      <c r="URW65" s="447"/>
      <c r="URX65" s="447"/>
      <c r="URY65" s="447"/>
      <c r="URZ65" s="447"/>
      <c r="USA65" s="447"/>
      <c r="USB65" s="447"/>
      <c r="USC65" s="447"/>
      <c r="USD65" s="447"/>
      <c r="USE65" s="447"/>
      <c r="USF65" s="447"/>
      <c r="USG65" s="447"/>
      <c r="USH65" s="447"/>
      <c r="USI65" s="447"/>
      <c r="USJ65" s="447"/>
      <c r="USK65" s="447"/>
      <c r="USL65" s="447"/>
      <c r="USM65" s="447"/>
      <c r="USN65" s="447"/>
      <c r="USO65" s="447"/>
      <c r="USP65" s="447"/>
      <c r="USQ65" s="447"/>
      <c r="USR65" s="447"/>
      <c r="USS65" s="447"/>
      <c r="UST65" s="447"/>
      <c r="USU65" s="447"/>
      <c r="USV65" s="447"/>
      <c r="USW65" s="447"/>
      <c r="USX65" s="447"/>
      <c r="USY65" s="447"/>
      <c r="USZ65" s="447"/>
      <c r="UTA65" s="447"/>
      <c r="UTB65" s="447"/>
      <c r="UTC65" s="447"/>
      <c r="UTD65" s="447"/>
      <c r="UTE65" s="447"/>
      <c r="UTF65" s="447"/>
      <c r="UTG65" s="447"/>
      <c r="UTH65" s="447"/>
      <c r="UTI65" s="447"/>
      <c r="UTJ65" s="447"/>
      <c r="UTK65" s="447"/>
      <c r="UTL65" s="447"/>
      <c r="UTM65" s="447"/>
      <c r="UTN65" s="447"/>
      <c r="UTO65" s="447"/>
      <c r="UTP65" s="447"/>
      <c r="UTQ65" s="447"/>
      <c r="UTR65" s="447"/>
      <c r="UTS65" s="447"/>
      <c r="UTT65" s="447"/>
      <c r="UTU65" s="447"/>
      <c r="UTV65" s="447"/>
      <c r="UTW65" s="447"/>
      <c r="UTX65" s="447"/>
      <c r="UTY65" s="447"/>
      <c r="UTZ65" s="447"/>
      <c r="UUA65" s="447"/>
      <c r="UUB65" s="447"/>
      <c r="UUC65" s="447"/>
      <c r="UUD65" s="447"/>
      <c r="UUE65" s="447"/>
      <c r="UUF65" s="447"/>
      <c r="UUG65" s="447"/>
      <c r="UUH65" s="447"/>
      <c r="UUI65" s="447"/>
      <c r="UUJ65" s="447"/>
      <c r="UUK65" s="447"/>
      <c r="UUL65" s="447"/>
      <c r="UUM65" s="447"/>
      <c r="UUN65" s="447"/>
      <c r="UUO65" s="447"/>
      <c r="UUP65" s="447"/>
      <c r="UUQ65" s="447"/>
      <c r="UUR65" s="447"/>
      <c r="UUS65" s="447"/>
      <c r="UUT65" s="447"/>
      <c r="UUU65" s="447"/>
      <c r="UUV65" s="447"/>
      <c r="UUW65" s="447"/>
      <c r="UUX65" s="447"/>
      <c r="UUY65" s="447"/>
      <c r="UUZ65" s="447"/>
      <c r="UVA65" s="447"/>
      <c r="UVB65" s="447"/>
      <c r="UVC65" s="447"/>
      <c r="UVD65" s="447"/>
      <c r="UVE65" s="447"/>
      <c r="UVF65" s="447"/>
      <c r="UVG65" s="447"/>
      <c r="UVH65" s="447"/>
      <c r="UVI65" s="447"/>
      <c r="UVJ65" s="447"/>
      <c r="UVK65" s="447"/>
      <c r="UVL65" s="447"/>
      <c r="UVM65" s="447"/>
      <c r="UVN65" s="447"/>
      <c r="UVO65" s="447"/>
      <c r="UVP65" s="447"/>
      <c r="UVQ65" s="447"/>
      <c r="UVR65" s="447"/>
      <c r="UVS65" s="447"/>
      <c r="UVT65" s="447"/>
      <c r="UVU65" s="447"/>
      <c r="UVV65" s="447"/>
      <c r="UVW65" s="447"/>
      <c r="UVX65" s="447"/>
      <c r="UVY65" s="447"/>
      <c r="UVZ65" s="447"/>
      <c r="UWA65" s="447"/>
      <c r="UWB65" s="447"/>
      <c r="UWC65" s="447"/>
      <c r="UWD65" s="447"/>
      <c r="UWE65" s="447"/>
      <c r="UWF65" s="447"/>
      <c r="UWG65" s="447"/>
      <c r="UWH65" s="447"/>
      <c r="UWI65" s="447"/>
      <c r="UWJ65" s="447"/>
      <c r="UWK65" s="447"/>
      <c r="UWL65" s="447"/>
      <c r="UWM65" s="447"/>
      <c r="UWN65" s="447"/>
      <c r="UWO65" s="447"/>
      <c r="UWP65" s="447"/>
      <c r="UWQ65" s="447"/>
      <c r="UWR65" s="447"/>
      <c r="UWS65" s="447"/>
      <c r="UWT65" s="447"/>
      <c r="UWU65" s="447"/>
      <c r="UWV65" s="447"/>
      <c r="UWW65" s="447"/>
      <c r="UWX65" s="447"/>
      <c r="UWY65" s="447"/>
      <c r="UWZ65" s="447"/>
      <c r="UXA65" s="447"/>
      <c r="UXB65" s="447"/>
      <c r="UXC65" s="447"/>
      <c r="UXD65" s="447"/>
      <c r="UXE65" s="447"/>
      <c r="UXF65" s="447"/>
      <c r="UXG65" s="447"/>
      <c r="UXH65" s="447"/>
      <c r="UXI65" s="447"/>
      <c r="UXJ65" s="447"/>
      <c r="UXK65" s="447"/>
      <c r="UXL65" s="447"/>
      <c r="UXM65" s="447"/>
      <c r="UXN65" s="447"/>
      <c r="UXO65" s="447"/>
      <c r="UXP65" s="447"/>
      <c r="UXQ65" s="447"/>
      <c r="UXR65" s="447"/>
      <c r="UXS65" s="447"/>
      <c r="UXT65" s="447"/>
      <c r="UXU65" s="447"/>
      <c r="UXV65" s="447"/>
      <c r="UXW65" s="447"/>
      <c r="UXX65" s="447"/>
      <c r="UXY65" s="447"/>
      <c r="UXZ65" s="447"/>
      <c r="UYA65" s="447"/>
      <c r="UYB65" s="447"/>
      <c r="UYC65" s="447"/>
      <c r="UYD65" s="447"/>
      <c r="UYE65" s="447"/>
      <c r="UYF65" s="447"/>
      <c r="UYG65" s="447"/>
      <c r="UYH65" s="447"/>
      <c r="UYI65" s="447"/>
      <c r="UYJ65" s="447"/>
      <c r="UYK65" s="447"/>
      <c r="UYL65" s="447"/>
      <c r="UYM65" s="447"/>
      <c r="UYN65" s="447"/>
      <c r="UYO65" s="447"/>
      <c r="UYP65" s="447"/>
      <c r="UYQ65" s="447"/>
      <c r="UYR65" s="447"/>
      <c r="UYS65" s="447"/>
      <c r="UYT65" s="447"/>
      <c r="UYU65" s="447"/>
      <c r="UYV65" s="447"/>
      <c r="UYW65" s="447"/>
      <c r="UYX65" s="447"/>
      <c r="UYY65" s="447"/>
      <c r="UYZ65" s="447"/>
      <c r="UZA65" s="447"/>
      <c r="UZB65" s="447"/>
      <c r="UZC65" s="447"/>
      <c r="UZD65" s="447"/>
      <c r="UZE65" s="447"/>
      <c r="UZF65" s="447"/>
      <c r="UZG65" s="447"/>
      <c r="UZH65" s="447"/>
      <c r="UZI65" s="447"/>
      <c r="UZJ65" s="447"/>
      <c r="UZK65" s="447"/>
      <c r="UZL65" s="447"/>
      <c r="UZM65" s="447"/>
      <c r="UZN65" s="447"/>
      <c r="UZO65" s="447"/>
      <c r="UZP65" s="447"/>
      <c r="UZQ65" s="447"/>
      <c r="UZR65" s="447"/>
      <c r="UZS65" s="447"/>
      <c r="UZT65" s="447"/>
      <c r="UZU65" s="447"/>
      <c r="UZV65" s="447"/>
      <c r="UZW65" s="447"/>
      <c r="UZX65" s="447"/>
      <c r="UZY65" s="447"/>
      <c r="UZZ65" s="447"/>
      <c r="VAA65" s="447"/>
      <c r="VAB65" s="447"/>
      <c r="VAC65" s="447"/>
      <c r="VAD65" s="447"/>
      <c r="VAE65" s="447"/>
      <c r="VAF65" s="447"/>
      <c r="VAG65" s="447"/>
      <c r="VAH65" s="447"/>
      <c r="VAI65" s="447"/>
      <c r="VAJ65" s="447"/>
      <c r="VAK65" s="447"/>
      <c r="VAL65" s="447"/>
      <c r="VAM65" s="447"/>
      <c r="VAN65" s="447"/>
      <c r="VAO65" s="447"/>
      <c r="VAP65" s="447"/>
      <c r="VAQ65" s="447"/>
      <c r="VAR65" s="447"/>
      <c r="VAS65" s="447"/>
      <c r="VAT65" s="447"/>
      <c r="VAU65" s="447"/>
      <c r="VAV65" s="447"/>
      <c r="VAW65" s="447"/>
      <c r="VAX65" s="447"/>
      <c r="VAY65" s="447"/>
      <c r="VAZ65" s="447"/>
      <c r="VBA65" s="447"/>
      <c r="VBB65" s="447"/>
      <c r="VBC65" s="447"/>
      <c r="VBD65" s="447"/>
      <c r="VBE65" s="447"/>
      <c r="VBF65" s="447"/>
      <c r="VBG65" s="447"/>
      <c r="VBH65" s="447"/>
      <c r="VBI65" s="447"/>
      <c r="VBJ65" s="447"/>
      <c r="VBK65" s="447"/>
      <c r="VBL65" s="447"/>
      <c r="VBM65" s="447"/>
      <c r="VBN65" s="447"/>
      <c r="VBO65" s="447"/>
      <c r="VBP65" s="447"/>
      <c r="VBQ65" s="447"/>
      <c r="VBR65" s="447"/>
      <c r="VBS65" s="447"/>
      <c r="VBT65" s="447"/>
      <c r="VBU65" s="447"/>
      <c r="VBV65" s="447"/>
      <c r="VBW65" s="447"/>
      <c r="VBX65" s="447"/>
      <c r="VBY65" s="447"/>
      <c r="VBZ65" s="447"/>
      <c r="VCA65" s="447"/>
      <c r="VCB65" s="447"/>
      <c r="VCC65" s="447"/>
      <c r="VCD65" s="447"/>
      <c r="VCE65" s="447"/>
      <c r="VCF65" s="447"/>
      <c r="VCG65" s="447"/>
      <c r="VCH65" s="447"/>
      <c r="VCI65" s="447"/>
      <c r="VCJ65" s="447"/>
      <c r="VCK65" s="447"/>
      <c r="VCL65" s="447"/>
      <c r="VCM65" s="447"/>
      <c r="VCN65" s="447"/>
      <c r="VCO65" s="447"/>
      <c r="VCP65" s="447"/>
      <c r="VCQ65" s="447"/>
      <c r="VCR65" s="447"/>
      <c r="VCS65" s="447"/>
      <c r="VCT65" s="447"/>
      <c r="VCU65" s="447"/>
      <c r="VCV65" s="447"/>
      <c r="VCW65" s="447"/>
      <c r="VCX65" s="447"/>
      <c r="VCY65" s="447"/>
      <c r="VCZ65" s="447"/>
      <c r="VDA65" s="447"/>
      <c r="VDB65" s="447"/>
      <c r="VDC65" s="447"/>
      <c r="VDD65" s="447"/>
      <c r="VDE65" s="447"/>
      <c r="VDF65" s="447"/>
      <c r="VDG65" s="447"/>
      <c r="VDH65" s="447"/>
      <c r="VDI65" s="447"/>
      <c r="VDJ65" s="447"/>
      <c r="VDK65" s="447"/>
      <c r="VDL65" s="447"/>
      <c r="VDM65" s="447"/>
      <c r="VDN65" s="447"/>
      <c r="VDO65" s="447"/>
      <c r="VDP65" s="447"/>
      <c r="VDQ65" s="447"/>
      <c r="VDR65" s="447"/>
      <c r="VDS65" s="447"/>
      <c r="VDT65" s="447"/>
      <c r="VDU65" s="447"/>
      <c r="VDV65" s="447"/>
      <c r="VDW65" s="447"/>
      <c r="VDX65" s="447"/>
      <c r="VDY65" s="447"/>
      <c r="VDZ65" s="447"/>
      <c r="VEA65" s="447"/>
      <c r="VEB65" s="447"/>
      <c r="VEC65" s="447"/>
      <c r="VED65" s="447"/>
      <c r="VEE65" s="447"/>
      <c r="VEF65" s="447"/>
      <c r="VEG65" s="447"/>
      <c r="VEH65" s="447"/>
      <c r="VEI65" s="447"/>
      <c r="VEJ65" s="447"/>
      <c r="VEK65" s="447"/>
      <c r="VEL65" s="447"/>
      <c r="VEM65" s="447"/>
      <c r="VEN65" s="447"/>
      <c r="VEO65" s="447"/>
      <c r="VEP65" s="447"/>
      <c r="VEQ65" s="447"/>
      <c r="VER65" s="447"/>
      <c r="VES65" s="447"/>
      <c r="VET65" s="447"/>
      <c r="VEU65" s="447"/>
      <c r="VEV65" s="447"/>
      <c r="VEW65" s="447"/>
      <c r="VEX65" s="447"/>
      <c r="VEY65" s="447"/>
      <c r="VEZ65" s="447"/>
      <c r="VFA65" s="447"/>
      <c r="VFB65" s="447"/>
      <c r="VFC65" s="447"/>
      <c r="VFD65" s="447"/>
      <c r="VFE65" s="447"/>
      <c r="VFF65" s="447"/>
      <c r="VFG65" s="447"/>
      <c r="VFH65" s="447"/>
      <c r="VFI65" s="447"/>
      <c r="VFJ65" s="447"/>
      <c r="VFK65" s="447"/>
      <c r="VFL65" s="447"/>
      <c r="VFM65" s="447"/>
      <c r="VFN65" s="447"/>
      <c r="VFO65" s="447"/>
      <c r="VFP65" s="447"/>
      <c r="VFQ65" s="447"/>
      <c r="VFR65" s="447"/>
      <c r="VFS65" s="447"/>
      <c r="VFT65" s="447"/>
      <c r="VFU65" s="447"/>
      <c r="VFV65" s="447"/>
      <c r="VFW65" s="447"/>
      <c r="VFX65" s="447"/>
      <c r="VFY65" s="447"/>
      <c r="VFZ65" s="447"/>
      <c r="VGA65" s="447"/>
      <c r="VGB65" s="447"/>
      <c r="VGC65" s="447"/>
      <c r="VGD65" s="447"/>
      <c r="VGE65" s="447"/>
      <c r="VGF65" s="447"/>
      <c r="VGG65" s="447"/>
      <c r="VGH65" s="447"/>
      <c r="VGI65" s="447"/>
      <c r="VGJ65" s="447"/>
      <c r="VGK65" s="447"/>
      <c r="VGL65" s="447"/>
      <c r="VGM65" s="447"/>
      <c r="VGN65" s="447"/>
      <c r="VGO65" s="447"/>
      <c r="VGP65" s="447"/>
      <c r="VGQ65" s="447"/>
      <c r="VGR65" s="447"/>
      <c r="VGS65" s="447"/>
      <c r="VGT65" s="447"/>
      <c r="VGU65" s="447"/>
      <c r="VGV65" s="447"/>
      <c r="VGW65" s="447"/>
      <c r="VGX65" s="447"/>
      <c r="VGY65" s="447"/>
      <c r="VGZ65" s="447"/>
      <c r="VHA65" s="447"/>
      <c r="VHB65" s="447"/>
      <c r="VHC65" s="447"/>
      <c r="VHD65" s="447"/>
      <c r="VHE65" s="447"/>
      <c r="VHF65" s="447"/>
      <c r="VHG65" s="447"/>
      <c r="VHH65" s="447"/>
      <c r="VHI65" s="447"/>
      <c r="VHJ65" s="447"/>
      <c r="VHK65" s="447"/>
      <c r="VHL65" s="447"/>
      <c r="VHM65" s="447"/>
      <c r="VHN65" s="447"/>
      <c r="VHO65" s="447"/>
      <c r="VHP65" s="447"/>
      <c r="VHQ65" s="447"/>
      <c r="VHR65" s="447"/>
      <c r="VHS65" s="447"/>
      <c r="VHT65" s="447"/>
      <c r="VHU65" s="447"/>
      <c r="VHV65" s="447"/>
      <c r="VHW65" s="447"/>
      <c r="VHX65" s="447"/>
      <c r="VHY65" s="447"/>
      <c r="VHZ65" s="447"/>
      <c r="VIA65" s="447"/>
      <c r="VIB65" s="447"/>
      <c r="VIC65" s="447"/>
      <c r="VID65" s="447"/>
      <c r="VIE65" s="447"/>
      <c r="VIF65" s="447"/>
      <c r="VIG65" s="447"/>
      <c r="VIH65" s="447"/>
      <c r="VII65" s="447"/>
      <c r="VIJ65" s="447"/>
      <c r="VIK65" s="447"/>
      <c r="VIL65" s="447"/>
      <c r="VIM65" s="447"/>
      <c r="VIN65" s="447"/>
      <c r="VIO65" s="447"/>
      <c r="VIP65" s="447"/>
      <c r="VIQ65" s="447"/>
      <c r="VIR65" s="447"/>
      <c r="VIS65" s="447"/>
      <c r="VIT65" s="447"/>
      <c r="VIU65" s="447"/>
      <c r="VIV65" s="447"/>
      <c r="VIW65" s="447"/>
      <c r="VIX65" s="447"/>
      <c r="VIY65" s="447"/>
      <c r="VIZ65" s="447"/>
      <c r="VJA65" s="447"/>
      <c r="VJB65" s="447"/>
      <c r="VJC65" s="447"/>
      <c r="VJD65" s="447"/>
      <c r="VJE65" s="447"/>
      <c r="VJF65" s="447"/>
      <c r="VJG65" s="447"/>
      <c r="VJH65" s="447"/>
      <c r="VJI65" s="447"/>
      <c r="VJJ65" s="447"/>
      <c r="VJK65" s="447"/>
      <c r="VJL65" s="447"/>
      <c r="VJM65" s="447"/>
      <c r="VJN65" s="447"/>
      <c r="VJO65" s="447"/>
      <c r="VJP65" s="447"/>
      <c r="VJQ65" s="447"/>
      <c r="VJR65" s="447"/>
      <c r="VJS65" s="447"/>
      <c r="VJT65" s="447"/>
      <c r="VJU65" s="447"/>
      <c r="VJV65" s="447"/>
      <c r="VJW65" s="447"/>
      <c r="VJX65" s="447"/>
      <c r="VJY65" s="447"/>
      <c r="VJZ65" s="447"/>
      <c r="VKA65" s="447"/>
      <c r="VKB65" s="447"/>
      <c r="VKC65" s="447"/>
      <c r="VKD65" s="447"/>
      <c r="VKE65" s="447"/>
      <c r="VKF65" s="447"/>
      <c r="VKG65" s="447"/>
      <c r="VKH65" s="447"/>
      <c r="VKI65" s="447"/>
      <c r="VKJ65" s="447"/>
      <c r="VKK65" s="447"/>
      <c r="VKL65" s="447"/>
      <c r="VKM65" s="447"/>
      <c r="VKN65" s="447"/>
      <c r="VKO65" s="447"/>
      <c r="VKP65" s="447"/>
      <c r="VKQ65" s="447"/>
      <c r="VKR65" s="447"/>
      <c r="VKS65" s="447"/>
      <c r="VKT65" s="447"/>
      <c r="VKU65" s="447"/>
      <c r="VKV65" s="447"/>
      <c r="VKW65" s="447"/>
      <c r="VKX65" s="447"/>
      <c r="VKY65" s="447"/>
      <c r="VKZ65" s="447"/>
      <c r="VLA65" s="447"/>
      <c r="VLB65" s="447"/>
      <c r="VLC65" s="447"/>
      <c r="VLD65" s="447"/>
      <c r="VLE65" s="447"/>
      <c r="VLF65" s="447"/>
      <c r="VLG65" s="447"/>
      <c r="VLH65" s="447"/>
      <c r="VLI65" s="447"/>
      <c r="VLJ65" s="447"/>
      <c r="VLK65" s="447"/>
      <c r="VLL65" s="447"/>
      <c r="VLM65" s="447"/>
      <c r="VLN65" s="447"/>
      <c r="VLO65" s="447"/>
      <c r="VLP65" s="447"/>
      <c r="VLQ65" s="447"/>
      <c r="VLR65" s="447"/>
      <c r="VLS65" s="447"/>
      <c r="VLT65" s="447"/>
      <c r="VLU65" s="447"/>
      <c r="VLV65" s="447"/>
      <c r="VLW65" s="447"/>
      <c r="VLX65" s="447"/>
      <c r="VLY65" s="447"/>
      <c r="VLZ65" s="447"/>
      <c r="VMA65" s="447"/>
      <c r="VMB65" s="447"/>
      <c r="VMC65" s="447"/>
      <c r="VMD65" s="447"/>
      <c r="VME65" s="447"/>
      <c r="VMF65" s="447"/>
      <c r="VMG65" s="447"/>
      <c r="VMH65" s="447"/>
      <c r="VMI65" s="447"/>
      <c r="VMJ65" s="447"/>
      <c r="VMK65" s="447"/>
      <c r="VML65" s="447"/>
      <c r="VMM65" s="447"/>
      <c r="VMN65" s="447"/>
      <c r="VMO65" s="447"/>
      <c r="VMP65" s="447"/>
      <c r="VMQ65" s="447"/>
      <c r="VMR65" s="447"/>
      <c r="VMS65" s="447"/>
      <c r="VMT65" s="447"/>
      <c r="VMU65" s="447"/>
      <c r="VMV65" s="447"/>
      <c r="VMW65" s="447"/>
      <c r="VMX65" s="447"/>
      <c r="VMY65" s="447"/>
      <c r="VMZ65" s="447"/>
      <c r="VNA65" s="447"/>
      <c r="VNB65" s="447"/>
      <c r="VNC65" s="447"/>
      <c r="VND65" s="447"/>
      <c r="VNE65" s="447"/>
      <c r="VNF65" s="447"/>
      <c r="VNG65" s="447"/>
      <c r="VNH65" s="447"/>
      <c r="VNI65" s="447"/>
      <c r="VNJ65" s="447"/>
      <c r="VNK65" s="447"/>
      <c r="VNL65" s="447"/>
      <c r="VNM65" s="447"/>
      <c r="VNN65" s="447"/>
      <c r="VNO65" s="447"/>
      <c r="VNP65" s="447"/>
      <c r="VNQ65" s="447"/>
      <c r="VNR65" s="447"/>
      <c r="VNS65" s="447"/>
      <c r="VNT65" s="447"/>
      <c r="VNU65" s="447"/>
      <c r="VNV65" s="447"/>
      <c r="VNW65" s="447"/>
      <c r="VNX65" s="447"/>
      <c r="VNY65" s="447"/>
      <c r="VNZ65" s="447"/>
      <c r="VOA65" s="447"/>
      <c r="VOB65" s="447"/>
      <c r="VOC65" s="447"/>
      <c r="VOD65" s="447"/>
      <c r="VOE65" s="447"/>
      <c r="VOF65" s="447"/>
      <c r="VOG65" s="447"/>
      <c r="VOH65" s="447"/>
      <c r="VOI65" s="447"/>
      <c r="VOJ65" s="447"/>
      <c r="VOK65" s="447"/>
      <c r="VOL65" s="447"/>
      <c r="VOM65" s="447"/>
      <c r="VON65" s="447"/>
      <c r="VOO65" s="447"/>
      <c r="VOP65" s="447"/>
      <c r="VOQ65" s="447"/>
      <c r="VOR65" s="447"/>
      <c r="VOS65" s="447"/>
      <c r="VOT65" s="447"/>
      <c r="VOU65" s="447"/>
      <c r="VOV65" s="447"/>
      <c r="VOW65" s="447"/>
      <c r="VOX65" s="447"/>
      <c r="VOY65" s="447"/>
      <c r="VOZ65" s="447"/>
      <c r="VPA65" s="447"/>
      <c r="VPB65" s="447"/>
      <c r="VPC65" s="447"/>
      <c r="VPD65" s="447"/>
      <c r="VPE65" s="447"/>
      <c r="VPF65" s="447"/>
      <c r="VPG65" s="447"/>
      <c r="VPH65" s="447"/>
      <c r="VPI65" s="447"/>
      <c r="VPJ65" s="447"/>
      <c r="VPK65" s="447"/>
      <c r="VPL65" s="447"/>
      <c r="VPM65" s="447"/>
      <c r="VPN65" s="447"/>
      <c r="VPO65" s="447"/>
      <c r="VPP65" s="447"/>
      <c r="VPQ65" s="447"/>
      <c r="VPR65" s="447"/>
      <c r="VPS65" s="447"/>
      <c r="VPT65" s="447"/>
      <c r="VPU65" s="447"/>
      <c r="VPV65" s="447"/>
      <c r="VPW65" s="447"/>
      <c r="VPX65" s="447"/>
      <c r="VPY65" s="447"/>
      <c r="VPZ65" s="447"/>
      <c r="VQA65" s="447"/>
      <c r="VQB65" s="447"/>
      <c r="VQC65" s="447"/>
      <c r="VQD65" s="447"/>
      <c r="VQE65" s="447"/>
      <c r="VQF65" s="447"/>
      <c r="VQG65" s="447"/>
      <c r="VQH65" s="447"/>
      <c r="VQI65" s="447"/>
      <c r="VQJ65" s="447"/>
      <c r="VQK65" s="447"/>
      <c r="VQL65" s="447"/>
      <c r="VQM65" s="447"/>
      <c r="VQN65" s="447"/>
      <c r="VQO65" s="447"/>
      <c r="VQP65" s="447"/>
      <c r="VQQ65" s="447"/>
      <c r="VQR65" s="447"/>
      <c r="VQS65" s="447"/>
      <c r="VQT65" s="447"/>
      <c r="VQU65" s="447"/>
      <c r="VQV65" s="447"/>
      <c r="VQW65" s="447"/>
      <c r="VQX65" s="447"/>
      <c r="VQY65" s="447"/>
      <c r="VQZ65" s="447"/>
      <c r="VRA65" s="447"/>
      <c r="VRB65" s="447"/>
      <c r="VRC65" s="447"/>
      <c r="VRD65" s="447"/>
      <c r="VRE65" s="447"/>
      <c r="VRF65" s="447"/>
      <c r="VRG65" s="447"/>
      <c r="VRH65" s="447"/>
      <c r="VRI65" s="447"/>
      <c r="VRJ65" s="447"/>
      <c r="VRK65" s="447"/>
      <c r="VRL65" s="447"/>
      <c r="VRM65" s="447"/>
      <c r="VRN65" s="447"/>
      <c r="VRO65" s="447"/>
      <c r="VRP65" s="447"/>
      <c r="VRQ65" s="447"/>
      <c r="VRR65" s="447"/>
      <c r="VRS65" s="447"/>
      <c r="VRT65" s="447"/>
      <c r="VRU65" s="447"/>
      <c r="VRV65" s="447"/>
      <c r="VRW65" s="447"/>
      <c r="VRX65" s="447"/>
      <c r="VRY65" s="447"/>
      <c r="VRZ65" s="447"/>
      <c r="VSA65" s="447"/>
      <c r="VSB65" s="447"/>
      <c r="VSC65" s="447"/>
      <c r="VSD65" s="447"/>
      <c r="VSE65" s="447"/>
      <c r="VSF65" s="447"/>
      <c r="VSG65" s="447"/>
      <c r="VSH65" s="447"/>
      <c r="VSI65" s="447"/>
      <c r="VSJ65" s="447"/>
      <c r="VSK65" s="447"/>
      <c r="VSL65" s="447"/>
      <c r="VSM65" s="447"/>
      <c r="VSN65" s="447"/>
      <c r="VSO65" s="447"/>
      <c r="VSP65" s="447"/>
      <c r="VSQ65" s="447"/>
      <c r="VSR65" s="447"/>
      <c r="VSS65" s="447"/>
      <c r="VST65" s="447"/>
      <c r="VSU65" s="447"/>
      <c r="VSV65" s="447"/>
      <c r="VSW65" s="447"/>
      <c r="VSX65" s="447"/>
      <c r="VSY65" s="447"/>
      <c r="VSZ65" s="447"/>
      <c r="VTA65" s="447"/>
      <c r="VTB65" s="447"/>
      <c r="VTC65" s="447"/>
      <c r="VTD65" s="447"/>
      <c r="VTE65" s="447"/>
      <c r="VTF65" s="447"/>
      <c r="VTG65" s="447"/>
      <c r="VTH65" s="447"/>
      <c r="VTI65" s="447"/>
      <c r="VTJ65" s="447"/>
      <c r="VTK65" s="447"/>
      <c r="VTL65" s="447"/>
      <c r="VTM65" s="447"/>
      <c r="VTN65" s="447"/>
      <c r="VTO65" s="447"/>
      <c r="VTP65" s="447"/>
      <c r="VTQ65" s="447"/>
      <c r="VTR65" s="447"/>
      <c r="VTS65" s="447"/>
      <c r="VTT65" s="447"/>
      <c r="VTU65" s="447"/>
      <c r="VTV65" s="447"/>
      <c r="VTW65" s="447"/>
      <c r="VTX65" s="447"/>
      <c r="VTY65" s="447"/>
      <c r="VTZ65" s="447"/>
      <c r="VUA65" s="447"/>
      <c r="VUB65" s="447"/>
      <c r="VUC65" s="447"/>
      <c r="VUD65" s="447"/>
      <c r="VUE65" s="447"/>
      <c r="VUF65" s="447"/>
      <c r="VUG65" s="447"/>
      <c r="VUH65" s="447"/>
      <c r="VUI65" s="447"/>
      <c r="VUJ65" s="447"/>
      <c r="VUK65" s="447"/>
      <c r="VUL65" s="447"/>
      <c r="VUM65" s="447"/>
      <c r="VUN65" s="447"/>
      <c r="VUO65" s="447"/>
      <c r="VUP65" s="447"/>
      <c r="VUQ65" s="447"/>
      <c r="VUR65" s="447"/>
      <c r="VUS65" s="447"/>
      <c r="VUT65" s="447"/>
      <c r="VUU65" s="447"/>
      <c r="VUV65" s="447"/>
      <c r="VUW65" s="447"/>
      <c r="VUX65" s="447"/>
      <c r="VUY65" s="447"/>
      <c r="VUZ65" s="447"/>
      <c r="VVA65" s="447"/>
      <c r="VVB65" s="447"/>
      <c r="VVC65" s="447"/>
      <c r="VVD65" s="447"/>
      <c r="VVE65" s="447"/>
      <c r="VVF65" s="447"/>
      <c r="VVG65" s="447"/>
      <c r="VVH65" s="447"/>
      <c r="VVI65" s="447"/>
      <c r="VVJ65" s="447"/>
      <c r="VVK65" s="447"/>
      <c r="VVL65" s="447"/>
      <c r="VVM65" s="447"/>
      <c r="VVN65" s="447"/>
      <c r="VVO65" s="447"/>
      <c r="VVP65" s="447"/>
      <c r="VVQ65" s="447"/>
      <c r="VVR65" s="447"/>
      <c r="VVS65" s="447"/>
      <c r="VVT65" s="447"/>
      <c r="VVU65" s="447"/>
      <c r="VVV65" s="447"/>
      <c r="VVW65" s="447"/>
      <c r="VVX65" s="447"/>
      <c r="VVY65" s="447"/>
      <c r="VVZ65" s="447"/>
      <c r="VWA65" s="447"/>
      <c r="VWB65" s="447"/>
      <c r="VWC65" s="447"/>
      <c r="VWD65" s="447"/>
      <c r="VWE65" s="447"/>
      <c r="VWF65" s="447"/>
      <c r="VWG65" s="447"/>
      <c r="VWH65" s="447"/>
      <c r="VWI65" s="447"/>
      <c r="VWJ65" s="447"/>
      <c r="VWK65" s="447"/>
      <c r="VWL65" s="447"/>
      <c r="VWM65" s="447"/>
      <c r="VWN65" s="447"/>
      <c r="VWO65" s="447"/>
      <c r="VWP65" s="447"/>
      <c r="VWQ65" s="447"/>
      <c r="VWR65" s="447"/>
      <c r="VWS65" s="447"/>
      <c r="VWT65" s="447"/>
      <c r="VWU65" s="447"/>
      <c r="VWV65" s="447"/>
      <c r="VWW65" s="447"/>
      <c r="VWX65" s="447"/>
      <c r="VWY65" s="447"/>
      <c r="VWZ65" s="447"/>
      <c r="VXA65" s="447"/>
      <c r="VXB65" s="447"/>
      <c r="VXC65" s="447"/>
      <c r="VXD65" s="447"/>
      <c r="VXE65" s="447"/>
      <c r="VXF65" s="447"/>
      <c r="VXG65" s="447"/>
      <c r="VXH65" s="447"/>
      <c r="VXI65" s="447"/>
      <c r="VXJ65" s="447"/>
      <c r="VXK65" s="447"/>
      <c r="VXL65" s="447"/>
      <c r="VXM65" s="447"/>
      <c r="VXN65" s="447"/>
      <c r="VXO65" s="447"/>
      <c r="VXP65" s="447"/>
      <c r="VXQ65" s="447"/>
      <c r="VXR65" s="447"/>
      <c r="VXS65" s="447"/>
      <c r="VXT65" s="447"/>
      <c r="VXU65" s="447"/>
      <c r="VXV65" s="447"/>
      <c r="VXW65" s="447"/>
      <c r="VXX65" s="447"/>
      <c r="VXY65" s="447"/>
      <c r="VXZ65" s="447"/>
      <c r="VYA65" s="447"/>
      <c r="VYB65" s="447"/>
      <c r="VYC65" s="447"/>
      <c r="VYD65" s="447"/>
      <c r="VYE65" s="447"/>
      <c r="VYF65" s="447"/>
      <c r="VYG65" s="447"/>
      <c r="VYH65" s="447"/>
      <c r="VYI65" s="447"/>
      <c r="VYJ65" s="447"/>
      <c r="VYK65" s="447"/>
      <c r="VYL65" s="447"/>
      <c r="VYM65" s="447"/>
      <c r="VYN65" s="447"/>
      <c r="VYO65" s="447"/>
      <c r="VYP65" s="447"/>
      <c r="VYQ65" s="447"/>
      <c r="VYR65" s="447"/>
      <c r="VYS65" s="447"/>
      <c r="VYT65" s="447"/>
      <c r="VYU65" s="447"/>
      <c r="VYV65" s="447"/>
      <c r="VYW65" s="447"/>
      <c r="VYX65" s="447"/>
      <c r="VYY65" s="447"/>
      <c r="VYZ65" s="447"/>
      <c r="VZA65" s="447"/>
      <c r="VZB65" s="447"/>
      <c r="VZC65" s="447"/>
      <c r="VZD65" s="447"/>
      <c r="VZE65" s="447"/>
      <c r="VZF65" s="447"/>
      <c r="VZG65" s="447"/>
      <c r="VZH65" s="447"/>
      <c r="VZI65" s="447"/>
      <c r="VZJ65" s="447"/>
      <c r="VZK65" s="447"/>
      <c r="VZL65" s="447"/>
      <c r="VZM65" s="447"/>
      <c r="VZN65" s="447"/>
      <c r="VZO65" s="447"/>
      <c r="VZP65" s="447"/>
      <c r="VZQ65" s="447"/>
      <c r="VZR65" s="447"/>
      <c r="VZS65" s="447"/>
      <c r="VZT65" s="447"/>
      <c r="VZU65" s="447"/>
      <c r="VZV65" s="447"/>
      <c r="VZW65" s="447"/>
      <c r="VZX65" s="447"/>
      <c r="VZY65" s="447"/>
      <c r="VZZ65" s="447"/>
      <c r="WAA65" s="447"/>
      <c r="WAB65" s="447"/>
      <c r="WAC65" s="447"/>
      <c r="WAD65" s="447"/>
      <c r="WAE65" s="447"/>
      <c r="WAF65" s="447"/>
      <c r="WAG65" s="447"/>
      <c r="WAH65" s="447"/>
      <c r="WAI65" s="447"/>
      <c r="WAJ65" s="447"/>
      <c r="WAK65" s="447"/>
      <c r="WAL65" s="447"/>
      <c r="WAM65" s="447"/>
      <c r="WAN65" s="447"/>
      <c r="WAO65" s="447"/>
      <c r="WAP65" s="447"/>
      <c r="WAQ65" s="447"/>
      <c r="WAR65" s="447"/>
      <c r="WAS65" s="447"/>
      <c r="WAT65" s="447"/>
      <c r="WAU65" s="447"/>
      <c r="WAV65" s="447"/>
      <c r="WAW65" s="447"/>
      <c r="WAX65" s="447"/>
      <c r="WAY65" s="447"/>
      <c r="WAZ65" s="447"/>
      <c r="WBA65" s="447"/>
      <c r="WBB65" s="447"/>
      <c r="WBC65" s="447"/>
      <c r="WBD65" s="447"/>
      <c r="WBE65" s="447"/>
      <c r="WBF65" s="447"/>
      <c r="WBG65" s="447"/>
      <c r="WBH65" s="447"/>
      <c r="WBI65" s="447"/>
      <c r="WBJ65" s="447"/>
      <c r="WBK65" s="447"/>
      <c r="WBL65" s="447"/>
      <c r="WBM65" s="447"/>
      <c r="WBN65" s="447"/>
      <c r="WBO65" s="447"/>
      <c r="WBP65" s="447"/>
      <c r="WBQ65" s="447"/>
      <c r="WBR65" s="447"/>
      <c r="WBS65" s="447"/>
      <c r="WBT65" s="447"/>
      <c r="WBU65" s="447"/>
      <c r="WBV65" s="447"/>
      <c r="WBW65" s="447"/>
      <c r="WBX65" s="447"/>
      <c r="WBY65" s="447"/>
      <c r="WBZ65" s="447"/>
      <c r="WCA65" s="447"/>
      <c r="WCB65" s="447"/>
      <c r="WCC65" s="447"/>
      <c r="WCD65" s="447"/>
      <c r="WCE65" s="447"/>
      <c r="WCF65" s="447"/>
      <c r="WCG65" s="447"/>
      <c r="WCH65" s="447"/>
      <c r="WCI65" s="447"/>
      <c r="WCJ65" s="447"/>
      <c r="WCK65" s="447"/>
      <c r="WCL65" s="447"/>
      <c r="WCM65" s="447"/>
      <c r="WCN65" s="447"/>
      <c r="WCO65" s="447"/>
      <c r="WCP65" s="447"/>
      <c r="WCQ65" s="447"/>
      <c r="WCR65" s="447"/>
      <c r="WCS65" s="447"/>
      <c r="WCT65" s="447"/>
      <c r="WCU65" s="447"/>
      <c r="WCV65" s="447"/>
      <c r="WCW65" s="447"/>
      <c r="WCX65" s="447"/>
      <c r="WCY65" s="447"/>
      <c r="WCZ65" s="447"/>
      <c r="WDA65" s="447"/>
      <c r="WDB65" s="447"/>
      <c r="WDC65" s="447"/>
      <c r="WDD65" s="447"/>
      <c r="WDE65" s="447"/>
      <c r="WDF65" s="447"/>
      <c r="WDG65" s="447"/>
      <c r="WDH65" s="447"/>
      <c r="WDI65" s="447"/>
      <c r="WDJ65" s="447"/>
      <c r="WDK65" s="447"/>
      <c r="WDL65" s="447"/>
      <c r="WDM65" s="447"/>
      <c r="WDN65" s="447"/>
      <c r="WDO65" s="447"/>
      <c r="WDP65" s="447"/>
      <c r="WDQ65" s="447"/>
      <c r="WDR65" s="447"/>
      <c r="WDS65" s="447"/>
      <c r="WDT65" s="447"/>
      <c r="WDU65" s="447"/>
      <c r="WDV65" s="447"/>
      <c r="WDW65" s="447"/>
      <c r="WDX65" s="447"/>
      <c r="WDY65" s="447"/>
      <c r="WDZ65" s="447"/>
      <c r="WEA65" s="447"/>
      <c r="WEB65" s="447"/>
      <c r="WEC65" s="447"/>
      <c r="WED65" s="447"/>
      <c r="WEE65" s="447"/>
      <c r="WEF65" s="447"/>
      <c r="WEG65" s="447"/>
      <c r="WEH65" s="447"/>
      <c r="WEI65" s="447"/>
      <c r="WEJ65" s="447"/>
      <c r="WEK65" s="447"/>
      <c r="WEL65" s="447"/>
      <c r="WEM65" s="447"/>
      <c r="WEN65" s="447"/>
      <c r="WEO65" s="447"/>
      <c r="WEP65" s="447"/>
      <c r="WEQ65" s="447"/>
      <c r="WER65" s="447"/>
      <c r="WES65" s="447"/>
      <c r="WET65" s="447"/>
      <c r="WEU65" s="447"/>
      <c r="WEV65" s="447"/>
      <c r="WEW65" s="447"/>
      <c r="WEX65" s="447"/>
      <c r="WEY65" s="447"/>
      <c r="WEZ65" s="447"/>
      <c r="WFA65" s="447"/>
      <c r="WFB65" s="447"/>
      <c r="WFC65" s="447"/>
      <c r="WFD65" s="447"/>
      <c r="WFE65" s="447"/>
      <c r="WFF65" s="447"/>
      <c r="WFG65" s="447"/>
      <c r="WFH65" s="447"/>
      <c r="WFI65" s="447"/>
      <c r="WFJ65" s="447"/>
      <c r="WFK65" s="447"/>
      <c r="WFL65" s="447"/>
      <c r="WFM65" s="447"/>
      <c r="WFN65" s="447"/>
      <c r="WFO65" s="447"/>
      <c r="WFP65" s="447"/>
      <c r="WFQ65" s="447"/>
      <c r="WFR65" s="447"/>
      <c r="WFS65" s="447"/>
      <c r="WFT65" s="447"/>
      <c r="WFU65" s="447"/>
      <c r="WFV65" s="447"/>
      <c r="WFW65" s="447"/>
      <c r="WFX65" s="447"/>
      <c r="WFY65" s="447"/>
      <c r="WFZ65" s="447"/>
      <c r="WGA65" s="447"/>
      <c r="WGB65" s="447"/>
      <c r="WGC65" s="447"/>
      <c r="WGD65" s="447"/>
      <c r="WGE65" s="447"/>
      <c r="WGF65" s="447"/>
      <c r="WGG65" s="447"/>
      <c r="WGH65" s="447"/>
      <c r="WGI65" s="447"/>
      <c r="WGJ65" s="447"/>
      <c r="WGK65" s="447"/>
      <c r="WGL65" s="447"/>
      <c r="WGM65" s="447"/>
      <c r="WGN65" s="447"/>
      <c r="WGO65" s="447"/>
      <c r="WGP65" s="447"/>
      <c r="WGQ65" s="447"/>
      <c r="WGR65" s="447"/>
      <c r="WGS65" s="447"/>
      <c r="WGT65" s="447"/>
      <c r="WGU65" s="447"/>
      <c r="WGV65" s="447"/>
      <c r="WGW65" s="447"/>
      <c r="WGX65" s="447"/>
      <c r="WGY65" s="447"/>
      <c r="WGZ65" s="447"/>
      <c r="WHA65" s="447"/>
      <c r="WHB65" s="447"/>
      <c r="WHC65" s="447"/>
      <c r="WHD65" s="447"/>
      <c r="WHE65" s="447"/>
      <c r="WHF65" s="447"/>
      <c r="WHG65" s="447"/>
      <c r="WHH65" s="447"/>
      <c r="WHI65" s="447"/>
      <c r="WHJ65" s="447"/>
      <c r="WHK65" s="447"/>
      <c r="WHL65" s="447"/>
      <c r="WHM65" s="447"/>
      <c r="WHN65" s="447"/>
      <c r="WHO65" s="447"/>
      <c r="WHP65" s="447"/>
      <c r="WHQ65" s="447"/>
      <c r="WHR65" s="447"/>
      <c r="WHS65" s="447"/>
      <c r="WHT65" s="447"/>
      <c r="WHU65" s="447"/>
      <c r="WHV65" s="447"/>
      <c r="WHW65" s="447"/>
      <c r="WHX65" s="447"/>
      <c r="WHY65" s="447"/>
      <c r="WHZ65" s="447"/>
      <c r="WIA65" s="447"/>
      <c r="WIB65" s="447"/>
      <c r="WIC65" s="447"/>
      <c r="WID65" s="447"/>
      <c r="WIE65" s="447"/>
      <c r="WIF65" s="447"/>
      <c r="WIG65" s="447"/>
      <c r="WIH65" s="447"/>
      <c r="WII65" s="447"/>
      <c r="WIJ65" s="447"/>
      <c r="WIK65" s="447"/>
      <c r="WIL65" s="447"/>
      <c r="WIM65" s="447"/>
      <c r="WIN65" s="447"/>
      <c r="WIO65" s="447"/>
      <c r="WIP65" s="447"/>
      <c r="WIQ65" s="447"/>
      <c r="WIR65" s="447"/>
      <c r="WIS65" s="447"/>
      <c r="WIT65" s="447"/>
      <c r="WIU65" s="447"/>
      <c r="WIV65" s="447"/>
      <c r="WIW65" s="447"/>
      <c r="WIX65" s="447"/>
      <c r="WIY65" s="447"/>
      <c r="WIZ65" s="447"/>
      <c r="WJA65" s="447"/>
      <c r="WJB65" s="447"/>
      <c r="WJC65" s="447"/>
      <c r="WJD65" s="447"/>
      <c r="WJE65" s="447"/>
      <c r="WJF65" s="447"/>
      <c r="WJG65" s="447"/>
      <c r="WJH65" s="447"/>
      <c r="WJI65" s="447"/>
      <c r="WJJ65" s="447"/>
      <c r="WJK65" s="447"/>
      <c r="WJL65" s="447"/>
      <c r="WJM65" s="447"/>
      <c r="WJN65" s="447"/>
      <c r="WJO65" s="447"/>
      <c r="WJP65" s="447"/>
      <c r="WJQ65" s="447"/>
      <c r="WJR65" s="447"/>
      <c r="WJS65" s="447"/>
      <c r="WJT65" s="447"/>
      <c r="WJU65" s="447"/>
      <c r="WJV65" s="447"/>
      <c r="WJW65" s="447"/>
      <c r="WJX65" s="447"/>
      <c r="WJY65" s="447"/>
      <c r="WJZ65" s="447"/>
      <c r="WKA65" s="447"/>
      <c r="WKB65" s="447"/>
      <c r="WKC65" s="447"/>
      <c r="WKD65" s="447"/>
      <c r="WKE65" s="447"/>
      <c r="WKF65" s="447"/>
      <c r="WKG65" s="447"/>
      <c r="WKH65" s="447"/>
      <c r="WKI65" s="447"/>
      <c r="WKJ65" s="447"/>
      <c r="WKK65" s="447"/>
      <c r="WKL65" s="447"/>
      <c r="WKM65" s="447"/>
      <c r="WKN65" s="447"/>
      <c r="WKO65" s="447"/>
      <c r="WKP65" s="447"/>
      <c r="WKQ65" s="447"/>
      <c r="WKR65" s="447"/>
      <c r="WKS65" s="447"/>
      <c r="WKT65" s="447"/>
      <c r="WKU65" s="447"/>
      <c r="WKV65" s="447"/>
      <c r="WKW65" s="447"/>
      <c r="WKX65" s="447"/>
      <c r="WKY65" s="447"/>
      <c r="WKZ65" s="447"/>
      <c r="WLA65" s="447"/>
      <c r="WLB65" s="447"/>
      <c r="WLC65" s="447"/>
      <c r="WLD65" s="447"/>
      <c r="WLE65" s="447"/>
      <c r="WLF65" s="447"/>
      <c r="WLG65" s="447"/>
      <c r="WLH65" s="447"/>
      <c r="WLI65" s="447"/>
      <c r="WLJ65" s="447"/>
      <c r="WLK65" s="447"/>
      <c r="WLL65" s="447"/>
      <c r="WLM65" s="447"/>
      <c r="WLN65" s="447"/>
      <c r="WLO65" s="447"/>
      <c r="WLP65" s="447"/>
      <c r="WLQ65" s="447"/>
      <c r="WLR65" s="447"/>
      <c r="WLS65" s="447"/>
      <c r="WLT65" s="447"/>
      <c r="WLU65" s="447"/>
      <c r="WLV65" s="447"/>
      <c r="WLW65" s="447"/>
      <c r="WLX65" s="447"/>
      <c r="WLY65" s="447"/>
      <c r="WLZ65" s="447"/>
      <c r="WMA65" s="447"/>
      <c r="WMB65" s="447"/>
      <c r="WMC65" s="447"/>
      <c r="WMD65" s="447"/>
      <c r="WME65" s="447"/>
      <c r="WMF65" s="447"/>
      <c r="WMG65" s="447"/>
      <c r="WMH65" s="447"/>
      <c r="WMI65" s="447"/>
      <c r="WMJ65" s="447"/>
      <c r="WMK65" s="447"/>
      <c r="WML65" s="447"/>
      <c r="WMM65" s="447"/>
      <c r="WMN65" s="447"/>
      <c r="WMO65" s="447"/>
      <c r="WMP65" s="447"/>
      <c r="WMQ65" s="447"/>
      <c r="WMR65" s="447"/>
      <c r="WMS65" s="447"/>
      <c r="WMT65" s="447"/>
      <c r="WMU65" s="447"/>
      <c r="WMV65" s="447"/>
      <c r="WMW65" s="447"/>
      <c r="WMX65" s="447"/>
      <c r="WMY65" s="447"/>
      <c r="WMZ65" s="447"/>
      <c r="WNA65" s="447"/>
      <c r="WNB65" s="447"/>
      <c r="WNC65" s="447"/>
      <c r="WND65" s="447"/>
      <c r="WNE65" s="447"/>
      <c r="WNF65" s="447"/>
      <c r="WNG65" s="447"/>
      <c r="WNH65" s="447"/>
      <c r="WNI65" s="447"/>
      <c r="WNJ65" s="447"/>
      <c r="WNK65" s="447"/>
      <c r="WNL65" s="447"/>
      <c r="WNM65" s="447"/>
      <c r="WNN65" s="447"/>
      <c r="WNO65" s="447"/>
      <c r="WNP65" s="447"/>
      <c r="WNQ65" s="447"/>
      <c r="WNR65" s="447"/>
      <c r="WNS65" s="447"/>
      <c r="WNT65" s="447"/>
      <c r="WNU65" s="447"/>
      <c r="WNV65" s="447"/>
      <c r="WNW65" s="447"/>
      <c r="WNX65" s="447"/>
      <c r="WNY65" s="447"/>
      <c r="WNZ65" s="447"/>
      <c r="WOA65" s="447"/>
      <c r="WOB65" s="447"/>
      <c r="WOC65" s="447"/>
      <c r="WOD65" s="447"/>
      <c r="WOE65" s="447"/>
      <c r="WOF65" s="447"/>
      <c r="WOG65" s="447"/>
      <c r="WOH65" s="447"/>
      <c r="WOI65" s="447"/>
      <c r="WOJ65" s="447"/>
      <c r="WOK65" s="447"/>
      <c r="WOL65" s="447"/>
      <c r="WOM65" s="447"/>
      <c r="WON65" s="447"/>
      <c r="WOO65" s="447"/>
      <c r="WOP65" s="447"/>
      <c r="WOQ65" s="447"/>
      <c r="WOR65" s="447"/>
      <c r="WOS65" s="447"/>
      <c r="WOT65" s="447"/>
      <c r="WOU65" s="447"/>
      <c r="WOV65" s="447"/>
      <c r="WOW65" s="447"/>
      <c r="WOX65" s="447"/>
      <c r="WOY65" s="447"/>
      <c r="WOZ65" s="447"/>
      <c r="WPA65" s="447"/>
      <c r="WPB65" s="447"/>
      <c r="WPC65" s="447"/>
      <c r="WPD65" s="447"/>
      <c r="WPE65" s="447"/>
      <c r="WPF65" s="447"/>
      <c r="WPG65" s="447"/>
      <c r="WPH65" s="447"/>
      <c r="WPI65" s="447"/>
      <c r="WPJ65" s="447"/>
      <c r="WPK65" s="447"/>
      <c r="WPL65" s="447"/>
      <c r="WPM65" s="447"/>
      <c r="WPN65" s="447"/>
      <c r="WPO65" s="447"/>
      <c r="WPP65" s="447"/>
      <c r="WPQ65" s="447"/>
      <c r="WPR65" s="447"/>
      <c r="WPS65" s="447"/>
      <c r="WPT65" s="447"/>
      <c r="WPU65" s="447"/>
      <c r="WPV65" s="447"/>
      <c r="WPW65" s="447"/>
      <c r="WPX65" s="447"/>
      <c r="WPY65" s="447"/>
      <c r="WPZ65" s="447"/>
      <c r="WQA65" s="447"/>
      <c r="WQB65" s="447"/>
      <c r="WQC65" s="447"/>
      <c r="WQD65" s="447"/>
      <c r="WQE65" s="447"/>
      <c r="WQF65" s="447"/>
      <c r="WQG65" s="447"/>
      <c r="WQH65" s="447"/>
      <c r="WQI65" s="447"/>
      <c r="WQJ65" s="447"/>
      <c r="WQK65" s="447"/>
      <c r="WQL65" s="447"/>
      <c r="WQM65" s="447"/>
      <c r="WQN65" s="447"/>
      <c r="WQO65" s="447"/>
      <c r="WQP65" s="447"/>
      <c r="WQQ65" s="447"/>
      <c r="WQR65" s="447"/>
      <c r="WQS65" s="447"/>
      <c r="WQT65" s="447"/>
      <c r="WQU65" s="447"/>
      <c r="WQV65" s="447"/>
      <c r="WQW65" s="447"/>
      <c r="WQX65" s="447"/>
      <c r="WQY65" s="447"/>
      <c r="WQZ65" s="447"/>
      <c r="WRA65" s="447"/>
      <c r="WRB65" s="447"/>
      <c r="WRC65" s="447"/>
      <c r="WRD65" s="447"/>
      <c r="WRE65" s="447"/>
      <c r="WRF65" s="447"/>
      <c r="WRG65" s="447"/>
      <c r="WRH65" s="447"/>
      <c r="WRI65" s="447"/>
      <c r="WRJ65" s="447"/>
      <c r="WRK65" s="447"/>
      <c r="WRL65" s="447"/>
      <c r="WRM65" s="447"/>
      <c r="WRN65" s="447"/>
      <c r="WRO65" s="447"/>
      <c r="WRP65" s="447"/>
      <c r="WRQ65" s="447"/>
      <c r="WRR65" s="447"/>
      <c r="WRS65" s="447"/>
      <c r="WRT65" s="447"/>
      <c r="WRU65" s="447"/>
      <c r="WRV65" s="447"/>
      <c r="WRW65" s="447"/>
      <c r="WRX65" s="447"/>
      <c r="WRY65" s="447"/>
      <c r="WRZ65" s="447"/>
      <c r="WSA65" s="447"/>
      <c r="WSB65" s="447"/>
      <c r="WSC65" s="447"/>
      <c r="WSD65" s="447"/>
      <c r="WSE65" s="447"/>
      <c r="WSF65" s="447"/>
      <c r="WSG65" s="447"/>
      <c r="WSH65" s="447"/>
      <c r="WSI65" s="447"/>
      <c r="WSJ65" s="447"/>
      <c r="WSK65" s="447"/>
      <c r="WSL65" s="447"/>
      <c r="WSM65" s="447"/>
      <c r="WSN65" s="447"/>
      <c r="WSO65" s="447"/>
      <c r="WSP65" s="447"/>
      <c r="WSQ65" s="447"/>
      <c r="WSR65" s="447"/>
      <c r="WSS65" s="447"/>
      <c r="WST65" s="447"/>
      <c r="WSU65" s="447"/>
      <c r="WSV65" s="447"/>
      <c r="WSW65" s="447"/>
      <c r="WSX65" s="447"/>
      <c r="WSY65" s="447"/>
      <c r="WSZ65" s="447"/>
      <c r="WTA65" s="447"/>
      <c r="WTB65" s="447"/>
      <c r="WTC65" s="447"/>
      <c r="WTD65" s="447"/>
      <c r="WTE65" s="447"/>
      <c r="WTF65" s="447"/>
      <c r="WTG65" s="447"/>
      <c r="WTH65" s="447"/>
      <c r="WTI65" s="447"/>
      <c r="WTJ65" s="447"/>
      <c r="WTK65" s="447"/>
      <c r="WTL65" s="447"/>
      <c r="WTM65" s="447"/>
      <c r="WTN65" s="447"/>
      <c r="WTO65" s="447"/>
      <c r="WTP65" s="447"/>
      <c r="WTQ65" s="447"/>
      <c r="WTR65" s="447"/>
      <c r="WTS65" s="447"/>
      <c r="WTT65" s="447"/>
      <c r="WTU65" s="447"/>
      <c r="WTV65" s="447"/>
      <c r="WTW65" s="447"/>
      <c r="WTX65" s="447"/>
      <c r="WTY65" s="447"/>
      <c r="WTZ65" s="447"/>
      <c r="WUA65" s="447"/>
      <c r="WUB65" s="447"/>
      <c r="WUC65" s="447"/>
      <c r="WUD65" s="447"/>
      <c r="WUE65" s="447"/>
      <c r="WUF65" s="447"/>
      <c r="WUG65" s="447"/>
      <c r="WUH65" s="447"/>
      <c r="WUI65" s="447"/>
      <c r="WUJ65" s="447"/>
      <c r="WUK65" s="447"/>
      <c r="WUL65" s="447"/>
      <c r="WUM65" s="447"/>
      <c r="WUN65" s="447"/>
      <c r="WUO65" s="447"/>
      <c r="WUP65" s="447"/>
      <c r="WUQ65" s="447"/>
      <c r="WUR65" s="447"/>
      <c r="WUS65" s="447"/>
      <c r="WUT65" s="447"/>
      <c r="WUU65" s="447"/>
      <c r="WUV65" s="447"/>
      <c r="WUW65" s="447"/>
      <c r="WUX65" s="447"/>
      <c r="WUY65" s="447"/>
      <c r="WUZ65" s="447"/>
      <c r="WVA65" s="447"/>
      <c r="WVB65" s="447"/>
      <c r="WVC65" s="447"/>
      <c r="WVD65" s="447"/>
      <c r="WVE65" s="447"/>
      <c r="WVF65" s="447"/>
      <c r="WVG65" s="447"/>
      <c r="WVH65" s="447"/>
      <c r="WVI65" s="447"/>
      <c r="WVJ65" s="447"/>
      <c r="WVK65" s="447"/>
      <c r="WVL65" s="447"/>
      <c r="WVM65" s="447"/>
      <c r="WVN65" s="447"/>
      <c r="WVO65" s="447"/>
      <c r="WVP65" s="447"/>
      <c r="WVQ65" s="447"/>
      <c r="WVR65" s="447"/>
      <c r="WVS65" s="447"/>
      <c r="WVT65" s="447"/>
      <c r="WVU65" s="447"/>
      <c r="WVV65" s="447"/>
      <c r="WVW65" s="447"/>
      <c r="WVX65" s="447"/>
      <c r="WVY65" s="447"/>
      <c r="WVZ65" s="447"/>
      <c r="WWA65" s="447"/>
      <c r="WWB65" s="447"/>
      <c r="WWC65" s="447"/>
      <c r="WWD65" s="447"/>
      <c r="WWE65" s="447"/>
      <c r="WWF65" s="447"/>
      <c r="WWG65" s="447"/>
      <c r="WWH65" s="447"/>
      <c r="WWI65" s="447"/>
      <c r="WWJ65" s="447"/>
      <c r="WWK65" s="447"/>
      <c r="WWL65" s="447"/>
      <c r="WWM65" s="447"/>
      <c r="WWN65" s="447"/>
      <c r="WWO65" s="447"/>
      <c r="WWP65" s="447"/>
      <c r="WWQ65" s="447"/>
      <c r="WWR65" s="447"/>
      <c r="WWS65" s="447"/>
      <c r="WWT65" s="447"/>
      <c r="WWU65" s="447"/>
      <c r="WWV65" s="447"/>
      <c r="WWW65" s="447"/>
      <c r="WWX65" s="447"/>
      <c r="WWY65" s="447"/>
      <c r="WWZ65" s="447"/>
      <c r="WXA65" s="447"/>
      <c r="WXB65" s="447"/>
      <c r="WXC65" s="447"/>
      <c r="WXD65" s="447"/>
      <c r="WXE65" s="447"/>
      <c r="WXF65" s="447"/>
      <c r="WXG65" s="447"/>
      <c r="WXH65" s="447"/>
      <c r="WXI65" s="447"/>
      <c r="WXJ65" s="447"/>
      <c r="WXK65" s="447"/>
      <c r="WXL65" s="447"/>
      <c r="WXM65" s="447"/>
      <c r="WXN65" s="447"/>
      <c r="WXO65" s="447"/>
      <c r="WXP65" s="447"/>
      <c r="WXQ65" s="447"/>
      <c r="WXR65" s="447"/>
      <c r="WXS65" s="447"/>
      <c r="WXT65" s="447"/>
      <c r="WXU65" s="447"/>
      <c r="WXV65" s="447"/>
      <c r="WXW65" s="447"/>
      <c r="WXX65" s="447"/>
      <c r="WXY65" s="447"/>
      <c r="WXZ65" s="447"/>
      <c r="WYA65" s="447"/>
      <c r="WYB65" s="447"/>
      <c r="WYC65" s="447"/>
      <c r="WYD65" s="447"/>
      <c r="WYE65" s="447"/>
      <c r="WYF65" s="447"/>
      <c r="WYG65" s="447"/>
      <c r="WYH65" s="447"/>
      <c r="WYI65" s="447"/>
      <c r="WYJ65" s="447"/>
      <c r="WYK65" s="447"/>
      <c r="WYL65" s="447"/>
      <c r="WYM65" s="447"/>
      <c r="WYN65" s="447"/>
      <c r="WYO65" s="447"/>
      <c r="WYP65" s="447"/>
      <c r="WYQ65" s="447"/>
      <c r="WYR65" s="447"/>
      <c r="WYS65" s="447"/>
      <c r="WYT65" s="447"/>
      <c r="WYU65" s="447"/>
      <c r="WYV65" s="447"/>
      <c r="WYW65" s="447"/>
      <c r="WYX65" s="447"/>
      <c r="WYY65" s="447"/>
      <c r="WYZ65" s="447"/>
      <c r="WZA65" s="447"/>
      <c r="WZB65" s="447"/>
      <c r="WZC65" s="447"/>
      <c r="WZD65" s="447"/>
      <c r="WZE65" s="447"/>
      <c r="WZF65" s="447"/>
      <c r="WZG65" s="447"/>
      <c r="WZH65" s="447"/>
      <c r="WZI65" s="447"/>
      <c r="WZJ65" s="447"/>
      <c r="WZK65" s="447"/>
      <c r="WZL65" s="447"/>
      <c r="WZM65" s="447"/>
      <c r="WZN65" s="447"/>
      <c r="WZO65" s="447"/>
      <c r="WZP65" s="447"/>
      <c r="WZQ65" s="447"/>
      <c r="WZR65" s="447"/>
      <c r="WZS65" s="447"/>
      <c r="WZT65" s="447"/>
      <c r="WZU65" s="447"/>
      <c r="WZV65" s="447"/>
      <c r="WZW65" s="447"/>
      <c r="WZX65" s="447"/>
      <c r="WZY65" s="447"/>
      <c r="WZZ65" s="447"/>
      <c r="XAA65" s="447"/>
      <c r="XAB65" s="447"/>
      <c r="XAC65" s="447"/>
      <c r="XAD65" s="447"/>
      <c r="XAE65" s="447"/>
      <c r="XAF65" s="447"/>
      <c r="XAG65" s="447"/>
      <c r="XAH65" s="447"/>
      <c r="XAI65" s="447"/>
      <c r="XAJ65" s="447"/>
      <c r="XAK65" s="447"/>
      <c r="XAL65" s="447"/>
      <c r="XAM65" s="447"/>
      <c r="XAN65" s="447"/>
      <c r="XAO65" s="447"/>
      <c r="XAP65" s="447"/>
      <c r="XAQ65" s="447"/>
      <c r="XAR65" s="447"/>
      <c r="XAS65" s="447"/>
      <c r="XAT65" s="447"/>
      <c r="XAU65" s="447"/>
      <c r="XAV65" s="447"/>
      <c r="XAW65" s="447"/>
      <c r="XAX65" s="447"/>
      <c r="XAY65" s="447"/>
      <c r="XAZ65" s="447"/>
      <c r="XBA65" s="447"/>
      <c r="XBB65" s="447"/>
      <c r="XBC65" s="447"/>
      <c r="XBD65" s="447"/>
      <c r="XBE65" s="447"/>
      <c r="XBF65" s="447"/>
      <c r="XBG65" s="447"/>
      <c r="XBH65" s="447"/>
      <c r="XBI65" s="447"/>
      <c r="XBJ65" s="447"/>
      <c r="XBK65" s="447"/>
      <c r="XBL65" s="447"/>
      <c r="XBM65" s="447"/>
      <c r="XBN65" s="447"/>
      <c r="XBO65" s="447"/>
      <c r="XBP65" s="447"/>
      <c r="XBQ65" s="447"/>
      <c r="XBR65" s="447"/>
      <c r="XBS65" s="447"/>
      <c r="XBT65" s="447"/>
      <c r="XBU65" s="447"/>
      <c r="XBV65" s="447"/>
      <c r="XBW65" s="447"/>
      <c r="XBX65" s="447"/>
      <c r="XBY65" s="447"/>
      <c r="XBZ65" s="447"/>
      <c r="XCA65" s="447"/>
      <c r="XCB65" s="447"/>
      <c r="XCC65" s="447"/>
      <c r="XCD65" s="447"/>
      <c r="XCE65" s="447"/>
      <c r="XCF65" s="447"/>
      <c r="XCG65" s="447"/>
      <c r="XCH65" s="447"/>
      <c r="XCI65" s="447"/>
      <c r="XCJ65" s="447"/>
      <c r="XCK65" s="447"/>
      <c r="XCL65" s="447"/>
      <c r="XCM65" s="447"/>
      <c r="XCN65" s="447"/>
      <c r="XCO65" s="447"/>
      <c r="XCP65" s="447"/>
      <c r="XCQ65" s="447"/>
      <c r="XCR65" s="447"/>
      <c r="XCS65" s="447"/>
      <c r="XCT65" s="447"/>
      <c r="XCU65" s="447"/>
      <c r="XCV65" s="447"/>
      <c r="XCW65" s="447"/>
      <c r="XCX65" s="447"/>
      <c r="XCY65" s="447"/>
      <c r="XCZ65" s="447"/>
      <c r="XDA65" s="447"/>
      <c r="XDB65" s="447"/>
      <c r="XDC65" s="447"/>
      <c r="XDD65" s="447"/>
      <c r="XDE65" s="447"/>
      <c r="XDF65" s="447"/>
      <c r="XDG65" s="447"/>
      <c r="XDH65" s="447"/>
      <c r="XDI65" s="447"/>
      <c r="XDJ65" s="447"/>
      <c r="XDK65" s="447"/>
      <c r="XDL65" s="447"/>
      <c r="XDM65" s="447"/>
      <c r="XDN65" s="447"/>
      <c r="XDO65" s="447"/>
      <c r="XDP65" s="447"/>
      <c r="XDQ65" s="447"/>
      <c r="XDR65" s="447"/>
      <c r="XDS65" s="447"/>
      <c r="XDT65" s="447"/>
      <c r="XDU65" s="447"/>
      <c r="XDV65" s="447"/>
      <c r="XDW65" s="447"/>
      <c r="XDX65" s="447"/>
      <c r="XDY65" s="447"/>
      <c r="XDZ65" s="447"/>
      <c r="XEA65" s="447"/>
      <c r="XEB65" s="447"/>
      <c r="XEC65" s="447"/>
      <c r="XED65" s="447"/>
      <c r="XEE65" s="447"/>
      <c r="XEF65" s="447"/>
      <c r="XEG65" s="447"/>
      <c r="XEH65" s="447"/>
      <c r="XEI65" s="447"/>
      <c r="XEJ65" s="447"/>
      <c r="XEK65" s="447"/>
      <c r="XEL65" s="447"/>
      <c r="XEM65" s="447"/>
      <c r="XEN65" s="447"/>
      <c r="XEO65" s="447"/>
      <c r="XEP65" s="447"/>
      <c r="XEQ65" s="447"/>
      <c r="XER65" s="447"/>
      <c r="XES65" s="447"/>
      <c r="XET65" s="447"/>
      <c r="XEU65" s="447"/>
      <c r="XEV65" s="447"/>
    </row>
    <row r="66" spans="1:16376" ht="16" customHeight="1">
      <c r="A66" s="448"/>
      <c r="B66" s="448"/>
    </row>
    <row r="67" spans="1:16376">
      <c r="A67" s="452"/>
      <c r="B67" s="448"/>
    </row>
    <row r="68" spans="1:16376">
      <c r="A68" s="448"/>
    </row>
    <row r="69" spans="1:16376" s="394" customFormat="1">
      <c r="A69" s="447"/>
      <c r="F69" s="405"/>
      <c r="N69" s="450"/>
      <c r="O69" s="375"/>
      <c r="P69" s="374"/>
      <c r="Q69" s="374"/>
    </row>
    <row r="70" spans="1:16376" s="394" customFormat="1" ht="16">
      <c r="A70" s="447"/>
      <c r="B70" s="446"/>
      <c r="C70" s="404"/>
      <c r="D70" s="404"/>
      <c r="E70" s="404"/>
      <c r="F70" s="408"/>
      <c r="G70" s="404"/>
      <c r="H70" s="404"/>
      <c r="I70" s="442"/>
      <c r="J70" s="404"/>
      <c r="K70" s="442"/>
      <c r="L70" s="453"/>
      <c r="M70" s="453"/>
      <c r="N70" s="406"/>
      <c r="O70" s="389"/>
      <c r="P70" s="374"/>
      <c r="Q70" s="374"/>
    </row>
    <row r="71" spans="1:16376" s="394" customFormat="1" ht="16">
      <c r="A71" s="447"/>
      <c r="B71" s="446"/>
      <c r="C71" s="404"/>
      <c r="D71" s="404"/>
      <c r="E71" s="404"/>
      <c r="F71" s="408"/>
      <c r="G71" s="404"/>
      <c r="H71" s="404"/>
      <c r="I71" s="442"/>
      <c r="J71" s="404"/>
      <c r="K71" s="442"/>
      <c r="L71" s="453"/>
      <c r="M71" s="453"/>
      <c r="N71" s="406"/>
      <c r="O71" s="389"/>
      <c r="P71" s="374"/>
      <c r="Q71" s="374"/>
    </row>
    <row r="72" spans="1:16376" s="394" customFormat="1" ht="17">
      <c r="A72" s="454"/>
      <c r="B72" s="446"/>
      <c r="C72" s="404"/>
      <c r="D72" s="404"/>
      <c r="E72" s="404"/>
      <c r="F72" s="408"/>
      <c r="G72" s="404"/>
      <c r="H72" s="404"/>
      <c r="I72" s="442"/>
      <c r="J72" s="404"/>
      <c r="K72" s="442"/>
      <c r="L72" s="453"/>
      <c r="M72" s="453"/>
      <c r="N72" s="406"/>
      <c r="O72" s="389"/>
      <c r="P72" s="374"/>
      <c r="Q72" s="374"/>
    </row>
    <row r="73" spans="1:16376" s="394" customFormat="1">
      <c r="A73" s="455"/>
      <c r="F73" s="405"/>
      <c r="N73" s="450"/>
      <c r="O73" s="375"/>
      <c r="P73" s="374"/>
      <c r="Q73" s="374"/>
    </row>
    <row r="74" spans="1:16376" s="394" customFormat="1">
      <c r="A74" s="455"/>
      <c r="F74" s="405"/>
      <c r="N74" s="450"/>
      <c r="O74" s="375"/>
      <c r="P74" s="374"/>
      <c r="Q74" s="374"/>
    </row>
    <row r="75" spans="1:16376" s="394" customFormat="1">
      <c r="A75" s="455"/>
      <c r="F75" s="405"/>
      <c r="N75" s="450"/>
      <c r="O75" s="375"/>
      <c r="P75" s="374"/>
      <c r="Q75" s="374"/>
    </row>
    <row r="76" spans="1:16376" s="394" customFormat="1">
      <c r="A76" s="455"/>
      <c r="F76" s="405"/>
      <c r="N76" s="450"/>
      <c r="O76" s="375"/>
      <c r="P76" s="374"/>
      <c r="Q76" s="374"/>
    </row>
    <row r="77" spans="1:16376" s="394" customFormat="1" ht="17">
      <c r="A77" s="455"/>
      <c r="B77" s="456"/>
      <c r="C77" s="456"/>
      <c r="D77" s="456"/>
      <c r="E77" s="456"/>
      <c r="F77" s="457"/>
      <c r="G77" s="456"/>
      <c r="H77" s="448"/>
      <c r="I77" s="427"/>
      <c r="J77" s="448"/>
      <c r="K77" s="427"/>
      <c r="N77" s="450"/>
      <c r="O77" s="375"/>
      <c r="P77" s="374"/>
      <c r="Q77" s="374"/>
    </row>
    <row r="78" spans="1:16376" s="394" customFormat="1" ht="16">
      <c r="A78" s="427"/>
      <c r="B78" s="427"/>
      <c r="C78" s="427"/>
      <c r="D78" s="427"/>
      <c r="E78" s="427"/>
      <c r="F78" s="449"/>
      <c r="G78" s="427"/>
      <c r="H78" s="427"/>
      <c r="I78" s="427"/>
      <c r="J78" s="427"/>
      <c r="K78" s="427"/>
      <c r="N78" s="450"/>
      <c r="O78" s="375"/>
      <c r="P78" s="374"/>
      <c r="Q78" s="374"/>
    </row>
    <row r="79" spans="1:16376" s="394" customFormat="1" ht="16">
      <c r="A79" s="427"/>
      <c r="B79" s="427"/>
      <c r="C79" s="427"/>
      <c r="D79" s="427"/>
      <c r="E79" s="427"/>
      <c r="F79" s="449"/>
      <c r="G79" s="427"/>
      <c r="H79" s="427"/>
      <c r="I79" s="427"/>
      <c r="J79" s="427"/>
      <c r="K79" s="427"/>
      <c r="N79" s="450"/>
      <c r="O79" s="375"/>
      <c r="P79" s="374"/>
      <c r="Q79" s="374"/>
    </row>
    <row r="80" spans="1:16376" s="394" customFormat="1" ht="16">
      <c r="A80" s="427"/>
      <c r="B80" s="427"/>
      <c r="C80" s="427"/>
      <c r="D80" s="427"/>
      <c r="E80" s="427"/>
      <c r="F80" s="449"/>
      <c r="G80" s="427"/>
      <c r="H80" s="427"/>
      <c r="I80" s="427"/>
      <c r="J80" s="427"/>
      <c r="K80" s="427"/>
      <c r="N80" s="450"/>
      <c r="O80" s="375"/>
      <c r="P80" s="374"/>
      <c r="Q80" s="374"/>
    </row>
    <row r="81" spans="1:17" s="394" customFormat="1" ht="16">
      <c r="A81" s="427"/>
      <c r="B81" s="427"/>
      <c r="C81" s="427"/>
      <c r="D81" s="427"/>
      <c r="E81" s="427"/>
      <c r="F81" s="449"/>
      <c r="G81" s="427"/>
      <c r="H81" s="427"/>
      <c r="I81" s="427"/>
      <c r="J81" s="427"/>
      <c r="K81" s="427"/>
      <c r="N81" s="450"/>
      <c r="O81" s="375"/>
      <c r="P81" s="374"/>
      <c r="Q81" s="374"/>
    </row>
    <row r="82" spans="1:17" s="394" customFormat="1" ht="16">
      <c r="A82" s="427"/>
      <c r="B82" s="427"/>
      <c r="C82" s="427"/>
      <c r="D82" s="427"/>
      <c r="E82" s="427"/>
      <c r="F82" s="449"/>
      <c r="G82" s="427"/>
      <c r="H82" s="427"/>
      <c r="I82" s="427"/>
      <c r="J82" s="427"/>
      <c r="K82" s="427"/>
      <c r="N82" s="450"/>
      <c r="O82" s="375"/>
      <c r="P82" s="374"/>
      <c r="Q82" s="374"/>
    </row>
    <row r="83" spans="1:17" s="394" customFormat="1" ht="16">
      <c r="A83" s="427"/>
      <c r="B83" s="427"/>
      <c r="C83" s="427"/>
      <c r="D83" s="427"/>
      <c r="E83" s="427"/>
      <c r="F83" s="449"/>
      <c r="G83" s="427"/>
      <c r="H83" s="427"/>
      <c r="I83" s="427"/>
      <c r="J83" s="427"/>
      <c r="K83" s="427"/>
      <c r="N83" s="450"/>
      <c r="O83" s="375"/>
      <c r="P83" s="374"/>
      <c r="Q83" s="374"/>
    </row>
    <row r="84" spans="1:17" s="394" customFormat="1" ht="16">
      <c r="A84" s="427"/>
      <c r="B84" s="427"/>
      <c r="C84" s="427"/>
      <c r="D84" s="427"/>
      <c r="E84" s="427"/>
      <c r="F84" s="449"/>
      <c r="G84" s="427"/>
      <c r="H84" s="427"/>
      <c r="I84" s="427"/>
      <c r="J84" s="427"/>
      <c r="K84" s="427"/>
      <c r="N84" s="450"/>
      <c r="O84" s="375"/>
      <c r="P84" s="374"/>
      <c r="Q84" s="374"/>
    </row>
    <row r="85" spans="1:17" s="394" customFormat="1" ht="16">
      <c r="A85" s="427"/>
      <c r="B85" s="427"/>
      <c r="C85" s="427"/>
      <c r="D85" s="427"/>
      <c r="E85" s="427"/>
      <c r="F85" s="449"/>
      <c r="G85" s="427"/>
      <c r="H85" s="427"/>
      <c r="I85" s="427"/>
      <c r="J85" s="427"/>
      <c r="K85" s="427"/>
      <c r="N85" s="450"/>
      <c r="O85" s="375"/>
      <c r="P85" s="374"/>
      <c r="Q85" s="374"/>
    </row>
    <row r="86" spans="1:17" s="394" customFormat="1" ht="16">
      <c r="A86" s="427"/>
      <c r="B86" s="427"/>
      <c r="C86" s="427"/>
      <c r="D86" s="427"/>
      <c r="E86" s="427"/>
      <c r="F86" s="449"/>
      <c r="G86" s="427"/>
      <c r="H86" s="427"/>
      <c r="I86" s="427"/>
      <c r="J86" s="427"/>
      <c r="K86" s="427"/>
      <c r="N86" s="450"/>
      <c r="O86" s="375"/>
      <c r="P86" s="374"/>
      <c r="Q86" s="374"/>
    </row>
    <row r="87" spans="1:17" s="394" customFormat="1" ht="16">
      <c r="A87" s="427"/>
      <c r="B87" s="427"/>
      <c r="C87" s="427"/>
      <c r="D87" s="427"/>
      <c r="E87" s="427"/>
      <c r="F87" s="449"/>
      <c r="G87" s="427"/>
      <c r="H87" s="427"/>
      <c r="I87" s="427"/>
      <c r="J87" s="427"/>
      <c r="K87" s="427"/>
      <c r="N87" s="450"/>
      <c r="O87" s="375"/>
      <c r="P87" s="374"/>
      <c r="Q87" s="374"/>
    </row>
    <row r="88" spans="1:17" s="394" customFormat="1" ht="16">
      <c r="A88" s="427"/>
      <c r="B88" s="427"/>
      <c r="C88" s="427"/>
      <c r="D88" s="427"/>
      <c r="E88" s="427"/>
      <c r="F88" s="449"/>
      <c r="G88" s="427"/>
      <c r="H88" s="427"/>
      <c r="I88" s="427"/>
      <c r="J88" s="427"/>
      <c r="K88" s="427"/>
      <c r="N88" s="450"/>
      <c r="O88" s="375"/>
      <c r="P88" s="374"/>
      <c r="Q88" s="374"/>
    </row>
    <row r="89" spans="1:17" s="394" customFormat="1" ht="16">
      <c r="A89" s="427"/>
      <c r="B89" s="427"/>
      <c r="C89" s="427"/>
      <c r="D89" s="427"/>
      <c r="E89" s="427"/>
      <c r="F89" s="449"/>
      <c r="G89" s="427"/>
      <c r="H89" s="427"/>
      <c r="I89" s="427"/>
      <c r="J89" s="427"/>
      <c r="K89" s="427"/>
      <c r="N89" s="450"/>
      <c r="O89" s="375"/>
      <c r="P89" s="374"/>
      <c r="Q89" s="374"/>
    </row>
    <row r="90" spans="1:17" s="394" customFormat="1" ht="16">
      <c r="A90" s="427"/>
      <c r="B90" s="427"/>
      <c r="C90" s="427"/>
      <c r="D90" s="427"/>
      <c r="E90" s="427"/>
      <c r="F90" s="449"/>
      <c r="G90" s="427"/>
      <c r="H90" s="427"/>
      <c r="I90" s="427"/>
      <c r="J90" s="427"/>
      <c r="K90" s="427"/>
      <c r="N90" s="450"/>
      <c r="O90" s="375"/>
      <c r="P90" s="374"/>
      <c r="Q90" s="374"/>
    </row>
    <row r="91" spans="1:17" s="394" customFormat="1" ht="16">
      <c r="A91" s="427"/>
      <c r="B91" s="427"/>
      <c r="C91" s="427"/>
      <c r="D91" s="427"/>
      <c r="E91" s="427"/>
      <c r="F91" s="449"/>
      <c r="G91" s="427"/>
      <c r="H91" s="427"/>
      <c r="I91" s="427"/>
      <c r="J91" s="427"/>
      <c r="K91" s="427"/>
      <c r="N91" s="450"/>
      <c r="O91" s="375"/>
      <c r="P91" s="374"/>
      <c r="Q91" s="374"/>
    </row>
    <row r="92" spans="1:17" s="394" customFormat="1" ht="16">
      <c r="A92" s="427"/>
      <c r="B92" s="427"/>
      <c r="C92" s="427"/>
      <c r="D92" s="427"/>
      <c r="E92" s="427"/>
      <c r="F92" s="449"/>
      <c r="G92" s="427"/>
      <c r="N92" s="450"/>
      <c r="O92" s="375"/>
      <c r="P92" s="374"/>
      <c r="Q92" s="374"/>
    </row>
    <row r="93" spans="1:17" s="394" customFormat="1" ht="16">
      <c r="A93" s="427"/>
      <c r="B93" s="427"/>
      <c r="C93" s="442"/>
      <c r="D93" s="427"/>
      <c r="E93" s="427"/>
      <c r="F93" s="449"/>
      <c r="G93" s="427"/>
      <c r="N93" s="450"/>
      <c r="O93" s="375"/>
      <c r="P93" s="374"/>
      <c r="Q93" s="374"/>
    </row>
    <row r="94" spans="1:17" s="394" customFormat="1" ht="16">
      <c r="A94" s="427"/>
      <c r="B94" s="427"/>
      <c r="C94" s="442"/>
      <c r="D94" s="427"/>
      <c r="E94" s="427"/>
      <c r="F94" s="449"/>
      <c r="G94" s="427"/>
      <c r="N94" s="450"/>
      <c r="O94" s="375"/>
      <c r="P94" s="374"/>
      <c r="Q94" s="374"/>
    </row>
    <row r="95" spans="1:17" s="394" customFormat="1" ht="16">
      <c r="A95" s="427"/>
      <c r="B95" s="427"/>
      <c r="C95" s="427"/>
      <c r="D95" s="427"/>
      <c r="E95" s="427"/>
      <c r="F95" s="449"/>
      <c r="G95" s="427"/>
      <c r="N95" s="450"/>
      <c r="O95" s="375"/>
      <c r="P95" s="374"/>
      <c r="Q95" s="374"/>
    </row>
    <row r="96" spans="1:17" s="394" customFormat="1" ht="16">
      <c r="A96" s="458"/>
      <c r="B96" s="427"/>
      <c r="C96" s="442"/>
      <c r="D96" s="459"/>
      <c r="E96" s="427"/>
      <c r="F96" s="449"/>
      <c r="G96" s="427"/>
      <c r="N96" s="450"/>
      <c r="O96" s="375"/>
      <c r="P96" s="374"/>
      <c r="Q96" s="374"/>
    </row>
    <row r="97" spans="1:17" s="394" customFormat="1" ht="16">
      <c r="A97" s="427"/>
      <c r="B97" s="427"/>
      <c r="C97" s="442"/>
      <c r="D97" s="442"/>
      <c r="E97" s="427"/>
      <c r="F97" s="449"/>
      <c r="G97" s="427"/>
      <c r="N97" s="450"/>
      <c r="O97" s="375"/>
      <c r="P97" s="374"/>
      <c r="Q97" s="374"/>
    </row>
    <row r="98" spans="1:17" s="394" customFormat="1" ht="16">
      <c r="A98" s="427"/>
      <c r="B98" s="427"/>
      <c r="C98" s="442"/>
      <c r="D98" s="459"/>
      <c r="E98" s="427"/>
      <c r="F98" s="449"/>
      <c r="G98" s="427"/>
      <c r="N98" s="450"/>
      <c r="O98" s="375"/>
      <c r="P98" s="374"/>
      <c r="Q98" s="374"/>
    </row>
    <row r="99" spans="1:17" s="394" customFormat="1" ht="16">
      <c r="A99" s="427"/>
      <c r="B99" s="427"/>
      <c r="C99" s="442"/>
      <c r="D99" s="427"/>
      <c r="E99" s="427"/>
      <c r="F99" s="449"/>
      <c r="G99" s="427"/>
      <c r="N99" s="450"/>
      <c r="O99" s="375"/>
      <c r="P99" s="374"/>
      <c r="Q99" s="374"/>
    </row>
    <row r="100" spans="1:17" s="394" customFormat="1" ht="16">
      <c r="A100" s="427"/>
      <c r="B100" s="427"/>
      <c r="C100" s="442"/>
      <c r="D100" s="427"/>
      <c r="E100" s="427"/>
      <c r="F100" s="449"/>
      <c r="G100" s="427"/>
      <c r="N100" s="450"/>
      <c r="O100" s="375"/>
      <c r="P100" s="374"/>
      <c r="Q100" s="374"/>
    </row>
    <row r="101" spans="1:17" s="394" customFormat="1" ht="16">
      <c r="A101" s="427"/>
      <c r="B101" s="427"/>
      <c r="C101" s="442"/>
      <c r="D101" s="427"/>
      <c r="E101" s="427"/>
      <c r="F101" s="449"/>
      <c r="G101" s="427"/>
      <c r="N101" s="450"/>
      <c r="O101" s="375"/>
      <c r="P101" s="374"/>
      <c r="Q101" s="374"/>
    </row>
    <row r="102" spans="1:17" s="394" customFormat="1" ht="16">
      <c r="C102" s="442"/>
      <c r="F102" s="405"/>
      <c r="N102" s="450"/>
      <c r="O102" s="375"/>
      <c r="P102" s="374"/>
      <c r="Q102" s="374"/>
    </row>
  </sheetData>
  <printOptions horizontalCentered="1"/>
  <pageMargins left="0.7" right="0.5" top="0.9" bottom="0.25" header="0.5" footer="0.25"/>
  <pageSetup scale="54" orientation="landscape"/>
  <headerFooter scaleWithDoc="0">
    <oddFooter>&amp;R&amp;8 78</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showGridLines="0" showOutlineSymbols="0" zoomScale="70" zoomScaleNormal="70" zoomScalePageLayoutView="70" workbookViewId="0"/>
  </sheetViews>
  <sheetFormatPr baseColWidth="10" defaultColWidth="9.5703125" defaultRowHeight="17" x14ac:dyDescent="0"/>
  <cols>
    <col min="1" max="1" width="4.42578125" style="476" customWidth="1"/>
    <col min="2" max="2" width="50.140625" style="476" customWidth="1"/>
    <col min="3" max="3" width="0.85546875" style="476" customWidth="1"/>
    <col min="4" max="4" width="2.42578125" style="477" customWidth="1"/>
    <col min="5" max="5" width="24.85546875" style="476" bestFit="1" customWidth="1"/>
    <col min="6" max="6" width="2.42578125" style="478" customWidth="1"/>
    <col min="7" max="7" width="25.85546875" style="478" bestFit="1" customWidth="1"/>
    <col min="8" max="8" width="2.42578125" style="478" customWidth="1"/>
    <col min="9" max="9" width="22.140625" style="476" bestFit="1" customWidth="1"/>
    <col min="10" max="10" width="2.42578125" style="478" customWidth="1"/>
    <col min="11" max="11" width="20.140625" style="476" bestFit="1" customWidth="1"/>
    <col min="12" max="12" width="2.42578125" style="478" customWidth="1"/>
    <col min="13" max="13" width="22.5703125" style="476" bestFit="1" customWidth="1"/>
    <col min="14" max="14" width="2.42578125" style="478" customWidth="1"/>
    <col min="15" max="15" width="22.140625" style="476" bestFit="1" customWidth="1"/>
    <col min="16" max="16" width="2.42578125" style="478" customWidth="1"/>
    <col min="17" max="17" width="25.5703125" style="476" bestFit="1" customWidth="1"/>
    <col min="18" max="18" width="2.85546875" style="476" customWidth="1"/>
    <col min="19" max="19" width="23" style="476" customWidth="1"/>
    <col min="20" max="20" width="17.85546875" style="476" customWidth="1"/>
    <col min="21" max="16384" width="9.5703125" style="476"/>
  </cols>
  <sheetData>
    <row r="1" spans="1:19">
      <c r="A1" s="1582" t="s">
        <v>1443</v>
      </c>
    </row>
    <row r="3" spans="1:19" s="462" customFormat="1" ht="18">
      <c r="A3" s="2405" t="s">
        <v>0</v>
      </c>
      <c r="B3" s="2405"/>
      <c r="C3" s="2405"/>
      <c r="D3" s="2405"/>
      <c r="E3" s="2405"/>
      <c r="F3" s="2405"/>
      <c r="G3" s="2405"/>
      <c r="H3" s="2405"/>
      <c r="I3" s="2174"/>
      <c r="J3" s="460"/>
      <c r="K3" s="2174"/>
      <c r="L3" s="460"/>
      <c r="M3" s="2174"/>
      <c r="N3" s="2174"/>
      <c r="O3" s="2174"/>
      <c r="P3" s="460"/>
      <c r="Q3" s="461"/>
      <c r="R3" s="2177"/>
      <c r="S3" s="2221" t="s">
        <v>278</v>
      </c>
    </row>
    <row r="4" spans="1:19" s="462" customFormat="1" ht="18">
      <c r="A4" s="2406" t="s">
        <v>279</v>
      </c>
      <c r="B4" s="2406"/>
      <c r="C4" s="2406"/>
      <c r="D4" s="2406"/>
      <c r="E4" s="2406"/>
      <c r="F4" s="2406"/>
      <c r="G4" s="2406"/>
      <c r="H4" s="2406"/>
      <c r="I4" s="2174"/>
      <c r="J4" s="460"/>
      <c r="K4" s="2174"/>
      <c r="L4" s="460"/>
      <c r="M4" s="2174"/>
      <c r="N4" s="2174"/>
      <c r="O4" s="2174"/>
      <c r="P4" s="460"/>
      <c r="Q4" s="2174"/>
      <c r="R4" s="2177"/>
      <c r="S4" s="2178"/>
    </row>
    <row r="5" spans="1:19" s="462" customFormat="1" ht="18">
      <c r="A5" s="2406" t="s">
        <v>2540</v>
      </c>
      <c r="B5" s="2406"/>
      <c r="C5" s="2406"/>
      <c r="D5" s="2406"/>
      <c r="E5" s="2406"/>
      <c r="F5" s="2406"/>
      <c r="G5" s="2406"/>
      <c r="H5" s="2406"/>
      <c r="I5" s="2174"/>
      <c r="J5" s="460"/>
      <c r="K5" s="2174"/>
      <c r="L5" s="460"/>
      <c r="M5" s="2174"/>
      <c r="N5" s="2174"/>
      <c r="O5" s="2174"/>
      <c r="P5" s="460"/>
      <c r="Q5" s="461"/>
      <c r="R5" s="2177"/>
    </row>
    <row r="6" spans="1:19" s="462" customFormat="1" ht="18">
      <c r="A6" s="2407" t="s">
        <v>2648</v>
      </c>
      <c r="B6" s="2407"/>
      <c r="C6" s="2407"/>
      <c r="D6" s="2407"/>
      <c r="E6" s="2407"/>
      <c r="F6" s="2407"/>
      <c r="G6" s="2407"/>
      <c r="H6" s="2407"/>
      <c r="I6" s="2174"/>
      <c r="J6" s="2174"/>
      <c r="K6" s="2174"/>
      <c r="L6" s="2174"/>
      <c r="M6" s="2174"/>
      <c r="N6" s="2174"/>
      <c r="O6" s="2174"/>
      <c r="P6" s="2174"/>
      <c r="Q6" s="2174"/>
      <c r="R6" s="2174"/>
      <c r="S6" s="2178"/>
    </row>
    <row r="7" spans="1:19" s="462" customFormat="1" ht="18">
      <c r="A7" s="2408"/>
      <c r="B7" s="2408"/>
      <c r="C7" s="2408"/>
      <c r="D7" s="2408"/>
      <c r="E7" s="2408"/>
      <c r="F7" s="2408"/>
      <c r="G7" s="2408"/>
      <c r="H7" s="2408"/>
      <c r="I7" s="464"/>
      <c r="J7" s="464"/>
      <c r="K7" s="464"/>
      <c r="L7" s="464"/>
      <c r="M7" s="464"/>
      <c r="N7" s="464"/>
      <c r="O7" s="464"/>
      <c r="P7" s="464"/>
      <c r="Q7" s="464"/>
      <c r="R7" s="463"/>
    </row>
    <row r="8" spans="1:19" s="467" customFormat="1" ht="15">
      <c r="A8" s="465"/>
      <c r="B8" s="465"/>
      <c r="C8" s="465"/>
      <c r="D8" s="466"/>
      <c r="F8" s="468"/>
      <c r="G8" s="468"/>
      <c r="H8" s="468"/>
      <c r="J8" s="468"/>
      <c r="L8" s="468"/>
      <c r="N8" s="468"/>
      <c r="P8" s="468"/>
      <c r="R8" s="469"/>
    </row>
    <row r="9" spans="1:19" s="467" customFormat="1" ht="15">
      <c r="D9" s="466"/>
      <c r="F9" s="468"/>
      <c r="G9" s="468"/>
      <c r="H9" s="468"/>
      <c r="J9" s="468"/>
      <c r="L9" s="468"/>
      <c r="N9" s="468"/>
      <c r="P9" s="468"/>
      <c r="R9" s="469"/>
    </row>
    <row r="10" spans="1:19" s="467" customFormat="1" ht="15">
      <c r="D10" s="466"/>
      <c r="E10"/>
      <c r="F10"/>
      <c r="G10"/>
      <c r="H10"/>
      <c r="I10"/>
      <c r="J10"/>
      <c r="K10"/>
      <c r="L10"/>
      <c r="M10" t="s">
        <v>280</v>
      </c>
      <c r="N10"/>
      <c r="O10" s="1986"/>
      <c r="P10"/>
      <c r="Q10"/>
      <c r="R10" s="469"/>
    </row>
    <row r="11" spans="1:19" s="467" customFormat="1" ht="15">
      <c r="A11" s="2304"/>
      <c r="B11" s="2304"/>
      <c r="C11" s="2304"/>
      <c r="D11" s="2305"/>
      <c r="E11" s="2304"/>
      <c r="F11" s="2305"/>
      <c r="G11" s="2306"/>
      <c r="H11" s="2305"/>
      <c r="I11" s="2307"/>
      <c r="J11" s="2305"/>
      <c r="K11" s="2304"/>
      <c r="L11" s="2305"/>
      <c r="M11" s="2304"/>
      <c r="N11" s="2307"/>
      <c r="O11" s="2306"/>
      <c r="P11" s="2305"/>
      <c r="Q11" s="2307" t="s">
        <v>2541</v>
      </c>
      <c r="R11" s="2179"/>
      <c r="S11" s="486"/>
    </row>
    <row r="12" spans="1:19" s="467" customFormat="1" ht="15">
      <c r="A12" s="2308"/>
      <c r="B12" s="2308"/>
      <c r="C12" s="2308"/>
      <c r="D12" s="2305"/>
      <c r="E12" s="2307" t="s">
        <v>282</v>
      </c>
      <c r="F12" s="2305"/>
      <c r="G12" s="2307" t="s">
        <v>281</v>
      </c>
      <c r="H12" s="2305"/>
      <c r="I12" s="2307" t="s">
        <v>284</v>
      </c>
      <c r="J12" s="2305"/>
      <c r="K12" s="2307" t="s">
        <v>285</v>
      </c>
      <c r="L12" s="2309"/>
      <c r="M12" s="2310" t="s">
        <v>286</v>
      </c>
      <c r="N12" s="2307"/>
      <c r="O12" s="2307" t="s">
        <v>2542</v>
      </c>
      <c r="P12" s="2305"/>
      <c r="Q12" s="2307" t="s">
        <v>282</v>
      </c>
      <c r="R12" s="2179"/>
      <c r="S12" s="2307" t="s">
        <v>2542</v>
      </c>
    </row>
    <row r="13" spans="1:19" s="467" customFormat="1" ht="15">
      <c r="A13" s="2308"/>
      <c r="B13" s="2308"/>
      <c r="C13" s="2308"/>
      <c r="D13" s="2305"/>
      <c r="E13" s="2307" t="s">
        <v>287</v>
      </c>
      <c r="F13" s="2305"/>
      <c r="G13" s="2307" t="s">
        <v>283</v>
      </c>
      <c r="H13" s="2305"/>
      <c r="I13" s="2307" t="s">
        <v>282</v>
      </c>
      <c r="J13" s="2305"/>
      <c r="K13" s="2307" t="s">
        <v>288</v>
      </c>
      <c r="L13" s="2309"/>
      <c r="M13" s="2310" t="s">
        <v>2649</v>
      </c>
      <c r="N13" s="2307"/>
      <c r="O13" s="2311" t="s">
        <v>2584</v>
      </c>
      <c r="P13" s="2305"/>
      <c r="Q13" s="2307" t="s">
        <v>287</v>
      </c>
      <c r="R13" s="2179"/>
      <c r="S13" s="2354" t="s">
        <v>2584</v>
      </c>
    </row>
    <row r="14" spans="1:19" s="467" customFormat="1" ht="15">
      <c r="A14" s="2312"/>
      <c r="B14" s="2312"/>
      <c r="C14" s="2312"/>
      <c r="D14" s="2313"/>
      <c r="E14" s="2314" t="s">
        <v>2593</v>
      </c>
      <c r="F14" s="2313"/>
      <c r="G14" s="2314" t="s">
        <v>2650</v>
      </c>
      <c r="H14" s="2313"/>
      <c r="I14" s="2315" t="s">
        <v>289</v>
      </c>
      <c r="J14" s="2313"/>
      <c r="K14" s="2315" t="s">
        <v>2651</v>
      </c>
      <c r="L14" s="2316"/>
      <c r="M14" s="2317" t="s">
        <v>2652</v>
      </c>
      <c r="N14" s="2318"/>
      <c r="O14" s="2314" t="s">
        <v>2543</v>
      </c>
      <c r="P14" s="2305"/>
      <c r="Q14" s="2314" t="s">
        <v>2592</v>
      </c>
      <c r="R14" s="2179"/>
      <c r="S14" s="2315" t="s">
        <v>290</v>
      </c>
    </row>
    <row r="15" spans="1:19" s="467" customFormat="1" ht="15">
      <c r="A15" s="2319"/>
      <c r="B15" s="2319"/>
      <c r="C15" s="2319"/>
      <c r="D15" s="2320"/>
      <c r="E15" s="2321"/>
      <c r="F15" s="2320"/>
      <c r="G15" s="2320"/>
      <c r="H15" s="2320"/>
      <c r="I15" s="2321"/>
      <c r="J15" s="2320"/>
      <c r="K15" s="2321"/>
      <c r="L15" s="2322"/>
      <c r="M15" s="2321"/>
      <c r="N15" s="2323"/>
      <c r="O15" s="2323"/>
      <c r="P15" s="2320"/>
      <c r="Q15" s="2321"/>
      <c r="R15" s="2179"/>
      <c r="S15" s="2321"/>
    </row>
    <row r="16" spans="1:19" s="467" customFormat="1" ht="15">
      <c r="A16" s="2324" t="s">
        <v>291</v>
      </c>
      <c r="B16" s="2325"/>
      <c r="C16" s="2325"/>
      <c r="D16" s="2320"/>
      <c r="E16" s="2326"/>
      <c r="F16" s="2320"/>
      <c r="G16" s="2320"/>
      <c r="H16" s="2320"/>
      <c r="I16" s="2326"/>
      <c r="J16" s="2320"/>
      <c r="K16" s="2326"/>
      <c r="L16" s="2320"/>
      <c r="M16" s="2326"/>
      <c r="N16" s="2326"/>
      <c r="O16" s="2326"/>
      <c r="P16" s="2320"/>
      <c r="Q16" s="2326"/>
      <c r="R16" s="2179"/>
      <c r="S16" s="2326"/>
    </row>
    <row r="17" spans="1:19" s="467" customFormat="1">
      <c r="A17" s="2327"/>
      <c r="B17" s="2325" t="s">
        <v>292</v>
      </c>
      <c r="C17" s="2325">
        <v>0</v>
      </c>
      <c r="D17" s="2328"/>
      <c r="E17" s="2329">
        <v>76347860004</v>
      </c>
      <c r="F17" s="2328"/>
      <c r="G17" s="2330">
        <v>108310339635</v>
      </c>
      <c r="H17" s="2328"/>
      <c r="I17" s="2331">
        <v>46756284146</v>
      </c>
      <c r="J17" s="2328"/>
      <c r="K17" s="2331">
        <v>-366472983</v>
      </c>
      <c r="L17" s="2328"/>
      <c r="M17" s="2331">
        <v>284600219</v>
      </c>
      <c r="N17" s="2331"/>
      <c r="O17" s="2331">
        <v>58965192001</v>
      </c>
      <c r="P17" s="2328"/>
      <c r="Q17" s="2332">
        <v>78854850727</v>
      </c>
      <c r="R17" s="2179"/>
      <c r="S17" s="2332">
        <v>58930025641</v>
      </c>
    </row>
    <row r="18" spans="1:19" s="467" customFormat="1">
      <c r="A18" s="2327"/>
      <c r="B18" s="2325" t="s">
        <v>293</v>
      </c>
      <c r="C18" s="2325">
        <v>0</v>
      </c>
      <c r="D18" s="2320"/>
      <c r="E18" s="2333">
        <v>164114840215</v>
      </c>
      <c r="F18" s="2334"/>
      <c r="G18" s="2335">
        <v>97869460900</v>
      </c>
      <c r="H18" s="2334"/>
      <c r="I18" s="2333">
        <v>18478150238</v>
      </c>
      <c r="J18" s="2334"/>
      <c r="K18" s="2333">
        <v>-141332783</v>
      </c>
      <c r="L18" s="2334"/>
      <c r="M18" s="2336">
        <v>0</v>
      </c>
      <c r="N18" s="2336"/>
      <c r="O18" s="2336">
        <v>49083290920</v>
      </c>
      <c r="P18" s="2334"/>
      <c r="Q18" s="2337">
        <v>194281527175</v>
      </c>
      <c r="R18" s="2179"/>
      <c r="S18" s="2337">
        <v>49087632243</v>
      </c>
    </row>
    <row r="19" spans="1:19" s="467" customFormat="1">
      <c r="A19" s="2327"/>
      <c r="B19" s="2325" t="s">
        <v>294</v>
      </c>
      <c r="C19" s="2325">
        <v>0</v>
      </c>
      <c r="D19" s="2320"/>
      <c r="E19" s="2333">
        <v>27182634368</v>
      </c>
      <c r="F19" s="2334"/>
      <c r="G19" s="2335">
        <v>45784462956</v>
      </c>
      <c r="H19" s="2334"/>
      <c r="I19" s="2338">
        <v>13960387371</v>
      </c>
      <c r="J19" s="2334"/>
      <c r="K19" s="2333">
        <v>186278376</v>
      </c>
      <c r="L19" s="2334"/>
      <c r="M19" s="2333">
        <v>2818750</v>
      </c>
      <c r="N19" s="2333"/>
      <c r="O19" s="2333">
        <v>31929166000</v>
      </c>
      <c r="P19" s="2334"/>
      <c r="Q19" s="2337">
        <v>27266641079</v>
      </c>
      <c r="R19" s="2179"/>
      <c r="S19" s="2337">
        <v>31934394639</v>
      </c>
    </row>
    <row r="20" spans="1:19" s="467" customFormat="1">
      <c r="A20" s="2327"/>
      <c r="B20" s="2325" t="s">
        <v>295</v>
      </c>
      <c r="C20" s="2325">
        <v>0</v>
      </c>
      <c r="D20" s="2320"/>
      <c r="E20" s="2339">
        <v>1487655234</v>
      </c>
      <c r="F20" s="2334"/>
      <c r="G20" s="2340">
        <v>7578300000</v>
      </c>
      <c r="H20" s="2334"/>
      <c r="I20" s="2333">
        <v>1453603296</v>
      </c>
      <c r="J20" s="2334"/>
      <c r="K20" s="2341">
        <v>0</v>
      </c>
      <c r="L20" s="2334"/>
      <c r="M20" s="2336">
        <v>0</v>
      </c>
      <c r="N20" s="2336"/>
      <c r="O20" s="2336">
        <v>5458757657</v>
      </c>
      <c r="P20" s="2334"/>
      <c r="Q20" s="2337">
        <v>2153594281</v>
      </c>
      <c r="R20" s="2179"/>
      <c r="S20" s="2337">
        <v>5301890411</v>
      </c>
    </row>
    <row r="21" spans="1:19" s="467" customFormat="1">
      <c r="A21" s="2327"/>
      <c r="B21" s="2325" t="s">
        <v>296</v>
      </c>
      <c r="C21" s="2325">
        <v>0</v>
      </c>
      <c r="D21" s="2320"/>
      <c r="E21" s="2333">
        <v>8159959224</v>
      </c>
      <c r="F21" s="2334"/>
      <c r="G21" s="2335">
        <v>2286000000</v>
      </c>
      <c r="H21" s="2334"/>
      <c r="I21" s="2341">
        <v>2454686</v>
      </c>
      <c r="J21" s="2334"/>
      <c r="K21" s="2342">
        <v>141527390</v>
      </c>
      <c r="L21" s="2334"/>
      <c r="M21" s="2334">
        <v>0</v>
      </c>
      <c r="N21" s="2334"/>
      <c r="O21" s="2334">
        <v>2313875357</v>
      </c>
      <c r="P21" s="2334"/>
      <c r="Q21" s="2337">
        <v>8271156571</v>
      </c>
      <c r="R21" s="2179"/>
      <c r="S21" s="2337">
        <v>2313875493</v>
      </c>
    </row>
    <row r="22" spans="1:19" s="467" customFormat="1">
      <c r="A22" s="2327"/>
      <c r="B22" s="2325" t="s">
        <v>297</v>
      </c>
      <c r="C22" s="2325">
        <v>0</v>
      </c>
      <c r="D22" s="2320"/>
      <c r="E22" s="2333">
        <v>35698116078</v>
      </c>
      <c r="F22" s="2334"/>
      <c r="G22" s="2335">
        <v>14146036600</v>
      </c>
      <c r="H22" s="2334"/>
      <c r="I22" s="2333">
        <v>544275656</v>
      </c>
      <c r="J22" s="2334"/>
      <c r="K22" s="2333">
        <v>180000000</v>
      </c>
      <c r="L22" s="2334"/>
      <c r="M22" s="2336">
        <v>-76977000</v>
      </c>
      <c r="N22" s="2336"/>
      <c r="O22" s="2336">
        <v>7498696753</v>
      </c>
      <c r="P22" s="2334"/>
      <c r="Q22" s="2337">
        <v>41904203269</v>
      </c>
      <c r="R22" s="2179"/>
      <c r="S22" s="2337">
        <v>7503135215</v>
      </c>
    </row>
    <row r="23" spans="1:19" s="467" customFormat="1">
      <c r="A23" s="2327"/>
      <c r="B23" s="2325" t="s">
        <v>2653</v>
      </c>
      <c r="C23" s="2325">
        <v>0</v>
      </c>
      <c r="D23" s="2320"/>
      <c r="E23" s="2343">
        <v>1250000000</v>
      </c>
      <c r="F23" s="2334"/>
      <c r="G23" s="2340">
        <v>1250000000</v>
      </c>
      <c r="H23" s="2334"/>
      <c r="I23" s="2333">
        <v>0</v>
      </c>
      <c r="J23" s="2334"/>
      <c r="K23" s="2344">
        <v>0</v>
      </c>
      <c r="L23" s="2334"/>
      <c r="M23" s="2336">
        <v>0</v>
      </c>
      <c r="N23" s="2336"/>
      <c r="O23" s="2336">
        <v>0</v>
      </c>
      <c r="P23" s="2334"/>
      <c r="Q23" s="2337">
        <f t="shared" ref="Q23" si="0">ROUND(+SUM(E23)+SUM(G23)-SUM(I23)+SUM(K23) +SUM(M23)-SUM(O23),0)</f>
        <v>2500000000</v>
      </c>
      <c r="R23" s="2179"/>
      <c r="S23" s="2337">
        <v>0</v>
      </c>
    </row>
    <row r="24" spans="1:19" s="467" customFormat="1">
      <c r="A24" s="2327"/>
      <c r="B24" s="2345" t="s">
        <v>298</v>
      </c>
      <c r="C24" s="2325">
        <v>0</v>
      </c>
      <c r="D24" s="2320"/>
      <c r="E24" s="2346">
        <f>ROUND(SUM(E17:E23), 0)</f>
        <v>314241065123</v>
      </c>
      <c r="F24" s="2334"/>
      <c r="G24" s="2346">
        <f>ROUND(SUM(G17:G23),0)</f>
        <v>277224600091</v>
      </c>
      <c r="H24" s="2334"/>
      <c r="I24" s="2346">
        <f>ROUND(SUM(I17:I23),0)</f>
        <v>81195155393</v>
      </c>
      <c r="J24" s="2334"/>
      <c r="K24" s="2346">
        <f>ROUND(SUM(K17:K23),0)</f>
        <v>0</v>
      </c>
      <c r="L24" s="2334"/>
      <c r="M24" s="2346">
        <f>ROUND(SUM(M17:M23),0)</f>
        <v>210441969</v>
      </c>
      <c r="N24" s="2347"/>
      <c r="O24" s="2346">
        <f>ROUND(SUM(O17:O23),0)</f>
        <v>155248978688</v>
      </c>
      <c r="P24" s="2334"/>
      <c r="Q24" s="2346">
        <f>ROUND(SUM(Q17:Q23),0)</f>
        <v>355231973102</v>
      </c>
      <c r="R24" s="2179"/>
      <c r="S24" s="2346">
        <f>ROUND(SUM(S17:S23), 0)</f>
        <v>155070953642</v>
      </c>
    </row>
    <row r="25" spans="1:19" s="467" customFormat="1">
      <c r="A25" s="2327"/>
      <c r="B25" s="2325"/>
      <c r="C25" s="2325"/>
      <c r="D25" s="2320"/>
      <c r="E25" s="2343"/>
      <c r="F25" s="2334"/>
      <c r="G25" s="2334"/>
      <c r="H25" s="2334"/>
      <c r="I25" s="2343"/>
      <c r="J25" s="2334"/>
      <c r="K25" s="2343"/>
      <c r="L25" s="2334"/>
      <c r="M25" s="2343"/>
      <c r="N25" s="2343"/>
      <c r="O25" s="2343"/>
      <c r="P25" s="2334"/>
      <c r="Q25" s="2343"/>
      <c r="R25" s="2179"/>
      <c r="S25" s="2343"/>
    </row>
    <row r="26" spans="1:19" s="467" customFormat="1" ht="15">
      <c r="A26" s="2324" t="s">
        <v>299</v>
      </c>
      <c r="B26" s="2325"/>
      <c r="C26" s="2325"/>
      <c r="D26" s="2320"/>
      <c r="E26" s="2343"/>
      <c r="F26" s="2334"/>
      <c r="G26" s="2334"/>
      <c r="H26" s="2334"/>
      <c r="I26" s="2343"/>
      <c r="J26" s="2334"/>
      <c r="K26" s="2343"/>
      <c r="L26" s="2334"/>
      <c r="M26" s="2343"/>
      <c r="N26" s="2343"/>
      <c r="O26" s="2343"/>
      <c r="P26" s="2334"/>
      <c r="Q26" s="2343"/>
      <c r="R26" s="2179"/>
      <c r="S26" s="2343"/>
    </row>
    <row r="27" spans="1:19" s="467" customFormat="1">
      <c r="A27" s="2327"/>
      <c r="B27" s="2325" t="s">
        <v>300</v>
      </c>
      <c r="C27" s="2325">
        <v>0</v>
      </c>
      <c r="D27" s="2320"/>
      <c r="E27" s="2339">
        <v>4606747575</v>
      </c>
      <c r="F27" s="2334"/>
      <c r="G27" s="2339">
        <v>3362718000</v>
      </c>
      <c r="H27" s="2334"/>
      <c r="I27" s="2339">
        <v>67281562</v>
      </c>
      <c r="J27" s="2334"/>
      <c r="K27" s="2344">
        <v>0</v>
      </c>
      <c r="L27" s="2334"/>
      <c r="M27" s="2336">
        <v>0</v>
      </c>
      <c r="N27" s="2336"/>
      <c r="O27" s="2336">
        <v>2422678184</v>
      </c>
      <c r="P27" s="2334"/>
      <c r="Q27" s="2337">
        <v>5479505829</v>
      </c>
      <c r="R27" s="2179"/>
      <c r="S27" s="2337">
        <v>2422832450</v>
      </c>
    </row>
    <row r="28" spans="1:19" s="467" customFormat="1">
      <c r="A28" s="2327"/>
      <c r="B28" s="2325" t="s">
        <v>301</v>
      </c>
      <c r="C28" s="2325">
        <v>0</v>
      </c>
      <c r="D28" s="2320"/>
      <c r="E28" s="2339">
        <v>1195418394</v>
      </c>
      <c r="F28" s="2334"/>
      <c r="G28" s="2339">
        <v>1431626900</v>
      </c>
      <c r="H28" s="2334"/>
      <c r="I28" s="2339">
        <v>949728948</v>
      </c>
      <c r="J28" s="2334"/>
      <c r="K28" s="2339">
        <v>0</v>
      </c>
      <c r="L28" s="2334"/>
      <c r="M28" s="2336">
        <v>0</v>
      </c>
      <c r="N28" s="2336"/>
      <c r="O28" s="2336">
        <v>556062546</v>
      </c>
      <c r="P28" s="2334"/>
      <c r="Q28" s="2337">
        <v>1121253800</v>
      </c>
      <c r="R28" s="2179"/>
      <c r="S28" s="2337">
        <v>556184943</v>
      </c>
    </row>
    <row r="29" spans="1:19" s="467" customFormat="1">
      <c r="A29" s="2327"/>
      <c r="B29" s="2345" t="s">
        <v>302</v>
      </c>
      <c r="C29" s="2325">
        <v>0</v>
      </c>
      <c r="D29" s="2320"/>
      <c r="E29" s="2346">
        <f>ROUND(SUM(E27:E28),0)</f>
        <v>5802165969</v>
      </c>
      <c r="F29" s="2334"/>
      <c r="G29" s="2346">
        <f>ROUND(SUM(G27:G28),0)</f>
        <v>4794344900</v>
      </c>
      <c r="H29" s="2334"/>
      <c r="I29" s="2346">
        <f>ROUND(SUM(I27:I28),0)</f>
        <v>1017010510</v>
      </c>
      <c r="J29" s="2334"/>
      <c r="K29" s="2346">
        <f>ROUND(SUM(K27:K28),0)</f>
        <v>0</v>
      </c>
      <c r="L29" s="2334"/>
      <c r="M29" s="2346">
        <f>ROUND(SUM(M27:M28),0)</f>
        <v>0</v>
      </c>
      <c r="N29" s="2347"/>
      <c r="O29" s="2346">
        <f>ROUND(SUM(O27:O28),0)</f>
        <v>2978740730</v>
      </c>
      <c r="P29" s="2334"/>
      <c r="Q29" s="2346">
        <f>ROUND(SUM(Q27:Q28),0)</f>
        <v>6600759629</v>
      </c>
      <c r="R29" s="2179"/>
      <c r="S29" s="2346">
        <f>ROUND(SUM(S27:S28),0)</f>
        <v>2979017393</v>
      </c>
    </row>
    <row r="30" spans="1:19" s="467" customFormat="1">
      <c r="A30" s="2327"/>
      <c r="B30" s="2325"/>
      <c r="C30" s="2325"/>
      <c r="D30" s="2320"/>
      <c r="E30" s="2343"/>
      <c r="F30" s="2334"/>
      <c r="G30" s="2334"/>
      <c r="H30" s="2334"/>
      <c r="I30" s="2343"/>
      <c r="J30" s="2334"/>
      <c r="K30" s="2343"/>
      <c r="L30" s="2334"/>
      <c r="M30" s="2343"/>
      <c r="N30" s="2343"/>
      <c r="O30" s="2343"/>
      <c r="P30" s="2334"/>
      <c r="Q30" s="2343"/>
      <c r="R30" s="2179"/>
      <c r="S30" s="2337"/>
    </row>
    <row r="31" spans="1:19" s="467" customFormat="1" ht="15">
      <c r="A31" s="2324" t="s">
        <v>303</v>
      </c>
      <c r="B31" s="2325"/>
      <c r="C31" s="2325"/>
      <c r="D31" s="2320"/>
      <c r="E31" s="2343"/>
      <c r="F31" s="2334"/>
      <c r="G31" s="2334"/>
      <c r="H31" s="2334"/>
      <c r="I31" s="2343"/>
      <c r="J31" s="2334"/>
      <c r="K31" s="2343"/>
      <c r="L31" s="2334"/>
      <c r="M31" s="2343"/>
      <c r="N31" s="2343"/>
      <c r="O31" s="2343"/>
      <c r="P31" s="2334"/>
      <c r="Q31" s="2343"/>
      <c r="R31" s="2179"/>
      <c r="S31" s="2343"/>
    </row>
    <row r="32" spans="1:19" s="467" customFormat="1">
      <c r="A32" s="2327"/>
      <c r="B32" s="2325" t="s">
        <v>304</v>
      </c>
      <c r="C32" s="2325">
        <v>0</v>
      </c>
      <c r="D32" s="2320"/>
      <c r="E32" s="2333">
        <v>1412840</v>
      </c>
      <c r="F32" s="2334"/>
      <c r="G32" s="2348">
        <v>1836000</v>
      </c>
      <c r="H32" s="2334"/>
      <c r="I32" s="2333">
        <v>1390339</v>
      </c>
      <c r="J32" s="2334"/>
      <c r="K32" s="2344">
        <v>0</v>
      </c>
      <c r="L32" s="2334"/>
      <c r="M32" s="2336">
        <v>0</v>
      </c>
      <c r="N32" s="2336"/>
      <c r="O32" s="2336">
        <v>451596</v>
      </c>
      <c r="P32" s="2334"/>
      <c r="Q32" s="2337">
        <v>1406905</v>
      </c>
      <c r="R32" s="2179"/>
      <c r="S32" s="2337">
        <v>451596</v>
      </c>
    </row>
    <row r="33" spans="1:19" s="467" customFormat="1">
      <c r="A33" s="2327"/>
      <c r="B33" s="2325" t="s">
        <v>305</v>
      </c>
      <c r="C33" s="2325">
        <v>0</v>
      </c>
      <c r="D33" s="2320"/>
      <c r="E33" s="2333">
        <v>8597987</v>
      </c>
      <c r="F33" s="2334"/>
      <c r="G33" s="2333">
        <v>106729000</v>
      </c>
      <c r="H33" s="2334"/>
      <c r="I33" s="2333">
        <v>417014</v>
      </c>
      <c r="J33" s="2334"/>
      <c r="K33" s="2344">
        <v>0</v>
      </c>
      <c r="L33" s="2334"/>
      <c r="M33" s="2336">
        <v>0</v>
      </c>
      <c r="N33" s="2336"/>
      <c r="O33" s="2336">
        <v>110265217</v>
      </c>
      <c r="P33" s="2334"/>
      <c r="Q33" s="2337">
        <v>4644756</v>
      </c>
      <c r="R33" s="2179"/>
      <c r="S33" s="2337">
        <v>110399806</v>
      </c>
    </row>
    <row r="34" spans="1:19" s="467" customFormat="1">
      <c r="A34" s="2327"/>
      <c r="B34" s="2325" t="s">
        <v>306</v>
      </c>
      <c r="C34" s="2325">
        <v>0</v>
      </c>
      <c r="D34" s="2320"/>
      <c r="E34" s="2333">
        <v>2195011235</v>
      </c>
      <c r="F34" s="2334"/>
      <c r="G34" s="2333">
        <v>3354089865</v>
      </c>
      <c r="H34" s="2334"/>
      <c r="I34" s="2333">
        <v>928290045</v>
      </c>
      <c r="J34" s="2334"/>
      <c r="K34" s="2333">
        <v>0</v>
      </c>
      <c r="L34" s="2334"/>
      <c r="M34" s="2336">
        <v>0</v>
      </c>
      <c r="N34" s="2336"/>
      <c r="O34" s="2336">
        <v>2430263105</v>
      </c>
      <c r="P34" s="2334"/>
      <c r="Q34" s="2337">
        <v>2190547950</v>
      </c>
      <c r="R34" s="2179"/>
      <c r="S34" s="2337">
        <v>2430263184</v>
      </c>
    </row>
    <row r="35" spans="1:19" s="467" customFormat="1">
      <c r="A35" s="2327"/>
      <c r="B35" s="2345" t="s">
        <v>307</v>
      </c>
      <c r="C35" s="2325">
        <v>0</v>
      </c>
      <c r="D35" s="2320"/>
      <c r="E35" s="2346">
        <f>ROUND(SUM(E32:E34),0)</f>
        <v>2205022062</v>
      </c>
      <c r="F35" s="2334"/>
      <c r="G35" s="2346">
        <f>ROUND(SUM(G32:G34),0)</f>
        <v>3462654865</v>
      </c>
      <c r="H35" s="2334"/>
      <c r="I35" s="2346">
        <f>ROUND(SUM(I32:I34),0)</f>
        <v>930097398</v>
      </c>
      <c r="J35" s="2334"/>
      <c r="K35" s="2346">
        <f>ROUND(SUM(K32:K34),0)</f>
        <v>0</v>
      </c>
      <c r="L35" s="2334"/>
      <c r="M35" s="2346">
        <f>ROUND(SUM(M32:M34),0)</f>
        <v>0</v>
      </c>
      <c r="N35" s="2347"/>
      <c r="O35" s="2346">
        <f>ROUND(SUM(O32:O34),0)</f>
        <v>2540979918</v>
      </c>
      <c r="P35" s="2334"/>
      <c r="Q35" s="2346">
        <f>ROUND(SUM(Q32:Q34),0)</f>
        <v>2196599611</v>
      </c>
      <c r="R35" s="2179"/>
      <c r="S35" s="2346">
        <f>ROUND(SUM(S32:S34),0)</f>
        <v>2541114586</v>
      </c>
    </row>
    <row r="36" spans="1:19" s="467" customFormat="1">
      <c r="A36" s="2327"/>
      <c r="B36" s="2325"/>
      <c r="C36" s="2325"/>
      <c r="D36" s="2320"/>
      <c r="E36" s="2343"/>
      <c r="F36" s="2334"/>
      <c r="G36" s="2334"/>
      <c r="H36" s="2334"/>
      <c r="I36" s="2343"/>
      <c r="J36" s="2334"/>
      <c r="K36" s="2343"/>
      <c r="L36" s="2334"/>
      <c r="M36" s="2343"/>
      <c r="N36" s="2343"/>
      <c r="O36" s="2343"/>
      <c r="P36" s="2334"/>
      <c r="Q36" s="2349"/>
      <c r="R36" s="2179"/>
      <c r="S36" s="2355"/>
    </row>
    <row r="37" spans="1:19" s="467" customFormat="1" ht="16" thickBot="1">
      <c r="A37" s="2324" t="s">
        <v>308</v>
      </c>
      <c r="B37" s="2325"/>
      <c r="C37" s="2325">
        <v>0</v>
      </c>
      <c r="D37" s="2320"/>
      <c r="E37" s="2350">
        <f>ROUND(SUM(E24+E29+E35), 0)</f>
        <v>322248253154</v>
      </c>
      <c r="F37" s="2351"/>
      <c r="G37" s="2350">
        <f>ROUND(SUM(G24+G29+G35), 0)</f>
        <v>285481599856</v>
      </c>
      <c r="H37" s="2351"/>
      <c r="I37" s="2350">
        <f>ROUND(SUM(I24+I29+I35), 0)</f>
        <v>83142263301</v>
      </c>
      <c r="J37" s="2351"/>
      <c r="K37" s="2350">
        <f>ROUND(SUM(K24+K29+K35), 0)</f>
        <v>0</v>
      </c>
      <c r="L37" s="2351"/>
      <c r="M37" s="2350">
        <f>ROUND(SUM(M24+M29+M35), 0)</f>
        <v>210441969</v>
      </c>
      <c r="N37" s="2352"/>
      <c r="O37" s="2350">
        <f>ROUND(SUM(O24+O29+O35), 0)</f>
        <v>160768699336</v>
      </c>
      <c r="P37" s="2351"/>
      <c r="Q37" s="2353">
        <f>ROUND(SUM(Q24+Q29+Q35), 0)</f>
        <v>364029332342</v>
      </c>
      <c r="R37" s="2179"/>
      <c r="S37" s="2353">
        <f>ROUND(SUM(S24+S29+S35), 0)</f>
        <v>160591085621</v>
      </c>
    </row>
    <row r="38" spans="1:19" s="467" customFormat="1" ht="18" thickTop="1">
      <c r="A38" s="471"/>
      <c r="B38" s="470"/>
      <c r="C38" s="470"/>
      <c r="D38" s="466"/>
      <c r="F38" s="468"/>
      <c r="G38" s="468"/>
      <c r="H38" s="468"/>
      <c r="J38" s="468"/>
      <c r="L38" s="468"/>
      <c r="N38" s="468"/>
      <c r="P38" s="468"/>
    </row>
    <row r="39" spans="1:19" s="475" customFormat="1" ht="15">
      <c r="A39" s="2356" t="s">
        <v>275</v>
      </c>
      <c r="B39" s="2404" t="s">
        <v>310</v>
      </c>
      <c r="C39" s="2404"/>
      <c r="D39" s="2404"/>
      <c r="E39" s="2404"/>
      <c r="F39" s="2404"/>
      <c r="G39" s="2404"/>
      <c r="H39" s="2404"/>
      <c r="I39" s="2404"/>
      <c r="J39" s="2404"/>
      <c r="K39" s="2404"/>
      <c r="L39" s="2404"/>
      <c r="M39" s="2404"/>
      <c r="N39" s="2404"/>
      <c r="O39" s="2404"/>
      <c r="P39" s="2404"/>
      <c r="Q39" s="2404"/>
      <c r="R39" s="2404"/>
      <c r="S39" s="2404"/>
    </row>
    <row r="40" spans="1:19">
      <c r="A40" s="2356" t="s">
        <v>309</v>
      </c>
      <c r="B40" s="2404" t="s">
        <v>312</v>
      </c>
      <c r="C40" s="2404"/>
      <c r="D40" s="2404"/>
      <c r="E40" s="2404"/>
      <c r="F40" s="2404"/>
      <c r="G40" s="2404"/>
      <c r="H40" s="2404"/>
      <c r="I40" s="2404"/>
      <c r="J40" s="2404"/>
      <c r="K40" s="2404"/>
      <c r="L40" s="2404"/>
      <c r="M40" s="2404"/>
      <c r="N40" s="2404"/>
      <c r="O40" s="2404"/>
      <c r="P40" s="2404"/>
      <c r="Q40" s="2404"/>
      <c r="R40" s="2404"/>
      <c r="S40" s="2404"/>
    </row>
    <row r="48" spans="1:19">
      <c r="Q48" s="479"/>
    </row>
  </sheetData>
  <mergeCells count="7">
    <mergeCell ref="B40:S40"/>
    <mergeCell ref="B39:S39"/>
    <mergeCell ref="A3:H3"/>
    <mergeCell ref="A4:H4"/>
    <mergeCell ref="A5:H5"/>
    <mergeCell ref="A6:H6"/>
    <mergeCell ref="A7:H7"/>
  </mergeCells>
  <printOptions horizontalCentered="1"/>
  <pageMargins left="0.4" right="0.5" top="0.95" bottom="0.25" header="0.3" footer="0.25"/>
  <pageSetup scale="41" fitToHeight="0" orientation="landscape"/>
  <headerFooter scaleWithDoc="0">
    <oddFooter>&amp;R&amp;8 79</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7"/>
  <sheetViews>
    <sheetView showGridLines="0" showOutlineSymbols="0" zoomScale="70" zoomScaleNormal="70" zoomScaleSheetLayoutView="55" zoomScalePageLayoutView="70" workbookViewId="0"/>
  </sheetViews>
  <sheetFormatPr baseColWidth="10" defaultColWidth="8.85546875" defaultRowHeight="17" x14ac:dyDescent="0"/>
  <cols>
    <col min="1" max="1" width="4.140625" style="541" customWidth="1"/>
    <col min="2" max="2" width="58.5703125" style="541" customWidth="1"/>
    <col min="3" max="3" width="0.85546875" style="541" customWidth="1"/>
    <col min="4" max="4" width="2.42578125" style="539" customWidth="1"/>
    <col min="5" max="5" width="20.85546875" style="541" customWidth="1"/>
    <col min="6" max="6" width="2.42578125" style="539" customWidth="1"/>
    <col min="7" max="7" width="20.85546875" style="539" customWidth="1"/>
    <col min="8" max="8" width="2.42578125" style="539" customWidth="1"/>
    <col min="9" max="9" width="20.85546875" style="541" customWidth="1"/>
    <col min="10" max="10" width="2.42578125" style="539" customWidth="1"/>
    <col min="11" max="11" width="20.85546875" style="541" customWidth="1"/>
    <col min="12" max="12" width="2.42578125" style="539" customWidth="1"/>
    <col min="13" max="13" width="20.85546875" style="541" customWidth="1"/>
    <col min="14" max="14" width="2.85546875" style="541" customWidth="1"/>
    <col min="15" max="15" width="20.85546875" style="541" customWidth="1"/>
    <col min="16" max="16" width="2.42578125" style="539" customWidth="1"/>
    <col min="17" max="17" width="20.85546875" style="541" customWidth="1"/>
    <col min="18" max="18" width="2.42578125" style="539" customWidth="1"/>
    <col min="19" max="19" width="20.85546875" style="541" customWidth="1"/>
    <col min="20" max="16384" width="8.85546875" style="541"/>
  </cols>
  <sheetData>
    <row r="1" spans="1:19">
      <c r="A1" s="1582" t="s">
        <v>1443</v>
      </c>
    </row>
    <row r="3" spans="1:19" s="483" customFormat="1" ht="18">
      <c r="A3" s="2407" t="s">
        <v>0</v>
      </c>
      <c r="B3" s="2407"/>
      <c r="C3" s="2407"/>
      <c r="D3" s="2407"/>
      <c r="E3" s="2407"/>
      <c r="F3" s="2407"/>
      <c r="G3" s="2407"/>
      <c r="H3" s="2407"/>
      <c r="I3" s="2175"/>
      <c r="J3" s="480"/>
      <c r="K3" s="2175"/>
      <c r="L3" s="480"/>
      <c r="M3" s="2175"/>
      <c r="N3" s="2175"/>
      <c r="O3" s="2175"/>
      <c r="P3" s="480"/>
      <c r="Q3" s="480"/>
      <c r="R3" s="480"/>
      <c r="S3" s="2220" t="s">
        <v>313</v>
      </c>
    </row>
    <row r="4" spans="1:19" s="483" customFormat="1" ht="18">
      <c r="A4" s="2412" t="s">
        <v>314</v>
      </c>
      <c r="B4" s="2412"/>
      <c r="C4" s="2412"/>
      <c r="D4" s="2412"/>
      <c r="E4" s="2412"/>
      <c r="F4" s="2412"/>
      <c r="G4" s="2412"/>
      <c r="H4" s="2412"/>
      <c r="I4" s="2175"/>
      <c r="J4" s="480"/>
      <c r="K4" s="2175"/>
      <c r="L4" s="480"/>
      <c r="M4" s="2175"/>
      <c r="N4" s="2175"/>
      <c r="O4" s="2175"/>
      <c r="P4" s="480"/>
      <c r="Q4" s="480"/>
      <c r="R4" s="480"/>
      <c r="S4" s="2175"/>
    </row>
    <row r="5" spans="1:19" s="483" customFormat="1" ht="18">
      <c r="A5" s="2412" t="s">
        <v>2540</v>
      </c>
      <c r="B5" s="2412"/>
      <c r="C5" s="2412"/>
      <c r="D5" s="2412"/>
      <c r="E5" s="2412"/>
      <c r="F5" s="2412"/>
      <c r="G5" s="2412"/>
      <c r="H5" s="2412"/>
      <c r="I5" s="2175"/>
      <c r="J5" s="480"/>
      <c r="K5" s="2175"/>
      <c r="L5" s="480"/>
      <c r="M5" s="2175"/>
      <c r="N5" s="2175"/>
      <c r="O5" s="2175"/>
      <c r="P5" s="480"/>
      <c r="Q5" s="480"/>
      <c r="R5" s="480"/>
      <c r="S5" s="481"/>
    </row>
    <row r="6" spans="1:19" s="483" customFormat="1" ht="18">
      <c r="A6" s="2407" t="s">
        <v>2648</v>
      </c>
      <c r="B6" s="2407"/>
      <c r="C6" s="2407"/>
      <c r="D6" s="2407"/>
      <c r="E6" s="2407"/>
      <c r="F6" s="2407"/>
      <c r="G6" s="2407"/>
      <c r="H6" s="2407"/>
      <c r="I6" s="2175"/>
      <c r="J6" s="2175"/>
      <c r="K6" s="2175"/>
      <c r="L6" s="2175"/>
      <c r="M6" s="2175"/>
      <c r="N6" s="2175"/>
      <c r="O6" s="2175"/>
      <c r="P6" s="2175"/>
      <c r="Q6" s="2175"/>
      <c r="R6" s="2175"/>
      <c r="S6" s="2175"/>
    </row>
    <row r="7" spans="1:19" s="486" customFormat="1" ht="15">
      <c r="A7" s="484"/>
      <c r="B7" s="484"/>
      <c r="C7" s="484"/>
      <c r="D7" s="485"/>
      <c r="F7" s="485"/>
      <c r="G7" s="485"/>
      <c r="H7" s="485"/>
      <c r="I7" s="484"/>
      <c r="J7" s="485"/>
      <c r="L7" s="485"/>
      <c r="P7" s="485"/>
      <c r="R7" s="485"/>
    </row>
    <row r="8" spans="1:19" s="486" customFormat="1" ht="15">
      <c r="D8" s="485"/>
      <c r="F8" s="485"/>
      <c r="G8" s="485"/>
      <c r="H8" s="485"/>
      <c r="I8" s="484"/>
      <c r="J8" s="485"/>
      <c r="L8" s="485"/>
      <c r="P8" s="485"/>
      <c r="R8" s="485"/>
    </row>
    <row r="9" spans="1:19" s="486" customFormat="1" ht="15">
      <c r="D9" s="485"/>
      <c r="F9" s="485"/>
      <c r="G9" s="485"/>
      <c r="H9" s="485"/>
      <c r="I9" s="487"/>
      <c r="J9" s="485"/>
      <c r="L9" s="485"/>
      <c r="M9" s="488" t="s">
        <v>280</v>
      </c>
      <c r="N9" s="488"/>
      <c r="O9" s="488"/>
      <c r="P9" s="488"/>
      <c r="Q9" s="489"/>
      <c r="R9" s="485"/>
    </row>
    <row r="10" spans="1:19" s="486" customFormat="1" ht="15">
      <c r="D10" s="485"/>
      <c r="F10" s="485"/>
      <c r="G10"/>
      <c r="H10" s="485"/>
      <c r="I10" s="489"/>
      <c r="J10" s="485"/>
      <c r="L10" s="485"/>
      <c r="N10" s="2180"/>
      <c r="O10"/>
      <c r="P10" s="485"/>
      <c r="Q10" s="489" t="s">
        <v>2541</v>
      </c>
      <c r="R10" s="2179"/>
    </row>
    <row r="11" spans="1:19" s="486" customFormat="1" ht="15">
      <c r="A11" s="490"/>
      <c r="B11" s="490"/>
      <c r="C11" s="490"/>
      <c r="D11" s="485"/>
      <c r="E11" s="489" t="s">
        <v>282</v>
      </c>
      <c r="F11" s="485"/>
      <c r="G11" s="489" t="s">
        <v>281</v>
      </c>
      <c r="H11" s="485"/>
      <c r="I11" s="489" t="s">
        <v>284</v>
      </c>
      <c r="J11" s="485"/>
      <c r="K11" s="489" t="s">
        <v>285</v>
      </c>
      <c r="L11" s="491"/>
      <c r="M11" s="492" t="s">
        <v>286</v>
      </c>
      <c r="N11" s="2180"/>
      <c r="O11" s="2180" t="s">
        <v>2542</v>
      </c>
      <c r="P11" s="485"/>
      <c r="Q11" s="489" t="s">
        <v>282</v>
      </c>
      <c r="R11" s="2179"/>
      <c r="S11" s="489" t="s">
        <v>2542</v>
      </c>
    </row>
    <row r="12" spans="1:19" s="486" customFormat="1" ht="15">
      <c r="A12" s="490"/>
      <c r="B12" s="490"/>
      <c r="C12" s="490"/>
      <c r="D12" s="485"/>
      <c r="E12" s="489" t="s">
        <v>287</v>
      </c>
      <c r="F12" s="485"/>
      <c r="G12" s="489" t="s">
        <v>283</v>
      </c>
      <c r="H12" s="485"/>
      <c r="I12" s="489" t="s">
        <v>282</v>
      </c>
      <c r="J12" s="485"/>
      <c r="K12" s="489" t="s">
        <v>288</v>
      </c>
      <c r="L12" s="491"/>
      <c r="M12" s="492" t="s">
        <v>2649</v>
      </c>
      <c r="N12" s="2180"/>
      <c r="O12" s="2181" t="s">
        <v>2584</v>
      </c>
      <c r="P12" s="485"/>
      <c r="Q12" s="489" t="s">
        <v>287</v>
      </c>
      <c r="R12" s="2179"/>
      <c r="S12" s="493" t="s">
        <v>2584</v>
      </c>
    </row>
    <row r="13" spans="1:19" s="486" customFormat="1" ht="15">
      <c r="A13" s="494"/>
      <c r="B13" s="494"/>
      <c r="C13" s="494"/>
      <c r="D13" s="495"/>
      <c r="E13" s="1971" t="s">
        <v>2593</v>
      </c>
      <c r="F13" s="495"/>
      <c r="G13" s="1971" t="s">
        <v>2650</v>
      </c>
      <c r="H13" s="495"/>
      <c r="I13" s="2182" t="s">
        <v>289</v>
      </c>
      <c r="J13" s="495"/>
      <c r="K13" s="2182" t="s">
        <v>2651</v>
      </c>
      <c r="L13" s="496"/>
      <c r="M13" s="2185" t="s">
        <v>2652</v>
      </c>
      <c r="N13" s="2368"/>
      <c r="O13" s="2183" t="s">
        <v>2543</v>
      </c>
      <c r="P13" s="485"/>
      <c r="Q13" s="1971" t="s">
        <v>2592</v>
      </c>
      <c r="R13" s="2179"/>
      <c r="S13" s="2182" t="s">
        <v>290</v>
      </c>
    </row>
    <row r="14" spans="1:19" s="486" customFormat="1" ht="15">
      <c r="A14" s="497"/>
      <c r="B14" s="497"/>
      <c r="C14" s="497"/>
      <c r="D14" s="485"/>
      <c r="E14" s="498"/>
      <c r="F14" s="485"/>
      <c r="G14" s="485"/>
      <c r="H14" s="485"/>
      <c r="I14" s="498"/>
      <c r="J14" s="485"/>
      <c r="K14" s="498"/>
      <c r="L14" s="495"/>
      <c r="M14" s="498"/>
      <c r="N14" s="508"/>
      <c r="O14" s="508"/>
      <c r="P14" s="485"/>
      <c r="Q14" s="498"/>
      <c r="R14" s="2179"/>
      <c r="S14" s="498"/>
    </row>
    <row r="15" spans="1:19" s="486" customFormat="1">
      <c r="A15" s="499" t="s">
        <v>315</v>
      </c>
      <c r="B15" s="490"/>
      <c r="C15" s="490"/>
      <c r="D15" s="485"/>
      <c r="F15" s="500"/>
      <c r="G15" s="485"/>
      <c r="H15" s="500"/>
      <c r="J15" s="500"/>
      <c r="L15" s="500"/>
      <c r="M15" s="98"/>
      <c r="N15" s="98"/>
      <c r="O15" s="98"/>
      <c r="P15" s="500"/>
      <c r="R15" s="2179"/>
    </row>
    <row r="16" spans="1:19" s="486" customFormat="1" ht="15">
      <c r="A16" s="490"/>
      <c r="B16" s="490"/>
      <c r="C16" s="490"/>
      <c r="D16" s="485"/>
      <c r="F16" s="500"/>
      <c r="G16" s="485"/>
      <c r="H16" s="500"/>
      <c r="J16" s="500"/>
      <c r="L16" s="500"/>
      <c r="M16" s="501"/>
      <c r="N16" s="501"/>
      <c r="O16" s="501"/>
      <c r="P16" s="500"/>
      <c r="Q16" s="502"/>
      <c r="R16" s="2179"/>
      <c r="S16" s="502"/>
    </row>
    <row r="17" spans="1:19" s="508" customFormat="1" ht="15">
      <c r="A17" s="503"/>
      <c r="B17" s="504" t="s">
        <v>316</v>
      </c>
      <c r="C17" s="504">
        <v>0</v>
      </c>
      <c r="D17" s="505"/>
      <c r="E17" s="506">
        <v>231431</v>
      </c>
      <c r="F17" s="505"/>
      <c r="G17" s="505">
        <v>4563000</v>
      </c>
      <c r="H17" s="505"/>
      <c r="I17" s="1114">
        <v>153726</v>
      </c>
      <c r="J17" s="516"/>
      <c r="K17" s="1114">
        <v>31345</v>
      </c>
      <c r="L17" s="505"/>
      <c r="M17" s="507">
        <v>0</v>
      </c>
      <c r="N17" s="506"/>
      <c r="O17" s="506">
        <v>4297270</v>
      </c>
      <c r="P17" s="505"/>
      <c r="Q17" s="506">
        <f>ROUND(+SUM(E17)+SUM(G17)-SUM(I17)+SUM(K17) +SUM(M17)-SUM(O17),0)</f>
        <v>374780</v>
      </c>
      <c r="R17" s="2184"/>
      <c r="S17" s="1114">
        <v>4297270</v>
      </c>
    </row>
    <row r="18" spans="1:19" s="508" customFormat="1" ht="15">
      <c r="A18" s="503"/>
      <c r="B18" s="504" t="s">
        <v>317</v>
      </c>
      <c r="C18" s="504">
        <v>0</v>
      </c>
      <c r="D18" s="495"/>
      <c r="E18" s="510">
        <v>50108274</v>
      </c>
      <c r="F18" s="510"/>
      <c r="G18" s="510">
        <v>131949000</v>
      </c>
      <c r="H18" s="510"/>
      <c r="I18" s="1113">
        <v>3841758</v>
      </c>
      <c r="J18" s="516"/>
      <c r="K18" s="1113">
        <v>49000</v>
      </c>
      <c r="L18" s="512"/>
      <c r="M18" s="472">
        <v>0</v>
      </c>
      <c r="N18" s="510"/>
      <c r="O18" s="510">
        <v>128405939</v>
      </c>
      <c r="P18" s="510"/>
      <c r="Q18" s="510">
        <f>ROUND(+SUM(E18)+SUM(G18)-SUM(I18)+SUM(K18) +SUM(M18)-SUM(O18),0)</f>
        <v>49858577</v>
      </c>
      <c r="R18" s="2186"/>
      <c r="S18" s="1113">
        <v>128410939</v>
      </c>
    </row>
    <row r="19" spans="1:19" s="508" customFormat="1" ht="15">
      <c r="A19" s="497"/>
      <c r="B19" s="504" t="s">
        <v>318</v>
      </c>
      <c r="C19" s="504">
        <v>0</v>
      </c>
      <c r="D19" s="513"/>
      <c r="E19" s="510">
        <v>31653289</v>
      </c>
      <c r="F19" s="514"/>
      <c r="G19" s="511">
        <v>64865000</v>
      </c>
      <c r="H19" s="514"/>
      <c r="I19" s="542">
        <v>1786186</v>
      </c>
      <c r="J19" s="512"/>
      <c r="K19" s="1113">
        <v>2624824</v>
      </c>
      <c r="L19" s="512"/>
      <c r="M19" s="472">
        <v>0</v>
      </c>
      <c r="N19" s="510"/>
      <c r="O19" s="510">
        <v>63039115</v>
      </c>
      <c r="P19" s="512"/>
      <c r="Q19" s="510">
        <f t="shared" ref="Q19:Q71" si="0">ROUND(+SUM(E19)+SUM(G19)-SUM(I19)+SUM(K19) +SUM(M19)-SUM(O19),0)</f>
        <v>34317812</v>
      </c>
      <c r="R19" s="2187"/>
      <c r="S19" s="1113">
        <v>62965119</v>
      </c>
    </row>
    <row r="20" spans="1:19" s="508" customFormat="1" ht="15">
      <c r="A20" s="497"/>
      <c r="B20" s="504" t="s">
        <v>319</v>
      </c>
      <c r="C20" s="504">
        <v>0</v>
      </c>
      <c r="D20" s="515"/>
      <c r="E20" s="510">
        <v>7032514</v>
      </c>
      <c r="F20" s="510"/>
      <c r="G20" s="509">
        <v>28523000</v>
      </c>
      <c r="H20" s="510"/>
      <c r="I20" s="516">
        <v>3109089</v>
      </c>
      <c r="J20" s="516"/>
      <c r="K20" s="1113">
        <v>4569790</v>
      </c>
      <c r="L20" s="510"/>
      <c r="M20" s="472">
        <v>0</v>
      </c>
      <c r="N20" s="510"/>
      <c r="O20" s="510">
        <v>30480047</v>
      </c>
      <c r="P20" s="510"/>
      <c r="Q20" s="510">
        <f t="shared" si="0"/>
        <v>6536168</v>
      </c>
      <c r="R20" s="2186"/>
      <c r="S20" s="1113">
        <v>30480047</v>
      </c>
    </row>
    <row r="21" spans="1:19" s="508" customFormat="1" ht="15">
      <c r="A21" s="497"/>
      <c r="B21" s="504" t="s">
        <v>320</v>
      </c>
      <c r="C21" s="504">
        <v>0</v>
      </c>
      <c r="D21" s="515"/>
      <c r="E21" s="510">
        <v>5944599</v>
      </c>
      <c r="F21" s="510"/>
      <c r="G21" s="510">
        <v>45174000</v>
      </c>
      <c r="H21" s="510"/>
      <c r="I21" s="542">
        <v>730860</v>
      </c>
      <c r="J21" s="516"/>
      <c r="K21" s="517">
        <v>0</v>
      </c>
      <c r="L21" s="510"/>
      <c r="M21" s="472">
        <v>0</v>
      </c>
      <c r="N21" s="510"/>
      <c r="O21" s="510">
        <v>41819795</v>
      </c>
      <c r="P21" s="510"/>
      <c r="Q21" s="510">
        <f t="shared" si="0"/>
        <v>8567944</v>
      </c>
      <c r="R21" s="2186"/>
      <c r="S21" s="1113">
        <v>41819795</v>
      </c>
    </row>
    <row r="22" spans="1:19" s="508" customFormat="1" ht="15">
      <c r="A22" s="497"/>
      <c r="B22" s="504" t="s">
        <v>321</v>
      </c>
      <c r="C22" s="504">
        <v>0</v>
      </c>
      <c r="D22" s="495"/>
      <c r="E22" s="510">
        <v>9784238</v>
      </c>
      <c r="F22" s="510"/>
      <c r="G22" s="510">
        <v>29778000</v>
      </c>
      <c r="H22" s="510"/>
      <c r="I22" s="542">
        <v>9254496</v>
      </c>
      <c r="J22" s="516"/>
      <c r="K22" s="517">
        <v>0</v>
      </c>
      <c r="L22" s="510"/>
      <c r="M22" s="472">
        <v>0</v>
      </c>
      <c r="N22" s="510"/>
      <c r="O22" s="510">
        <v>21079539</v>
      </c>
      <c r="P22" s="510"/>
      <c r="Q22" s="510">
        <f t="shared" si="0"/>
        <v>9228203</v>
      </c>
      <c r="R22" s="2186"/>
      <c r="S22" s="1113">
        <v>21079539</v>
      </c>
    </row>
    <row r="23" spans="1:19" s="508" customFormat="1" ht="15">
      <c r="A23" s="494"/>
      <c r="B23" s="504" t="s">
        <v>322</v>
      </c>
      <c r="C23" s="504">
        <v>0</v>
      </c>
      <c r="D23" s="495"/>
      <c r="E23" s="510">
        <v>889153841</v>
      </c>
      <c r="F23" s="510"/>
      <c r="G23" s="510">
        <v>2295881500</v>
      </c>
      <c r="H23" s="510"/>
      <c r="I23" s="542">
        <v>502962417</v>
      </c>
      <c r="J23" s="510"/>
      <c r="K23" s="1113">
        <v>-5101973.7</v>
      </c>
      <c r="L23" s="510"/>
      <c r="M23" s="472">
        <v>0</v>
      </c>
      <c r="N23" s="510"/>
      <c r="O23" s="510">
        <v>1960791754</v>
      </c>
      <c r="P23" s="510"/>
      <c r="Q23" s="510">
        <f t="shared" si="0"/>
        <v>716179196</v>
      </c>
      <c r="R23" s="2186"/>
      <c r="S23" s="1113">
        <v>1960816925</v>
      </c>
    </row>
    <row r="24" spans="1:19" s="508" customFormat="1" ht="15">
      <c r="B24" s="504" t="s">
        <v>323</v>
      </c>
      <c r="C24" s="504">
        <v>0</v>
      </c>
      <c r="D24" s="515"/>
      <c r="E24" s="510">
        <v>344362649</v>
      </c>
      <c r="F24" s="518"/>
      <c r="G24" s="519">
        <v>1452147940</v>
      </c>
      <c r="H24" s="518"/>
      <c r="I24" s="542">
        <v>392909</v>
      </c>
      <c r="J24" s="516"/>
      <c r="K24" s="1113">
        <v>5488700</v>
      </c>
      <c r="L24" s="518"/>
      <c r="M24" s="472">
        <v>0</v>
      </c>
      <c r="N24" s="510"/>
      <c r="O24" s="510">
        <v>1435462080</v>
      </c>
      <c r="P24" s="518"/>
      <c r="Q24" s="510">
        <f t="shared" si="0"/>
        <v>366144300</v>
      </c>
      <c r="R24" s="2188"/>
      <c r="S24" s="1113">
        <v>1435462080</v>
      </c>
    </row>
    <row r="25" spans="1:19" s="508" customFormat="1" ht="15">
      <c r="B25" s="504" t="s">
        <v>324</v>
      </c>
      <c r="C25" s="504">
        <v>0</v>
      </c>
      <c r="D25" s="515"/>
      <c r="E25" s="510">
        <v>2996204</v>
      </c>
      <c r="F25" s="518"/>
      <c r="G25" s="518">
        <v>14533000</v>
      </c>
      <c r="H25" s="518"/>
      <c r="I25" s="542">
        <v>2220541</v>
      </c>
      <c r="J25" s="516"/>
      <c r="K25" s="1113">
        <v>894917</v>
      </c>
      <c r="L25" s="518"/>
      <c r="M25" s="472">
        <v>0</v>
      </c>
      <c r="N25" s="510"/>
      <c r="O25" s="510">
        <v>12950787</v>
      </c>
      <c r="P25" s="518"/>
      <c r="Q25" s="510">
        <f t="shared" si="0"/>
        <v>3252793</v>
      </c>
      <c r="R25" s="2188"/>
      <c r="S25" s="1113">
        <v>12950787</v>
      </c>
    </row>
    <row r="26" spans="1:19" s="508" customFormat="1" ht="15">
      <c r="B26" s="504" t="s">
        <v>325</v>
      </c>
      <c r="C26" s="504">
        <v>0</v>
      </c>
      <c r="D26" s="515"/>
      <c r="E26" s="510">
        <v>709533</v>
      </c>
      <c r="F26" s="510"/>
      <c r="G26" s="510">
        <v>2894000</v>
      </c>
      <c r="H26" s="510"/>
      <c r="I26" s="542">
        <v>687898</v>
      </c>
      <c r="J26" s="516"/>
      <c r="K26" s="517">
        <v>0</v>
      </c>
      <c r="L26" s="510"/>
      <c r="M26" s="472">
        <v>0</v>
      </c>
      <c r="N26" s="510"/>
      <c r="O26" s="510">
        <v>2297143</v>
      </c>
      <c r="P26" s="510"/>
      <c r="Q26" s="510">
        <f t="shared" si="0"/>
        <v>618492</v>
      </c>
      <c r="R26" s="2186"/>
      <c r="S26" s="1113">
        <v>2297143</v>
      </c>
    </row>
    <row r="27" spans="1:19" s="508" customFormat="1" ht="15">
      <c r="A27" s="497"/>
      <c r="B27" s="504" t="s">
        <v>326</v>
      </c>
      <c r="C27" s="504">
        <v>0</v>
      </c>
      <c r="D27" s="515"/>
      <c r="E27" s="510">
        <v>116890158</v>
      </c>
      <c r="F27" s="510"/>
      <c r="G27" s="510">
        <v>2742779000</v>
      </c>
      <c r="H27" s="510"/>
      <c r="I27" s="542">
        <v>5896014</v>
      </c>
      <c r="J27" s="516"/>
      <c r="K27" s="1113">
        <v>400000</v>
      </c>
      <c r="L27" s="510"/>
      <c r="M27" s="472">
        <v>0</v>
      </c>
      <c r="N27" s="510"/>
      <c r="O27" s="510">
        <v>2695272898</v>
      </c>
      <c r="P27" s="510"/>
      <c r="Q27" s="510">
        <f t="shared" si="0"/>
        <v>158900246</v>
      </c>
      <c r="R27" s="2186"/>
      <c r="S27" s="1113">
        <v>2695554686</v>
      </c>
    </row>
    <row r="28" spans="1:19" s="508" customFormat="1" ht="15">
      <c r="A28" s="497"/>
      <c r="B28" s="504" t="s">
        <v>327</v>
      </c>
      <c r="C28" s="504">
        <v>0</v>
      </c>
      <c r="D28" s="495"/>
      <c r="E28" s="510">
        <v>91942229</v>
      </c>
      <c r="F28" s="510"/>
      <c r="G28" s="510">
        <v>175213000</v>
      </c>
      <c r="H28" s="510"/>
      <c r="I28" s="542">
        <v>4873885</v>
      </c>
      <c r="J28" s="516"/>
      <c r="K28" s="1113">
        <v>250611.41</v>
      </c>
      <c r="L28" s="510"/>
      <c r="M28" s="472">
        <v>0</v>
      </c>
      <c r="N28" s="510"/>
      <c r="O28" s="510">
        <v>162498370</v>
      </c>
      <c r="P28" s="510"/>
      <c r="Q28" s="510">
        <f t="shared" si="0"/>
        <v>100033585</v>
      </c>
      <c r="R28" s="2186"/>
      <c r="S28" s="1113">
        <v>162498370</v>
      </c>
    </row>
    <row r="29" spans="1:19" s="508" customFormat="1" ht="15">
      <c r="A29" s="497"/>
      <c r="B29" s="504" t="s">
        <v>328</v>
      </c>
      <c r="C29" s="504">
        <v>0</v>
      </c>
      <c r="D29" s="515"/>
      <c r="E29" s="510">
        <v>109608907</v>
      </c>
      <c r="F29" s="510"/>
      <c r="G29" s="472">
        <v>0</v>
      </c>
      <c r="H29" s="510"/>
      <c r="I29" s="517">
        <v>0</v>
      </c>
      <c r="J29" s="516"/>
      <c r="K29" s="511">
        <v>-59694616</v>
      </c>
      <c r="L29" s="510"/>
      <c r="M29" s="472">
        <v>0</v>
      </c>
      <c r="N29" s="510"/>
      <c r="O29" s="510">
        <v>-51870681</v>
      </c>
      <c r="P29" s="510"/>
      <c r="Q29" s="510">
        <f t="shared" si="0"/>
        <v>101784972</v>
      </c>
      <c r="R29" s="2186"/>
      <c r="S29" s="1113">
        <v>-51870681</v>
      </c>
    </row>
    <row r="30" spans="1:19" s="525" customFormat="1" ht="15">
      <c r="A30" s="521"/>
      <c r="B30" s="504" t="s">
        <v>329</v>
      </c>
      <c r="C30" s="504">
        <v>0</v>
      </c>
      <c r="D30" s="522"/>
      <c r="E30" s="510">
        <v>188930445</v>
      </c>
      <c r="F30" s="523"/>
      <c r="G30" s="524">
        <v>73114000</v>
      </c>
      <c r="H30" s="523"/>
      <c r="I30" s="542">
        <v>4539528</v>
      </c>
      <c r="J30" s="523"/>
      <c r="K30" s="1113">
        <v>-6000000</v>
      </c>
      <c r="L30" s="523"/>
      <c r="M30" s="472">
        <v>0</v>
      </c>
      <c r="N30" s="510"/>
      <c r="O30" s="510">
        <v>63624927</v>
      </c>
      <c r="P30" s="523"/>
      <c r="Q30" s="510">
        <f t="shared" si="0"/>
        <v>187879990</v>
      </c>
      <c r="R30" s="2189"/>
      <c r="S30" s="1113">
        <v>63747680</v>
      </c>
    </row>
    <row r="31" spans="1:19" s="525" customFormat="1" ht="15">
      <c r="A31" s="521"/>
      <c r="B31" s="504" t="s">
        <v>330</v>
      </c>
      <c r="C31" s="504">
        <v>0</v>
      </c>
      <c r="D31" s="522"/>
      <c r="E31" s="510">
        <v>21700107862</v>
      </c>
      <c r="F31" s="523"/>
      <c r="G31" s="524">
        <v>42942400850</v>
      </c>
      <c r="H31" s="523"/>
      <c r="I31" s="1113">
        <v>19395301549</v>
      </c>
      <c r="J31" s="516"/>
      <c r="K31" s="1113">
        <v>-96118216.129999995</v>
      </c>
      <c r="L31" s="523"/>
      <c r="M31" s="510">
        <v>258400000</v>
      </c>
      <c r="N31" s="510"/>
      <c r="O31" s="510">
        <v>22171282132</v>
      </c>
      <c r="P31" s="523"/>
      <c r="Q31" s="510">
        <f t="shared" si="0"/>
        <v>23238206815</v>
      </c>
      <c r="R31" s="2189"/>
      <c r="S31" s="1113">
        <v>22171282132</v>
      </c>
    </row>
    <row r="32" spans="1:19" s="525" customFormat="1" ht="15">
      <c r="A32" s="521"/>
      <c r="B32" s="504" t="s">
        <v>331</v>
      </c>
      <c r="C32" s="504">
        <v>0</v>
      </c>
      <c r="D32" s="526"/>
      <c r="E32" s="510">
        <v>4605360</v>
      </c>
      <c r="F32" s="523"/>
      <c r="G32" s="524">
        <v>8482000</v>
      </c>
      <c r="H32" s="523"/>
      <c r="I32" s="1113">
        <v>2012384</v>
      </c>
      <c r="J32" s="516"/>
      <c r="K32" s="517">
        <v>0</v>
      </c>
      <c r="L32" s="523"/>
      <c r="M32" s="472">
        <v>0</v>
      </c>
      <c r="N32" s="510"/>
      <c r="O32" s="510">
        <v>7696569</v>
      </c>
      <c r="P32" s="528"/>
      <c r="Q32" s="510">
        <f t="shared" si="0"/>
        <v>3378407</v>
      </c>
      <c r="R32" s="2190"/>
      <c r="S32" s="1113">
        <v>7696569</v>
      </c>
    </row>
    <row r="33" spans="1:19" s="525" customFormat="1" ht="15">
      <c r="A33" s="530"/>
      <c r="B33" s="504" t="s">
        <v>332</v>
      </c>
      <c r="C33" s="504">
        <v>0</v>
      </c>
      <c r="D33" s="497"/>
      <c r="E33" s="510">
        <v>63266949</v>
      </c>
      <c r="F33" s="523"/>
      <c r="G33" s="524">
        <v>42482000</v>
      </c>
      <c r="H33" s="523"/>
      <c r="I33" s="1113">
        <v>804073</v>
      </c>
      <c r="J33" s="516"/>
      <c r="K33" s="1113">
        <v>-4365500</v>
      </c>
      <c r="L33" s="523"/>
      <c r="M33" s="472">
        <v>0</v>
      </c>
      <c r="N33" s="510"/>
      <c r="O33" s="510">
        <v>27869092</v>
      </c>
      <c r="P33" s="520"/>
      <c r="Q33" s="510">
        <f t="shared" si="0"/>
        <v>72710284</v>
      </c>
      <c r="R33" s="2191"/>
      <c r="S33" s="1113">
        <v>27868638</v>
      </c>
    </row>
    <row r="34" spans="1:19" s="525" customFormat="1" ht="15">
      <c r="A34" s="530"/>
      <c r="B34" s="504" t="s">
        <v>333</v>
      </c>
      <c r="C34" s="504">
        <v>0</v>
      </c>
      <c r="D34" s="531"/>
      <c r="E34" s="510">
        <v>53669739</v>
      </c>
      <c r="F34" s="523"/>
      <c r="G34" s="524">
        <v>123933000</v>
      </c>
      <c r="H34" s="523"/>
      <c r="I34" s="1113">
        <v>11415702</v>
      </c>
      <c r="J34" s="516"/>
      <c r="K34" s="1113">
        <v>-439762</v>
      </c>
      <c r="L34" s="523"/>
      <c r="M34" s="472">
        <v>-506</v>
      </c>
      <c r="N34" s="510"/>
      <c r="O34" s="510">
        <v>98676110</v>
      </c>
      <c r="P34" s="520"/>
      <c r="Q34" s="510">
        <f t="shared" si="0"/>
        <v>67070659</v>
      </c>
      <c r="R34" s="2191"/>
      <c r="S34" s="1113">
        <v>98676110</v>
      </c>
    </row>
    <row r="35" spans="1:19" s="525" customFormat="1" ht="15">
      <c r="A35" s="530"/>
      <c r="B35" s="504" t="s">
        <v>334</v>
      </c>
      <c r="C35" s="504">
        <v>0</v>
      </c>
      <c r="D35" s="531"/>
      <c r="E35" s="510">
        <v>4244306</v>
      </c>
      <c r="F35" s="523"/>
      <c r="G35" s="524">
        <v>17854000</v>
      </c>
      <c r="H35" s="523"/>
      <c r="I35" s="1113">
        <v>3771805</v>
      </c>
      <c r="J35" s="516"/>
      <c r="K35" s="517">
        <v>0</v>
      </c>
      <c r="L35" s="523"/>
      <c r="M35" s="472">
        <v>0</v>
      </c>
      <c r="N35" s="510"/>
      <c r="O35" s="510">
        <v>13706339</v>
      </c>
      <c r="P35" s="520"/>
      <c r="Q35" s="510">
        <f t="shared" si="0"/>
        <v>4620162</v>
      </c>
      <c r="R35" s="2191"/>
      <c r="S35" s="1113">
        <v>13705842</v>
      </c>
    </row>
    <row r="36" spans="1:19" s="525" customFormat="1" ht="15">
      <c r="A36" s="530"/>
      <c r="B36" s="504" t="s">
        <v>335</v>
      </c>
      <c r="C36" s="504">
        <v>0</v>
      </c>
      <c r="D36" s="531"/>
      <c r="E36" s="510">
        <v>82600</v>
      </c>
      <c r="F36" s="523"/>
      <c r="G36" s="533">
        <v>0</v>
      </c>
      <c r="H36" s="523"/>
      <c r="I36" s="517">
        <v>0</v>
      </c>
      <c r="J36" s="516"/>
      <c r="K36" s="517">
        <v>0</v>
      </c>
      <c r="L36" s="523"/>
      <c r="M36" s="472">
        <v>0</v>
      </c>
      <c r="N36" s="510"/>
      <c r="O36" s="510">
        <v>0</v>
      </c>
      <c r="P36" s="520"/>
      <c r="Q36" s="510">
        <f t="shared" si="0"/>
        <v>82600</v>
      </c>
      <c r="R36" s="2191"/>
      <c r="S36" s="1113">
        <v>0</v>
      </c>
    </row>
    <row r="37" spans="1:19" s="486" customFormat="1" ht="15">
      <c r="B37" s="504" t="s">
        <v>2656</v>
      </c>
      <c r="C37" s="504">
        <v>0</v>
      </c>
      <c r="D37" s="485"/>
      <c r="E37" s="510">
        <v>1653560</v>
      </c>
      <c r="F37" s="535"/>
      <c r="G37" s="533">
        <v>0</v>
      </c>
      <c r="H37" s="535"/>
      <c r="I37" s="509">
        <v>0</v>
      </c>
      <c r="J37" s="516"/>
      <c r="K37" s="517">
        <v>0</v>
      </c>
      <c r="L37" s="535"/>
      <c r="M37" s="472">
        <v>0</v>
      </c>
      <c r="N37" s="510"/>
      <c r="O37" s="510">
        <v>4837</v>
      </c>
      <c r="P37" s="535"/>
      <c r="Q37" s="510">
        <f t="shared" si="0"/>
        <v>1648723</v>
      </c>
      <c r="R37" s="2192"/>
      <c r="S37" s="1113">
        <v>4837</v>
      </c>
    </row>
    <row r="38" spans="1:19" s="525" customFormat="1" ht="15">
      <c r="A38" s="530"/>
      <c r="B38" s="504" t="s">
        <v>336</v>
      </c>
      <c r="C38" s="504">
        <v>0</v>
      </c>
      <c r="D38" s="531"/>
      <c r="E38" s="510">
        <v>16435559</v>
      </c>
      <c r="F38" s="523"/>
      <c r="G38" s="524">
        <v>156730000</v>
      </c>
      <c r="H38" s="523"/>
      <c r="I38" s="1113">
        <v>7508061</v>
      </c>
      <c r="J38" s="516"/>
      <c r="K38" s="1113">
        <v>1410885.1</v>
      </c>
      <c r="L38" s="523"/>
      <c r="M38" s="472">
        <v>0</v>
      </c>
      <c r="N38" s="510"/>
      <c r="O38" s="510">
        <v>146201722</v>
      </c>
      <c r="P38" s="520"/>
      <c r="Q38" s="510">
        <f t="shared" si="0"/>
        <v>20866661</v>
      </c>
      <c r="R38" s="2191"/>
      <c r="S38" s="1113">
        <v>146201722</v>
      </c>
    </row>
    <row r="39" spans="1:19" s="525" customFormat="1" ht="15">
      <c r="A39" s="530"/>
      <c r="B39" s="504" t="s">
        <v>337</v>
      </c>
      <c r="C39" s="504">
        <v>0</v>
      </c>
      <c r="D39" s="531"/>
      <c r="E39" s="510">
        <v>25230</v>
      </c>
      <c r="F39" s="523"/>
      <c r="G39" s="524">
        <v>38000</v>
      </c>
      <c r="H39" s="523"/>
      <c r="I39" s="1113">
        <v>18410</v>
      </c>
      <c r="J39" s="516"/>
      <c r="K39" s="517">
        <v>0</v>
      </c>
      <c r="L39" s="523"/>
      <c r="M39" s="472">
        <v>0</v>
      </c>
      <c r="N39" s="510"/>
      <c r="O39" s="510">
        <v>14380</v>
      </c>
      <c r="P39" s="520"/>
      <c r="Q39" s="510">
        <f t="shared" si="0"/>
        <v>30440</v>
      </c>
      <c r="R39" s="2191"/>
      <c r="S39" s="1113">
        <v>14380</v>
      </c>
    </row>
    <row r="40" spans="1:19" s="525" customFormat="1" ht="15">
      <c r="A40" s="530"/>
      <c r="B40" s="504" t="s">
        <v>338</v>
      </c>
      <c r="C40" s="504">
        <v>0</v>
      </c>
      <c r="D40" s="531"/>
      <c r="E40" s="510">
        <v>0</v>
      </c>
      <c r="F40" s="523"/>
      <c r="G40" s="524">
        <v>166000</v>
      </c>
      <c r="H40" s="523"/>
      <c r="I40" s="527">
        <v>0</v>
      </c>
      <c r="J40" s="516"/>
      <c r="K40" s="517">
        <v>0</v>
      </c>
      <c r="L40" s="523"/>
      <c r="M40" s="472">
        <v>0</v>
      </c>
      <c r="N40" s="510"/>
      <c r="O40" s="510">
        <v>166000</v>
      </c>
      <c r="P40" s="520"/>
      <c r="Q40" s="510">
        <f t="shared" si="0"/>
        <v>0</v>
      </c>
      <c r="R40" s="2191"/>
      <c r="S40" s="1113">
        <v>166000</v>
      </c>
    </row>
    <row r="41" spans="1:19" s="508" customFormat="1" ht="15">
      <c r="B41" s="504" t="s">
        <v>339</v>
      </c>
      <c r="C41" s="504">
        <v>0</v>
      </c>
      <c r="D41" s="495"/>
      <c r="E41" s="510">
        <v>43479665002</v>
      </c>
      <c r="F41" s="510"/>
      <c r="G41" s="519">
        <v>36775657754</v>
      </c>
      <c r="H41" s="510"/>
      <c r="I41" s="1113">
        <v>20958386900</v>
      </c>
      <c r="J41" s="516"/>
      <c r="K41" s="1113">
        <v>-645953110.90999997</v>
      </c>
      <c r="L41" s="510"/>
      <c r="M41" s="472">
        <v>4500000</v>
      </c>
      <c r="N41" s="510"/>
      <c r="O41" s="510">
        <v>14789130399</v>
      </c>
      <c r="P41" s="510"/>
      <c r="Q41" s="510">
        <f t="shared" si="0"/>
        <v>43866352346</v>
      </c>
      <c r="R41" s="2186"/>
      <c r="S41" s="1113">
        <v>14789349476</v>
      </c>
    </row>
    <row r="42" spans="1:19" s="508" customFormat="1" ht="15">
      <c r="B42" s="504" t="s">
        <v>340</v>
      </c>
      <c r="C42" s="504">
        <v>0</v>
      </c>
      <c r="D42" s="495"/>
      <c r="E42" s="510">
        <v>455496905</v>
      </c>
      <c r="F42" s="510"/>
      <c r="G42" s="510">
        <v>1112339000</v>
      </c>
      <c r="H42" s="510"/>
      <c r="I42" s="1113">
        <v>35872637</v>
      </c>
      <c r="J42" s="516"/>
      <c r="K42" s="509">
        <v>0</v>
      </c>
      <c r="L42" s="510"/>
      <c r="M42" s="472">
        <v>0</v>
      </c>
      <c r="N42" s="510"/>
      <c r="O42" s="510">
        <v>1009144073</v>
      </c>
      <c r="P42" s="510"/>
      <c r="Q42" s="510">
        <f t="shared" si="0"/>
        <v>522819195</v>
      </c>
      <c r="R42" s="2186"/>
      <c r="S42" s="1113">
        <v>1009145942</v>
      </c>
    </row>
    <row r="43" spans="1:19" s="508" customFormat="1" ht="15">
      <c r="B43" s="504" t="s">
        <v>341</v>
      </c>
      <c r="C43" s="504">
        <v>0</v>
      </c>
      <c r="D43" s="495"/>
      <c r="E43" s="510">
        <v>591126446</v>
      </c>
      <c r="F43" s="510"/>
      <c r="G43" s="510">
        <v>158600000</v>
      </c>
      <c r="H43" s="510"/>
      <c r="I43" s="1113">
        <v>3519225</v>
      </c>
      <c r="J43" s="516"/>
      <c r="K43" s="1113">
        <v>107500</v>
      </c>
      <c r="L43" s="510"/>
      <c r="M43" s="472">
        <v>0</v>
      </c>
      <c r="N43" s="510"/>
      <c r="O43" s="510">
        <v>-11217456</v>
      </c>
      <c r="P43" s="510"/>
      <c r="Q43" s="510">
        <f t="shared" si="0"/>
        <v>757532177</v>
      </c>
      <c r="R43" s="2186"/>
      <c r="S43" s="1113">
        <v>-11215309</v>
      </c>
    </row>
    <row r="44" spans="1:19" s="508" customFormat="1" ht="15">
      <c r="B44" s="504" t="s">
        <v>342</v>
      </c>
      <c r="C44" s="504">
        <v>0</v>
      </c>
      <c r="D44" s="495"/>
      <c r="E44" s="510">
        <v>65260876</v>
      </c>
      <c r="F44" s="510"/>
      <c r="G44" s="510">
        <v>17822000</v>
      </c>
      <c r="H44" s="510"/>
      <c r="I44" s="1113">
        <v>6383031</v>
      </c>
      <c r="J44" s="516"/>
      <c r="K44" s="1113">
        <v>2343000</v>
      </c>
      <c r="L44" s="510"/>
      <c r="M44" s="472">
        <v>0</v>
      </c>
      <c r="N44" s="510"/>
      <c r="O44" s="510">
        <v>14249586</v>
      </c>
      <c r="P44" s="510"/>
      <c r="Q44" s="510">
        <f t="shared" si="0"/>
        <v>64793259</v>
      </c>
      <c r="R44" s="2186"/>
      <c r="S44" s="1113">
        <v>14254586</v>
      </c>
    </row>
    <row r="45" spans="1:19" s="508" customFormat="1" ht="15">
      <c r="B45" s="504" t="s">
        <v>343</v>
      </c>
      <c r="C45" s="504">
        <v>0</v>
      </c>
      <c r="D45" s="495"/>
      <c r="E45" s="510">
        <v>908098</v>
      </c>
      <c r="F45" s="510"/>
      <c r="G45" s="510">
        <v>321000</v>
      </c>
      <c r="H45" s="510"/>
      <c r="I45" s="1113">
        <v>112470</v>
      </c>
      <c r="J45" s="516"/>
      <c r="K45" s="517">
        <v>0</v>
      </c>
      <c r="L45" s="510"/>
      <c r="M45" s="472">
        <v>0</v>
      </c>
      <c r="N45" s="510"/>
      <c r="O45" s="510">
        <v>184364</v>
      </c>
      <c r="P45" s="510"/>
      <c r="Q45" s="510">
        <f t="shared" si="0"/>
        <v>932264</v>
      </c>
      <c r="R45" s="2186"/>
      <c r="S45" s="1113">
        <v>184364</v>
      </c>
    </row>
    <row r="46" spans="1:19" s="508" customFormat="1" ht="15">
      <c r="B46" s="504" t="s">
        <v>344</v>
      </c>
      <c r="C46" s="504">
        <v>0</v>
      </c>
      <c r="D46" s="495"/>
      <c r="E46" s="510">
        <v>1715907</v>
      </c>
      <c r="F46" s="510"/>
      <c r="G46" s="510">
        <v>12010000</v>
      </c>
      <c r="H46" s="510"/>
      <c r="I46" s="1113">
        <v>1527325</v>
      </c>
      <c r="J46" s="516"/>
      <c r="K46" s="1113">
        <v>90000</v>
      </c>
      <c r="L46" s="510"/>
      <c r="M46" s="472">
        <v>0</v>
      </c>
      <c r="N46" s="510"/>
      <c r="O46" s="510">
        <v>10262690</v>
      </c>
      <c r="P46" s="510"/>
      <c r="Q46" s="510">
        <f t="shared" si="0"/>
        <v>2025892</v>
      </c>
      <c r="R46" s="2186"/>
      <c r="S46" s="1113">
        <v>10262690</v>
      </c>
    </row>
    <row r="47" spans="1:19" s="486" customFormat="1" ht="15">
      <c r="B47" s="504" t="s">
        <v>345</v>
      </c>
      <c r="C47" s="504">
        <v>0</v>
      </c>
      <c r="D47" s="505"/>
      <c r="E47" s="510">
        <v>3163994</v>
      </c>
      <c r="F47" s="535"/>
      <c r="G47" s="535">
        <v>513167000</v>
      </c>
      <c r="H47" s="505"/>
      <c r="I47" s="1113">
        <v>1237840</v>
      </c>
      <c r="J47" s="516"/>
      <c r="K47" s="1113">
        <v>-68460</v>
      </c>
      <c r="L47" s="505"/>
      <c r="M47" s="472">
        <v>0</v>
      </c>
      <c r="N47" s="510"/>
      <c r="O47" s="510">
        <v>505948021</v>
      </c>
      <c r="P47" s="505"/>
      <c r="Q47" s="510">
        <f t="shared" si="0"/>
        <v>9076673</v>
      </c>
      <c r="R47" s="2184"/>
      <c r="S47" s="1113">
        <v>505948801</v>
      </c>
    </row>
    <row r="48" spans="1:19" s="508" customFormat="1" ht="15">
      <c r="B48" s="504" t="s">
        <v>346</v>
      </c>
      <c r="C48" s="504">
        <v>0</v>
      </c>
      <c r="D48" s="495"/>
      <c r="E48" s="510">
        <v>207353</v>
      </c>
      <c r="F48" s="510"/>
      <c r="G48" s="510">
        <v>6794000</v>
      </c>
      <c r="H48" s="510"/>
      <c r="I48" s="1113">
        <v>177237</v>
      </c>
      <c r="J48" s="516"/>
      <c r="K48" s="1113">
        <v>499000</v>
      </c>
      <c r="L48" s="510"/>
      <c r="M48" s="472">
        <v>0</v>
      </c>
      <c r="N48" s="510"/>
      <c r="O48" s="510">
        <v>7061149</v>
      </c>
      <c r="P48" s="510"/>
      <c r="Q48" s="510">
        <f t="shared" si="0"/>
        <v>261967</v>
      </c>
      <c r="R48" s="2186"/>
      <c r="S48" s="1113">
        <v>7061149</v>
      </c>
    </row>
    <row r="49" spans="2:19" s="508" customFormat="1" ht="15">
      <c r="B49" s="504" t="s">
        <v>347</v>
      </c>
      <c r="C49" s="504">
        <v>0</v>
      </c>
      <c r="D49" s="495"/>
      <c r="E49" s="510">
        <v>4148402</v>
      </c>
      <c r="F49" s="510"/>
      <c r="G49" s="510">
        <v>15000000</v>
      </c>
      <c r="H49" s="510"/>
      <c r="I49" s="1113">
        <v>433421</v>
      </c>
      <c r="J49" s="516"/>
      <c r="K49" s="517">
        <v>0</v>
      </c>
      <c r="L49" s="510"/>
      <c r="M49" s="472">
        <v>0</v>
      </c>
      <c r="N49" s="510"/>
      <c r="O49" s="510">
        <v>12985937</v>
      </c>
      <c r="P49" s="510"/>
      <c r="Q49" s="510">
        <f t="shared" si="0"/>
        <v>5729044</v>
      </c>
      <c r="R49" s="2186"/>
      <c r="S49" s="1113">
        <v>12910084</v>
      </c>
    </row>
    <row r="50" spans="2:19" s="486" customFormat="1" ht="15">
      <c r="B50" s="504" t="s">
        <v>348</v>
      </c>
      <c r="C50" s="504">
        <v>0</v>
      </c>
      <c r="D50" s="485"/>
      <c r="E50" s="510">
        <v>799481</v>
      </c>
      <c r="F50" s="535"/>
      <c r="G50" s="509">
        <v>5582000</v>
      </c>
      <c r="H50" s="535"/>
      <c r="I50" s="1113">
        <v>712122</v>
      </c>
      <c r="J50" s="516"/>
      <c r="K50" s="517">
        <v>0</v>
      </c>
      <c r="L50" s="535"/>
      <c r="M50" s="472">
        <v>0</v>
      </c>
      <c r="N50" s="510"/>
      <c r="O50" s="510">
        <v>4327380</v>
      </c>
      <c r="P50" s="535"/>
      <c r="Q50" s="510">
        <f t="shared" si="0"/>
        <v>1341979</v>
      </c>
      <c r="R50" s="2192"/>
      <c r="S50" s="1113">
        <v>4332070</v>
      </c>
    </row>
    <row r="51" spans="2:19" s="486" customFormat="1" ht="15">
      <c r="B51" s="504" t="s">
        <v>349</v>
      </c>
      <c r="C51" s="504">
        <v>0</v>
      </c>
      <c r="D51" s="485"/>
      <c r="E51" s="510">
        <v>239287</v>
      </c>
      <c r="F51" s="535"/>
      <c r="G51" s="509">
        <v>5584000</v>
      </c>
      <c r="H51" s="535"/>
      <c r="I51" s="1113">
        <v>101704</v>
      </c>
      <c r="J51" s="516"/>
      <c r="K51" s="517">
        <v>0</v>
      </c>
      <c r="L51" s="535"/>
      <c r="M51" s="472">
        <v>0</v>
      </c>
      <c r="N51" s="510"/>
      <c r="O51" s="510">
        <v>5567273</v>
      </c>
      <c r="P51" s="535"/>
      <c r="Q51" s="510">
        <f t="shared" si="0"/>
        <v>154310</v>
      </c>
      <c r="R51" s="2192"/>
      <c r="S51" s="1113">
        <v>5567273</v>
      </c>
    </row>
    <row r="52" spans="2:19" s="508" customFormat="1" ht="15">
      <c r="B52" s="504" t="s">
        <v>350</v>
      </c>
      <c r="C52" s="504">
        <v>0</v>
      </c>
      <c r="D52" s="495"/>
      <c r="E52" s="510">
        <v>5738</v>
      </c>
      <c r="F52" s="510"/>
      <c r="G52" s="510">
        <v>30000</v>
      </c>
      <c r="H52" s="510"/>
      <c r="I52" s="1113">
        <v>5738</v>
      </c>
      <c r="J52" s="516"/>
      <c r="K52" s="517">
        <v>0</v>
      </c>
      <c r="L52" s="510"/>
      <c r="M52" s="472">
        <v>0</v>
      </c>
      <c r="N52" s="510"/>
      <c r="O52" s="510">
        <v>19793</v>
      </c>
      <c r="P52" s="510"/>
      <c r="Q52" s="510">
        <f t="shared" si="0"/>
        <v>10207</v>
      </c>
      <c r="R52" s="2186"/>
      <c r="S52" s="1113">
        <v>19793</v>
      </c>
    </row>
    <row r="53" spans="2:19" s="508" customFormat="1" ht="15">
      <c r="B53" s="504" t="s">
        <v>2657</v>
      </c>
      <c r="C53" s="504">
        <v>0</v>
      </c>
      <c r="D53" s="495"/>
      <c r="E53" s="510">
        <v>9065335</v>
      </c>
      <c r="F53" s="510"/>
      <c r="G53" s="510">
        <v>41855000</v>
      </c>
      <c r="H53" s="510"/>
      <c r="I53" s="1113">
        <v>5871738</v>
      </c>
      <c r="J53" s="516"/>
      <c r="K53" s="517">
        <v>-68000</v>
      </c>
      <c r="L53" s="510"/>
      <c r="M53" s="472">
        <v>0</v>
      </c>
      <c r="N53" s="510"/>
      <c r="O53" s="510">
        <v>37194058</v>
      </c>
      <c r="P53" s="510"/>
      <c r="Q53" s="510">
        <f t="shared" si="0"/>
        <v>7786539</v>
      </c>
      <c r="R53" s="2186"/>
      <c r="S53" s="1113">
        <v>37209488</v>
      </c>
    </row>
    <row r="54" spans="2:19" s="486" customFormat="1" ht="15">
      <c r="B54" s="504" t="s">
        <v>352</v>
      </c>
      <c r="C54" s="504">
        <v>0</v>
      </c>
      <c r="D54" s="485"/>
      <c r="E54" s="510">
        <v>25237717</v>
      </c>
      <c r="F54" s="535"/>
      <c r="G54" s="509">
        <v>12965000</v>
      </c>
      <c r="H54" s="535"/>
      <c r="I54" s="1113">
        <v>1778496</v>
      </c>
      <c r="J54" s="516"/>
      <c r="K54" s="1113">
        <v>22270507</v>
      </c>
      <c r="L54" s="535"/>
      <c r="M54" s="472">
        <v>0</v>
      </c>
      <c r="N54" s="510"/>
      <c r="O54" s="510">
        <v>12354541</v>
      </c>
      <c r="P54" s="535"/>
      <c r="Q54" s="510">
        <f t="shared" si="0"/>
        <v>46340187</v>
      </c>
      <c r="R54" s="2192"/>
      <c r="S54" s="1113">
        <v>12354541</v>
      </c>
    </row>
    <row r="55" spans="2:19" s="486" customFormat="1" ht="15">
      <c r="B55" s="504" t="s">
        <v>353</v>
      </c>
      <c r="C55" s="504">
        <v>0</v>
      </c>
      <c r="D55" s="485"/>
      <c r="E55" s="510">
        <v>3909198</v>
      </c>
      <c r="F55" s="535"/>
      <c r="G55" s="509">
        <v>102823000</v>
      </c>
      <c r="H55" s="535"/>
      <c r="I55" s="1113">
        <v>379052</v>
      </c>
      <c r="J55" s="516"/>
      <c r="K55" s="1113">
        <v>-349373</v>
      </c>
      <c r="L55" s="535"/>
      <c r="M55" s="472">
        <v>0</v>
      </c>
      <c r="N55" s="510"/>
      <c r="O55" s="510">
        <v>101945515</v>
      </c>
      <c r="P55" s="535"/>
      <c r="Q55" s="510">
        <f t="shared" si="0"/>
        <v>4058258</v>
      </c>
      <c r="R55" s="2192"/>
      <c r="S55" s="1113">
        <v>102099441</v>
      </c>
    </row>
    <row r="56" spans="2:19" s="486" customFormat="1" ht="15">
      <c r="B56" s="504" t="s">
        <v>354</v>
      </c>
      <c r="C56" s="504">
        <v>0</v>
      </c>
      <c r="D56" s="485"/>
      <c r="E56" s="510">
        <v>54068006</v>
      </c>
      <c r="F56" s="535"/>
      <c r="G56" s="2303">
        <v>109627381</v>
      </c>
      <c r="H56" s="535"/>
      <c r="I56" s="1113">
        <v>0</v>
      </c>
      <c r="J56" s="516"/>
      <c r="K56" s="517">
        <v>0</v>
      </c>
      <c r="L56" s="535"/>
      <c r="M56" s="509">
        <v>0</v>
      </c>
      <c r="N56" s="510"/>
      <c r="O56" s="510">
        <v>108841114</v>
      </c>
      <c r="P56" s="535"/>
      <c r="Q56" s="510">
        <f t="shared" si="0"/>
        <v>54854273</v>
      </c>
      <c r="R56" s="2192"/>
      <c r="S56" s="1113">
        <v>108841114</v>
      </c>
    </row>
    <row r="57" spans="2:19" s="486" customFormat="1" ht="15">
      <c r="B57" s="504" t="s">
        <v>355</v>
      </c>
      <c r="C57" s="504">
        <v>0</v>
      </c>
      <c r="D57" s="485"/>
      <c r="E57" s="510">
        <v>68899505</v>
      </c>
      <c r="F57" s="535"/>
      <c r="G57" s="535">
        <f>94933303+13009482</f>
        <v>107942785</v>
      </c>
      <c r="H57" s="535"/>
      <c r="I57" s="1113">
        <v>903</v>
      </c>
      <c r="J57" s="516"/>
      <c r="K57" s="517">
        <v>0</v>
      </c>
      <c r="L57" s="535"/>
      <c r="M57" s="472">
        <v>0</v>
      </c>
      <c r="N57" s="510"/>
      <c r="O57" s="510">
        <v>104956447</v>
      </c>
      <c r="P57" s="535"/>
      <c r="Q57" s="510">
        <f t="shared" si="0"/>
        <v>71884940</v>
      </c>
      <c r="R57" s="2192"/>
      <c r="S57" s="1113">
        <v>105009338</v>
      </c>
    </row>
    <row r="58" spans="2:19" s="486" customFormat="1" ht="15">
      <c r="B58" s="504" t="s">
        <v>356</v>
      </c>
      <c r="C58" s="504">
        <v>0</v>
      </c>
      <c r="D58" s="485"/>
      <c r="E58" s="510">
        <v>363725</v>
      </c>
      <c r="F58" s="535"/>
      <c r="G58" s="509">
        <v>904635</v>
      </c>
      <c r="H58" s="535"/>
      <c r="I58" s="1113">
        <v>349045</v>
      </c>
      <c r="J58" s="516"/>
      <c r="K58" s="517">
        <v>0</v>
      </c>
      <c r="L58" s="535"/>
      <c r="M58" s="472">
        <v>0</v>
      </c>
      <c r="N58" s="510"/>
      <c r="O58" s="510">
        <v>760270</v>
      </c>
      <c r="P58" s="535"/>
      <c r="Q58" s="510">
        <f t="shared" si="0"/>
        <v>159045</v>
      </c>
      <c r="R58" s="2192"/>
      <c r="S58" s="1113">
        <v>760270</v>
      </c>
    </row>
    <row r="59" spans="2:19" s="486" customFormat="1" ht="15">
      <c r="B59" s="504" t="s">
        <v>357</v>
      </c>
      <c r="C59" s="504">
        <v>0</v>
      </c>
      <c r="D59" s="485"/>
      <c r="E59" s="510">
        <v>2745</v>
      </c>
      <c r="F59" s="535"/>
      <c r="G59" s="517">
        <v>0</v>
      </c>
      <c r="H59" s="535"/>
      <c r="I59" s="517">
        <v>0</v>
      </c>
      <c r="J59" s="516"/>
      <c r="K59" s="517">
        <v>0</v>
      </c>
      <c r="L59" s="535"/>
      <c r="M59" s="472">
        <v>0</v>
      </c>
      <c r="N59" s="510"/>
      <c r="O59" s="510">
        <v>0</v>
      </c>
      <c r="P59" s="535"/>
      <c r="Q59" s="510">
        <f t="shared" si="0"/>
        <v>2745</v>
      </c>
      <c r="R59" s="2192"/>
      <c r="S59" s="517">
        <v>0</v>
      </c>
    </row>
    <row r="60" spans="2:19" s="486" customFormat="1" ht="15">
      <c r="B60" s="504" t="s">
        <v>358</v>
      </c>
      <c r="C60" s="504">
        <v>0</v>
      </c>
      <c r="D60" s="505"/>
      <c r="E60" s="510">
        <v>2347313</v>
      </c>
      <c r="F60" s="511"/>
      <c r="G60" s="535">
        <v>21893000</v>
      </c>
      <c r="H60" s="511"/>
      <c r="I60" s="1113">
        <v>1255020</v>
      </c>
      <c r="J60" s="516"/>
      <c r="K60" s="509">
        <v>0</v>
      </c>
      <c r="L60" s="511"/>
      <c r="M60" s="472">
        <v>0</v>
      </c>
      <c r="N60" s="510"/>
      <c r="O60" s="510">
        <v>20616377</v>
      </c>
      <c r="P60" s="511"/>
      <c r="Q60" s="510">
        <f t="shared" si="0"/>
        <v>2368916</v>
      </c>
      <c r="R60" s="2193"/>
      <c r="S60" s="1113">
        <v>20618840</v>
      </c>
    </row>
    <row r="61" spans="2:19" s="486" customFormat="1" ht="15">
      <c r="B61" s="504" t="s">
        <v>359</v>
      </c>
      <c r="C61" s="504">
        <v>0</v>
      </c>
      <c r="D61" s="485"/>
      <c r="E61" s="510">
        <v>63622040</v>
      </c>
      <c r="F61" s="535"/>
      <c r="G61" s="509">
        <v>394778000</v>
      </c>
      <c r="H61" s="535"/>
      <c r="I61" s="1113">
        <v>51463802</v>
      </c>
      <c r="J61" s="516"/>
      <c r="K61" s="1113">
        <v>23929800.829999998</v>
      </c>
      <c r="L61" s="535"/>
      <c r="M61" s="472">
        <v>0</v>
      </c>
      <c r="N61" s="510"/>
      <c r="O61" s="510">
        <v>304734821</v>
      </c>
      <c r="P61" s="535"/>
      <c r="Q61" s="510">
        <f t="shared" si="0"/>
        <v>126131218</v>
      </c>
      <c r="R61" s="2192"/>
      <c r="S61" s="1113">
        <v>304734821</v>
      </c>
    </row>
    <row r="62" spans="2:19" s="486" customFormat="1" ht="15">
      <c r="B62" s="504" t="s">
        <v>360</v>
      </c>
      <c r="C62" s="504">
        <v>0</v>
      </c>
      <c r="D62" s="485"/>
      <c r="E62" s="510">
        <v>11499180</v>
      </c>
      <c r="F62" s="535"/>
      <c r="G62" s="535">
        <v>26254000</v>
      </c>
      <c r="H62" s="535"/>
      <c r="I62" s="1113">
        <v>1868607</v>
      </c>
      <c r="J62" s="516"/>
      <c r="K62" s="1113">
        <v>0</v>
      </c>
      <c r="L62" s="535"/>
      <c r="M62" s="472">
        <v>0</v>
      </c>
      <c r="N62" s="510"/>
      <c r="O62" s="510">
        <v>23358979</v>
      </c>
      <c r="P62" s="535"/>
      <c r="Q62" s="510">
        <f t="shared" si="0"/>
        <v>12525594</v>
      </c>
      <c r="R62" s="2192"/>
      <c r="S62" s="1113">
        <v>23368191</v>
      </c>
    </row>
    <row r="63" spans="2:19" s="508" customFormat="1" ht="15">
      <c r="B63" s="504" t="s">
        <v>361</v>
      </c>
      <c r="C63" s="504">
        <v>0</v>
      </c>
      <c r="D63" s="515"/>
      <c r="E63" s="510">
        <v>6016201801</v>
      </c>
      <c r="F63" s="518"/>
      <c r="G63" s="518">
        <v>9259548967</v>
      </c>
      <c r="H63" s="518"/>
      <c r="I63" s="542">
        <v>5276629673</v>
      </c>
      <c r="J63" s="516"/>
      <c r="K63" s="1113">
        <v>1220442359</v>
      </c>
      <c r="L63" s="518"/>
      <c r="M63" s="1113">
        <v>16181536</v>
      </c>
      <c r="N63" s="510"/>
      <c r="O63" s="510">
        <v>5528109690</v>
      </c>
      <c r="P63" s="518"/>
      <c r="Q63" s="510">
        <f t="shared" si="0"/>
        <v>5707635300</v>
      </c>
      <c r="R63" s="2188"/>
      <c r="S63" s="1113">
        <v>5492109984</v>
      </c>
    </row>
    <row r="64" spans="2:19" s="508" customFormat="1" ht="15">
      <c r="B64" s="504" t="s">
        <v>408</v>
      </c>
      <c r="C64" s="504">
        <v>0</v>
      </c>
      <c r="D64" s="485"/>
      <c r="E64" s="536">
        <v>7859</v>
      </c>
      <c r="F64" s="535"/>
      <c r="G64" s="535">
        <v>0</v>
      </c>
      <c r="H64" s="535"/>
      <c r="I64" s="1113">
        <v>0</v>
      </c>
      <c r="J64" s="516"/>
      <c r="K64" s="1113">
        <v>0</v>
      </c>
      <c r="L64" s="535"/>
      <c r="M64" s="472">
        <v>0</v>
      </c>
      <c r="N64" s="510"/>
      <c r="O64" s="510">
        <v>0</v>
      </c>
      <c r="P64" s="535"/>
      <c r="Q64" s="510">
        <f t="shared" si="0"/>
        <v>7859</v>
      </c>
      <c r="R64" s="2192"/>
      <c r="S64" s="1113">
        <v>0</v>
      </c>
    </row>
    <row r="65" spans="1:19" s="486" customFormat="1" ht="15">
      <c r="B65" s="504" t="s">
        <v>362</v>
      </c>
      <c r="C65" s="504">
        <v>0</v>
      </c>
      <c r="D65" s="505"/>
      <c r="E65" s="510">
        <v>1043330</v>
      </c>
      <c r="F65" s="511"/>
      <c r="G65" s="535">
        <v>683500</v>
      </c>
      <c r="H65" s="511"/>
      <c r="I65" s="1113">
        <v>98040</v>
      </c>
      <c r="J65" s="516"/>
      <c r="K65" s="517">
        <v>0</v>
      </c>
      <c r="L65" s="511"/>
      <c r="M65" s="472">
        <v>0</v>
      </c>
      <c r="N65" s="510"/>
      <c r="O65" s="510">
        <v>458586</v>
      </c>
      <c r="P65" s="511"/>
      <c r="Q65" s="510">
        <f t="shared" si="0"/>
        <v>1170204</v>
      </c>
      <c r="R65" s="2193"/>
      <c r="S65" s="1113">
        <v>458586</v>
      </c>
    </row>
    <row r="66" spans="1:19">
      <c r="A66" s="499"/>
      <c r="B66" s="504" t="s">
        <v>447</v>
      </c>
      <c r="C66" s="504">
        <v>0</v>
      </c>
      <c r="D66" s="531"/>
      <c r="E66" s="510">
        <v>0</v>
      </c>
      <c r="F66" s="523"/>
      <c r="G66" s="565">
        <v>6971000</v>
      </c>
      <c r="H66" s="523"/>
      <c r="I66" s="1113">
        <v>0</v>
      </c>
      <c r="J66" s="516"/>
      <c r="K66" s="1113">
        <v>0</v>
      </c>
      <c r="L66" s="523"/>
      <c r="M66" s="472">
        <v>0</v>
      </c>
      <c r="N66" s="510"/>
      <c r="O66" s="510">
        <v>5607905</v>
      </c>
      <c r="P66" s="520"/>
      <c r="Q66" s="510">
        <f t="shared" si="0"/>
        <v>1363095</v>
      </c>
      <c r="R66" s="2191"/>
      <c r="S66" s="1113">
        <v>5607905</v>
      </c>
    </row>
    <row r="67" spans="1:19" s="486" customFormat="1">
      <c r="B67" s="2298" t="s">
        <v>363</v>
      </c>
      <c r="C67" s="538">
        <v>0</v>
      </c>
      <c r="D67" s="539"/>
      <c r="E67" s="510">
        <v>47272935</v>
      </c>
      <c r="F67" s="540"/>
      <c r="G67" s="535">
        <v>133544700</v>
      </c>
      <c r="H67" s="540"/>
      <c r="I67" s="1113">
        <v>18871539</v>
      </c>
      <c r="J67" s="516"/>
      <c r="K67" s="1113">
        <v>-190250</v>
      </c>
      <c r="L67" s="540"/>
      <c r="M67" s="472">
        <v>19189</v>
      </c>
      <c r="N67" s="510"/>
      <c r="O67" s="510">
        <v>115616964</v>
      </c>
      <c r="P67" s="540"/>
      <c r="Q67" s="510">
        <f t="shared" si="0"/>
        <v>46158071</v>
      </c>
      <c r="R67" s="2194"/>
      <c r="S67" s="1113">
        <v>115847646</v>
      </c>
    </row>
    <row r="68" spans="1:19" s="486" customFormat="1" ht="15">
      <c r="B68" s="504" t="s">
        <v>364</v>
      </c>
      <c r="C68" s="504">
        <v>0</v>
      </c>
      <c r="D68" s="485"/>
      <c r="E68" s="510">
        <v>805746347</v>
      </c>
      <c r="F68" s="535"/>
      <c r="G68" s="509">
        <v>1735967500</v>
      </c>
      <c r="H68" s="535"/>
      <c r="I68" s="1113">
        <v>139227000</v>
      </c>
      <c r="J68" s="516"/>
      <c r="K68" s="1113">
        <v>30000</v>
      </c>
      <c r="L68" s="535"/>
      <c r="M68" s="509">
        <v>0</v>
      </c>
      <c r="N68" s="510"/>
      <c r="O68" s="510">
        <v>863456431</v>
      </c>
      <c r="P68" s="535"/>
      <c r="Q68" s="510">
        <f t="shared" si="0"/>
        <v>1539060416</v>
      </c>
      <c r="R68" s="2192"/>
      <c r="S68" s="1113">
        <v>863456431</v>
      </c>
    </row>
    <row r="69" spans="1:19" s="486" customFormat="1" ht="15">
      <c r="B69" s="504" t="s">
        <v>365</v>
      </c>
      <c r="C69" s="504">
        <v>0</v>
      </c>
      <c r="D69" s="485"/>
      <c r="E69" s="510">
        <v>1384291</v>
      </c>
      <c r="F69" s="535"/>
      <c r="G69" s="509">
        <v>2413000</v>
      </c>
      <c r="H69" s="535"/>
      <c r="I69" s="1113">
        <v>378145</v>
      </c>
      <c r="J69" s="516"/>
      <c r="K69" s="517">
        <v>0</v>
      </c>
      <c r="L69" s="535"/>
      <c r="M69" s="472">
        <v>0</v>
      </c>
      <c r="N69" s="510"/>
      <c r="O69" s="510">
        <v>2048245</v>
      </c>
      <c r="P69" s="535"/>
      <c r="Q69" s="510">
        <f t="shared" si="0"/>
        <v>1370901</v>
      </c>
      <c r="R69" s="2192"/>
      <c r="S69" s="1113">
        <v>2048245</v>
      </c>
    </row>
    <row r="70" spans="1:19" s="486" customFormat="1" ht="15">
      <c r="B70" s="504" t="s">
        <v>2658</v>
      </c>
      <c r="C70" s="504">
        <v>0</v>
      </c>
      <c r="D70" s="485"/>
      <c r="E70" s="510">
        <v>472313990</v>
      </c>
      <c r="F70" s="535"/>
      <c r="G70" s="509">
        <v>260577178</v>
      </c>
      <c r="H70" s="535"/>
      <c r="I70" s="1113">
        <v>195180262</v>
      </c>
      <c r="J70" s="516"/>
      <c r="K70" s="1113">
        <v>6000000</v>
      </c>
      <c r="L70" s="535"/>
      <c r="M70" s="472">
        <v>0</v>
      </c>
      <c r="N70" s="510"/>
      <c r="O70" s="510">
        <v>84424031</v>
      </c>
      <c r="P70" s="535"/>
      <c r="Q70" s="510">
        <f t="shared" si="0"/>
        <v>459286875</v>
      </c>
      <c r="R70" s="2192"/>
      <c r="S70" s="1113">
        <v>84424031</v>
      </c>
    </row>
    <row r="71" spans="1:19" s="486" customFormat="1" ht="15">
      <c r="B71" s="504" t="s">
        <v>367</v>
      </c>
      <c r="C71" s="504">
        <v>0</v>
      </c>
      <c r="D71" s="485"/>
      <c r="E71" s="510">
        <v>585071</v>
      </c>
      <c r="F71" s="535"/>
      <c r="G71" s="516">
        <v>3600000</v>
      </c>
      <c r="H71" s="535"/>
      <c r="I71" s="1113">
        <v>497627</v>
      </c>
      <c r="J71" s="516"/>
      <c r="K71" s="517">
        <v>0</v>
      </c>
      <c r="L71" s="535"/>
      <c r="M71" s="472">
        <v>0</v>
      </c>
      <c r="N71" s="510"/>
      <c r="O71" s="510">
        <v>3400271</v>
      </c>
      <c r="P71" s="535"/>
      <c r="Q71" s="510">
        <f t="shared" si="0"/>
        <v>287173</v>
      </c>
      <c r="R71" s="2192"/>
      <c r="S71" s="1113">
        <v>3400271</v>
      </c>
    </row>
    <row r="72" spans="1:19" s="486" customFormat="1" ht="15">
      <c r="B72" s="504" t="s">
        <v>368</v>
      </c>
      <c r="C72" s="504">
        <v>0</v>
      </c>
      <c r="D72" s="485"/>
      <c r="E72" s="510">
        <v>6200</v>
      </c>
      <c r="F72" s="535"/>
      <c r="G72" s="472">
        <v>0</v>
      </c>
      <c r="H72" s="535"/>
      <c r="I72" s="517">
        <v>0</v>
      </c>
      <c r="J72" s="516"/>
      <c r="K72" s="517">
        <v>0</v>
      </c>
      <c r="L72" s="535"/>
      <c r="M72" s="472">
        <v>0</v>
      </c>
      <c r="N72" s="510"/>
      <c r="O72" s="510">
        <v>0</v>
      </c>
      <c r="P72" s="535"/>
      <c r="Q72" s="510">
        <f t="shared" ref="Q72:Q78" si="1">ROUND(+SUM(E72)+SUM(G72)-SUM(I72)+SUM(K72) +SUM(M72)-SUM(O72),0)</f>
        <v>6200</v>
      </c>
      <c r="R72" s="2192"/>
      <c r="S72" s="517">
        <v>0</v>
      </c>
    </row>
    <row r="73" spans="1:19" s="508" customFormat="1" ht="15">
      <c r="B73" s="504" t="s">
        <v>369</v>
      </c>
      <c r="C73" s="504">
        <v>0</v>
      </c>
      <c r="D73" s="515"/>
      <c r="E73" s="510">
        <v>4418363</v>
      </c>
      <c r="F73" s="518"/>
      <c r="G73" s="542">
        <v>159370000</v>
      </c>
      <c r="H73" s="518"/>
      <c r="I73" s="1113">
        <v>1742346</v>
      </c>
      <c r="J73" s="516"/>
      <c r="K73" s="517">
        <v>0</v>
      </c>
      <c r="L73" s="510"/>
      <c r="M73" s="472">
        <v>0</v>
      </c>
      <c r="N73" s="510"/>
      <c r="O73" s="510">
        <v>158553316</v>
      </c>
      <c r="P73" s="510"/>
      <c r="Q73" s="510">
        <f t="shared" si="1"/>
        <v>3492701</v>
      </c>
      <c r="R73" s="2186"/>
      <c r="S73" s="1113">
        <v>158875505</v>
      </c>
    </row>
    <row r="74" spans="1:19" s="486" customFormat="1" ht="15">
      <c r="B74" s="504" t="s">
        <v>370</v>
      </c>
      <c r="C74" s="504">
        <v>0</v>
      </c>
      <c r="D74" s="485"/>
      <c r="E74" s="510">
        <v>14817222</v>
      </c>
      <c r="F74" s="535"/>
      <c r="G74" s="535">
        <v>614402000</v>
      </c>
      <c r="H74" s="535"/>
      <c r="I74" s="1113">
        <v>1295552</v>
      </c>
      <c r="J74" s="516"/>
      <c r="K74" s="1113">
        <v>40529000</v>
      </c>
      <c r="L74" s="535"/>
      <c r="M74" s="472">
        <v>4500000</v>
      </c>
      <c r="N74" s="510"/>
      <c r="O74" s="510">
        <v>652219720</v>
      </c>
      <c r="P74" s="535"/>
      <c r="Q74" s="510">
        <f t="shared" si="1"/>
        <v>20732950</v>
      </c>
      <c r="R74" s="2192"/>
      <c r="S74" s="1113">
        <v>652278548</v>
      </c>
    </row>
    <row r="75" spans="1:19" s="486" customFormat="1" ht="15">
      <c r="B75" s="504" t="s">
        <v>2659</v>
      </c>
      <c r="C75" s="504">
        <v>0</v>
      </c>
      <c r="D75" s="485"/>
      <c r="E75" s="510">
        <v>71426718</v>
      </c>
      <c r="F75" s="535"/>
      <c r="G75" s="535">
        <v>1911841500</v>
      </c>
      <c r="H75" s="535"/>
      <c r="I75" s="1113">
        <v>4790000</v>
      </c>
      <c r="J75" s="516"/>
      <c r="K75" s="1113">
        <v>-1392124973</v>
      </c>
      <c r="L75" s="535"/>
      <c r="M75" s="472">
        <v>1000000</v>
      </c>
      <c r="N75" s="510"/>
      <c r="O75" s="510">
        <v>561357620</v>
      </c>
      <c r="P75" s="535"/>
      <c r="Q75" s="510">
        <f t="shared" si="1"/>
        <v>25995625</v>
      </c>
      <c r="R75" s="2192"/>
      <c r="S75" s="1113">
        <v>561357620</v>
      </c>
    </row>
    <row r="76" spans="1:19" s="486" customFormat="1" ht="15">
      <c r="B76" s="504" t="s">
        <v>371</v>
      </c>
      <c r="C76" s="504">
        <v>0</v>
      </c>
      <c r="D76" s="505"/>
      <c r="E76" s="510">
        <v>41547282</v>
      </c>
      <c r="F76" s="511"/>
      <c r="G76" s="535">
        <v>25759000</v>
      </c>
      <c r="H76" s="511"/>
      <c r="I76" s="1113">
        <v>5252461</v>
      </c>
      <c r="J76" s="516"/>
      <c r="K76" s="1113">
        <v>750092</v>
      </c>
      <c r="L76" s="511"/>
      <c r="M76" s="2303">
        <v>0</v>
      </c>
      <c r="N76" s="510"/>
      <c r="O76" s="510">
        <v>27143038</v>
      </c>
      <c r="P76" s="511"/>
      <c r="Q76" s="510">
        <f t="shared" si="1"/>
        <v>35660875</v>
      </c>
      <c r="R76" s="2193"/>
      <c r="S76" s="1113">
        <v>27244439</v>
      </c>
    </row>
    <row r="77" spans="1:19" s="486" customFormat="1" ht="15">
      <c r="B77" s="504" t="s">
        <v>453</v>
      </c>
      <c r="C77" s="504">
        <v>0</v>
      </c>
      <c r="D77" s="511"/>
      <c r="E77" s="537">
        <v>435277</v>
      </c>
      <c r="F77" s="511"/>
      <c r="G77" s="537">
        <v>30137000</v>
      </c>
      <c r="H77" s="511"/>
      <c r="I77" s="537">
        <v>18261</v>
      </c>
      <c r="J77" s="516"/>
      <c r="K77" s="517">
        <v>0</v>
      </c>
      <c r="L77" s="511"/>
      <c r="M77" s="472">
        <v>0</v>
      </c>
      <c r="N77" s="510"/>
      <c r="O77" s="510">
        <v>30069890</v>
      </c>
      <c r="P77" s="511"/>
      <c r="Q77" s="510">
        <f t="shared" si="1"/>
        <v>484126</v>
      </c>
      <c r="R77" s="2193"/>
      <c r="S77" s="1113">
        <v>30070170</v>
      </c>
    </row>
    <row r="78" spans="1:19" s="486" customFormat="1" ht="15">
      <c r="B78" s="504" t="s">
        <v>372</v>
      </c>
      <c r="C78" s="504">
        <v>0</v>
      </c>
      <c r="D78" s="485"/>
      <c r="E78" s="510">
        <v>276462</v>
      </c>
      <c r="F78" s="535"/>
      <c r="G78" s="535">
        <v>3040000</v>
      </c>
      <c r="H78" s="535"/>
      <c r="I78" s="1113">
        <v>144606</v>
      </c>
      <c r="J78" s="516"/>
      <c r="K78" s="517">
        <v>0</v>
      </c>
      <c r="L78" s="535"/>
      <c r="M78" s="472">
        <v>0</v>
      </c>
      <c r="N78" s="510"/>
      <c r="O78" s="510">
        <v>3035261</v>
      </c>
      <c r="P78" s="535"/>
      <c r="Q78" s="510">
        <f t="shared" si="1"/>
        <v>136595</v>
      </c>
      <c r="R78" s="2192"/>
      <c r="S78" s="1113">
        <v>3035261</v>
      </c>
    </row>
    <row r="79" spans="1:19" s="486" customFormat="1" ht="15">
      <c r="B79" s="504"/>
      <c r="C79" s="504" t="s">
        <v>6</v>
      </c>
      <c r="D79" s="485"/>
      <c r="E79" s="534"/>
      <c r="F79" s="535"/>
      <c r="G79" s="535"/>
      <c r="H79" s="535"/>
      <c r="I79" s="236"/>
      <c r="J79" s="535"/>
      <c r="K79" s="509"/>
      <c r="L79" s="535"/>
      <c r="M79" s="472"/>
      <c r="N79" s="472"/>
      <c r="O79" s="472"/>
      <c r="P79" s="535"/>
      <c r="Q79" s="510"/>
      <c r="R79" s="535"/>
      <c r="S79" s="236"/>
    </row>
    <row r="80" spans="1:19" s="486" customFormat="1" ht="15">
      <c r="B80" s="504"/>
      <c r="C80" s="504" t="s">
        <v>6</v>
      </c>
      <c r="D80" s="485"/>
      <c r="E80" s="534"/>
      <c r="F80" s="535"/>
      <c r="G80" s="535"/>
      <c r="H80" s="535"/>
      <c r="I80" s="236"/>
      <c r="J80" s="535"/>
      <c r="K80" s="509"/>
      <c r="L80" s="535"/>
      <c r="M80" s="472"/>
      <c r="N80" s="472"/>
      <c r="O80" s="472"/>
      <c r="P80" s="535"/>
      <c r="Q80" s="510"/>
      <c r="R80" s="535"/>
      <c r="S80" s="236"/>
    </row>
    <row r="81" spans="1:23" s="486" customFormat="1" ht="15">
      <c r="B81" s="504"/>
      <c r="C81" s="504" t="s">
        <v>6</v>
      </c>
      <c r="D81" s="485"/>
      <c r="E81" s="543"/>
      <c r="F81" s="544"/>
      <c r="G81" s="545"/>
      <c r="H81" s="544"/>
      <c r="I81" s="485"/>
      <c r="J81" s="544"/>
      <c r="K81" s="545"/>
      <c r="L81" s="544"/>
      <c r="M81" s="546"/>
      <c r="N81" s="546"/>
      <c r="O81" s="546"/>
      <c r="P81" s="544"/>
      <c r="Q81" s="495"/>
      <c r="R81" s="544"/>
      <c r="S81" s="485"/>
    </row>
    <row r="82" spans="1:23" s="486" customFormat="1" ht="15">
      <c r="A82" s="2356" t="s">
        <v>6</v>
      </c>
      <c r="B82" s="2413" t="s">
        <v>6</v>
      </c>
      <c r="C82" s="2414"/>
      <c r="D82" s="2414"/>
      <c r="E82" s="2414"/>
      <c r="F82" s="2414"/>
      <c r="G82" s="2414"/>
      <c r="H82" s="2414"/>
      <c r="I82" s="2414"/>
      <c r="J82" s="2414"/>
      <c r="K82" s="2414"/>
      <c r="L82" s="2414"/>
      <c r="M82" s="2414"/>
      <c r="N82" s="2414"/>
      <c r="O82" s="2414"/>
      <c r="P82" s="2414"/>
      <c r="Q82" s="2414"/>
      <c r="R82" s="2414"/>
      <c r="S82" s="2414"/>
      <c r="T82" s="2414"/>
      <c r="U82" s="2414"/>
      <c r="V82" s="2414"/>
      <c r="W82" s="2414"/>
    </row>
    <row r="83" spans="1:23" s="486" customFormat="1">
      <c r="A83" s="2356" t="s">
        <v>275</v>
      </c>
      <c r="B83" s="2404" t="s">
        <v>310</v>
      </c>
      <c r="C83" s="2404"/>
      <c r="D83" s="2404"/>
      <c r="E83" s="2404"/>
      <c r="F83" s="2404"/>
      <c r="G83" s="2404"/>
      <c r="H83" s="2404"/>
      <c r="I83" s="2404"/>
      <c r="J83" s="2404"/>
      <c r="K83" s="2404"/>
      <c r="L83" s="2404"/>
      <c r="M83" s="2404"/>
      <c r="N83" s="2404"/>
      <c r="O83" s="2404"/>
      <c r="P83" s="2404"/>
      <c r="Q83" s="2404"/>
      <c r="R83" s="2404"/>
      <c r="S83" s="2404"/>
      <c r="T83" s="541"/>
      <c r="U83" s="541"/>
      <c r="V83" s="541"/>
      <c r="W83" s="541"/>
    </row>
    <row r="84" spans="1:23" s="486" customFormat="1">
      <c r="A84" s="2356" t="s">
        <v>309</v>
      </c>
      <c r="B84" s="2404" t="s">
        <v>312</v>
      </c>
      <c r="C84" s="2404"/>
      <c r="D84" s="2404"/>
      <c r="E84" s="2404"/>
      <c r="F84" s="2404"/>
      <c r="G84" s="2404"/>
      <c r="H84" s="2404"/>
      <c r="I84" s="2404"/>
      <c r="J84" s="2404"/>
      <c r="K84" s="2404"/>
      <c r="L84" s="2404"/>
      <c r="M84" s="2404"/>
      <c r="N84" s="2404"/>
      <c r="O84" s="2404"/>
      <c r="P84" s="2404"/>
      <c r="Q84" s="2404"/>
      <c r="R84" s="2404"/>
      <c r="S84" s="2404"/>
      <c r="T84" s="541"/>
      <c r="U84" s="541"/>
      <c r="V84" s="541"/>
      <c r="W84" s="541"/>
    </row>
    <row r="85" spans="1:23" ht="18">
      <c r="A85" s="2409" t="s">
        <v>0</v>
      </c>
      <c r="B85" s="2409"/>
      <c r="C85" s="2409"/>
      <c r="D85" s="2409"/>
      <c r="E85" s="2409"/>
      <c r="F85" s="2409"/>
      <c r="G85" s="2409"/>
      <c r="H85" s="2409"/>
      <c r="I85" s="2175"/>
      <c r="J85" s="480"/>
      <c r="K85" s="2175"/>
      <c r="L85" s="480"/>
      <c r="M85" s="2175"/>
      <c r="N85" s="2175"/>
      <c r="O85" s="2175"/>
      <c r="P85" s="480"/>
      <c r="Q85" s="480"/>
      <c r="R85" s="480"/>
      <c r="S85" s="482" t="s">
        <v>313</v>
      </c>
    </row>
    <row r="86" spans="1:23" ht="18">
      <c r="A86" s="2410" t="s">
        <v>314</v>
      </c>
      <c r="B86" s="2410"/>
      <c r="C86" s="2410"/>
      <c r="D86" s="2410"/>
      <c r="E86" s="2410"/>
      <c r="F86" s="2410"/>
      <c r="G86" s="2410"/>
      <c r="H86" s="2410"/>
      <c r="I86" s="2175"/>
      <c r="J86" s="480"/>
      <c r="K86" s="2175"/>
      <c r="L86" s="480"/>
      <c r="M86" s="2175"/>
      <c r="N86" s="2175"/>
      <c r="O86" s="2175"/>
      <c r="P86" s="480"/>
      <c r="Q86" s="480"/>
      <c r="R86" s="480"/>
      <c r="S86" s="480" t="s">
        <v>131</v>
      </c>
    </row>
    <row r="87" spans="1:23" ht="18">
      <c r="A87" s="2410" t="s">
        <v>2540</v>
      </c>
      <c r="B87" s="2410"/>
      <c r="C87" s="2410"/>
      <c r="D87" s="2410"/>
      <c r="E87" s="2410"/>
      <c r="F87" s="2410"/>
      <c r="G87" s="2410"/>
      <c r="H87" s="2410"/>
      <c r="I87" s="2175"/>
      <c r="J87" s="480"/>
      <c r="K87" s="2175"/>
      <c r="L87" s="480"/>
      <c r="M87" s="2175"/>
      <c r="N87" s="2175"/>
      <c r="O87" s="2175"/>
      <c r="P87" s="480"/>
      <c r="Q87" s="480"/>
      <c r="R87" s="480"/>
      <c r="S87" s="481"/>
    </row>
    <row r="88" spans="1:23" ht="18">
      <c r="A88" s="2409" t="s">
        <v>2648</v>
      </c>
      <c r="B88" s="2409"/>
      <c r="C88" s="2409"/>
      <c r="D88" s="2409"/>
      <c r="E88" s="2409"/>
      <c r="F88" s="2409"/>
      <c r="G88" s="2409"/>
      <c r="H88" s="2409"/>
      <c r="I88" s="2175"/>
      <c r="J88" s="2175"/>
      <c r="K88" s="2175"/>
      <c r="L88" s="2175"/>
      <c r="M88" s="2175"/>
      <c r="N88" s="2175"/>
      <c r="O88" s="2175"/>
      <c r="P88" s="2175"/>
      <c r="Q88" s="2175"/>
      <c r="R88" s="2175"/>
      <c r="S88" s="2175"/>
    </row>
    <row r="89" spans="1:23">
      <c r="A89" s="484"/>
      <c r="B89" s="484"/>
      <c r="C89" s="484"/>
      <c r="D89" s="485"/>
      <c r="E89" s="486"/>
      <c r="F89" s="485"/>
      <c r="G89" s="485"/>
      <c r="H89" s="485"/>
      <c r="I89" s="486"/>
      <c r="J89" s="485"/>
      <c r="K89" s="486"/>
      <c r="L89" s="485"/>
      <c r="M89" s="486"/>
      <c r="N89" s="486"/>
      <c r="O89" s="486"/>
      <c r="P89" s="485"/>
      <c r="Q89" s="486"/>
      <c r="R89" s="485"/>
      <c r="S89" s="486"/>
    </row>
    <row r="90" spans="1:23">
      <c r="A90" s="486"/>
      <c r="B90" s="486"/>
      <c r="C90" s="486"/>
      <c r="D90" s="485"/>
      <c r="E90" s="486"/>
      <c r="F90" s="485"/>
      <c r="G90" s="485"/>
      <c r="H90" s="485"/>
      <c r="I90" s="486"/>
      <c r="J90" s="485"/>
      <c r="K90" s="486"/>
      <c r="L90" s="485"/>
      <c r="M90" s="486"/>
      <c r="N90" s="486"/>
      <c r="O90" s="486"/>
      <c r="P90" s="485"/>
      <c r="Q90" s="486"/>
      <c r="R90" s="485"/>
      <c r="S90" s="486"/>
    </row>
    <row r="91" spans="1:23">
      <c r="A91" s="486"/>
      <c r="B91" s="486"/>
      <c r="C91" s="486"/>
      <c r="D91" s="485"/>
      <c r="E91" s="486"/>
      <c r="F91" s="485"/>
      <c r="G91" s="485"/>
      <c r="H91" s="485"/>
      <c r="I91" s="487"/>
      <c r="J91" s="485"/>
      <c r="K91" s="486"/>
      <c r="L91" s="485"/>
      <c r="M91" s="488" t="s">
        <v>280</v>
      </c>
      <c r="N91" s="488"/>
      <c r="O91" s="488"/>
      <c r="P91" s="488"/>
      <c r="Q91" s="489"/>
      <c r="R91" s="485"/>
      <c r="S91" s="486"/>
    </row>
    <row r="92" spans="1:23">
      <c r="A92" s="486"/>
      <c r="B92" s="486"/>
      <c r="C92" s="486"/>
      <c r="D92" s="485"/>
      <c r="E92" s="486"/>
      <c r="F92" s="485"/>
      <c r="G92"/>
      <c r="H92" s="485"/>
      <c r="I92" s="489"/>
      <c r="J92" s="485"/>
      <c r="K92" s="486"/>
      <c r="L92" s="485"/>
      <c r="M92" s="486"/>
      <c r="N92" s="2180"/>
      <c r="O92"/>
      <c r="P92" s="485"/>
      <c r="Q92" s="489" t="s">
        <v>2541</v>
      </c>
      <c r="R92" s="2179"/>
      <c r="S92" s="486"/>
    </row>
    <row r="93" spans="1:23">
      <c r="A93" s="490"/>
      <c r="B93" s="490"/>
      <c r="C93" s="490"/>
      <c r="D93" s="485"/>
      <c r="E93" s="489" t="s">
        <v>282</v>
      </c>
      <c r="F93" s="485"/>
      <c r="G93" s="489" t="s">
        <v>281</v>
      </c>
      <c r="H93" s="485"/>
      <c r="I93" s="489" t="s">
        <v>284</v>
      </c>
      <c r="J93" s="485"/>
      <c r="K93" s="489" t="s">
        <v>285</v>
      </c>
      <c r="L93" s="491"/>
      <c r="M93" s="492" t="s">
        <v>286</v>
      </c>
      <c r="N93" s="2180"/>
      <c r="O93" s="2180" t="s">
        <v>2542</v>
      </c>
      <c r="P93" s="485"/>
      <c r="Q93" s="489" t="s">
        <v>282</v>
      </c>
      <c r="R93" s="2179"/>
      <c r="S93" s="489" t="s">
        <v>2542</v>
      </c>
    </row>
    <row r="94" spans="1:23">
      <c r="A94" s="490"/>
      <c r="B94" s="490"/>
      <c r="C94" s="490"/>
      <c r="D94" s="485"/>
      <c r="E94" s="489" t="s">
        <v>287</v>
      </c>
      <c r="F94" s="485"/>
      <c r="G94" s="489" t="s">
        <v>283</v>
      </c>
      <c r="H94" s="485"/>
      <c r="I94" s="489" t="s">
        <v>282</v>
      </c>
      <c r="J94" s="485"/>
      <c r="K94" s="489" t="s">
        <v>288</v>
      </c>
      <c r="L94" s="491"/>
      <c r="M94" s="492" t="s">
        <v>2649</v>
      </c>
      <c r="N94" s="2180"/>
      <c r="O94" s="2181" t="s">
        <v>2584</v>
      </c>
      <c r="P94" s="485"/>
      <c r="Q94" s="489" t="s">
        <v>287</v>
      </c>
      <c r="R94" s="2179"/>
      <c r="S94" s="493" t="s">
        <v>2584</v>
      </c>
    </row>
    <row r="95" spans="1:23">
      <c r="A95" s="494"/>
      <c r="B95" s="494"/>
      <c r="C95" s="494"/>
      <c r="D95" s="495"/>
      <c r="E95" s="1971" t="s">
        <v>2593</v>
      </c>
      <c r="F95" s="495"/>
      <c r="G95" s="1971" t="s">
        <v>2650</v>
      </c>
      <c r="H95" s="495"/>
      <c r="I95" s="2182" t="s">
        <v>289</v>
      </c>
      <c r="J95" s="495"/>
      <c r="K95" s="2182" t="s">
        <v>2651</v>
      </c>
      <c r="L95" s="496"/>
      <c r="M95" s="2185" t="s">
        <v>2652</v>
      </c>
      <c r="N95" s="2368"/>
      <c r="O95" s="2183" t="s">
        <v>2543</v>
      </c>
      <c r="P95" s="485"/>
      <c r="Q95" s="1971" t="s">
        <v>2592</v>
      </c>
      <c r="R95" s="2179"/>
      <c r="S95" s="2182" t="s">
        <v>290</v>
      </c>
    </row>
    <row r="96" spans="1:23">
      <c r="A96" s="497"/>
      <c r="B96" s="497"/>
      <c r="C96" s="497"/>
      <c r="D96" s="485"/>
      <c r="E96" s="498"/>
      <c r="F96" s="485"/>
      <c r="G96" s="485"/>
      <c r="H96" s="485"/>
      <c r="I96" s="498"/>
      <c r="J96" s="485"/>
      <c r="K96" s="498"/>
      <c r="L96" s="495"/>
      <c r="M96" s="498"/>
      <c r="N96" s="508"/>
      <c r="O96" s="508"/>
      <c r="P96" s="485"/>
      <c r="Q96" s="498"/>
      <c r="R96" s="2192"/>
      <c r="S96" s="498"/>
    </row>
    <row r="97" spans="1:19">
      <c r="A97" s="499" t="s">
        <v>373</v>
      </c>
      <c r="B97" s="490"/>
      <c r="C97" s="490"/>
      <c r="D97" s="485"/>
      <c r="E97" s="486"/>
      <c r="F97" s="485"/>
      <c r="G97" s="485"/>
      <c r="H97" s="485"/>
      <c r="I97" s="486"/>
      <c r="J97" s="485"/>
      <c r="K97" s="547"/>
      <c r="L97" s="485"/>
      <c r="M97" s="486"/>
      <c r="N97" s="486"/>
      <c r="O97" s="486"/>
      <c r="P97" s="485"/>
      <c r="Q97" s="486"/>
      <c r="R97" s="2192"/>
      <c r="S97" s="486"/>
    </row>
    <row r="98" spans="1:19">
      <c r="A98" s="499"/>
      <c r="B98" s="490"/>
      <c r="C98" s="490"/>
      <c r="D98" s="485"/>
      <c r="E98" s="486"/>
      <c r="F98" s="485"/>
      <c r="G98" s="485"/>
      <c r="H98" s="485"/>
      <c r="I98" s="486"/>
      <c r="J98" s="485"/>
      <c r="K98" s="486"/>
      <c r="L98" s="485"/>
      <c r="M98" s="486"/>
      <c r="N98" s="486"/>
      <c r="O98" s="486"/>
      <c r="P98" s="485"/>
      <c r="Q98" s="486"/>
      <c r="R98" s="2192"/>
      <c r="S98" s="486"/>
    </row>
    <row r="99" spans="1:19" s="486" customFormat="1" ht="15">
      <c r="B99" s="504" t="s">
        <v>374</v>
      </c>
      <c r="C99" s="504">
        <v>0</v>
      </c>
      <c r="D99" s="485"/>
      <c r="E99" s="534">
        <v>7751749</v>
      </c>
      <c r="F99" s="535"/>
      <c r="G99" s="535">
        <v>271253000</v>
      </c>
      <c r="H99" s="535"/>
      <c r="I99" s="1113">
        <v>882209</v>
      </c>
      <c r="J99" s="516"/>
      <c r="K99" s="509">
        <v>0</v>
      </c>
      <c r="L99" s="535"/>
      <c r="M99" s="472">
        <v>0</v>
      </c>
      <c r="N99" s="510"/>
      <c r="O99" s="510">
        <v>263806708</v>
      </c>
      <c r="P99" s="535"/>
      <c r="Q99" s="510">
        <f>ROUND(+SUM(E99)+SUM(G99)-SUM(I99)+SUM(K99) +SUM(M99)-SUM(O99),0)</f>
        <v>14315832</v>
      </c>
      <c r="R99" s="2192"/>
      <c r="S99" s="1113">
        <v>263486751</v>
      </c>
    </row>
    <row r="100" spans="1:19" s="486" customFormat="1" ht="15">
      <c r="B100" s="504" t="s">
        <v>375</v>
      </c>
      <c r="C100" s="504">
        <v>0</v>
      </c>
      <c r="D100" s="485"/>
      <c r="E100" s="534">
        <v>238895825</v>
      </c>
      <c r="F100" s="535"/>
      <c r="G100" s="535">
        <v>1429669000</v>
      </c>
      <c r="H100" s="535"/>
      <c r="I100" s="1113">
        <v>70635711</v>
      </c>
      <c r="J100" s="516"/>
      <c r="K100" s="1113">
        <v>526500697.91000003</v>
      </c>
      <c r="L100" s="535"/>
      <c r="M100" s="472">
        <v>0</v>
      </c>
      <c r="N100" s="510"/>
      <c r="O100" s="510">
        <v>1935343968</v>
      </c>
      <c r="P100" s="535"/>
      <c r="Q100" s="510">
        <f t="shared" ref="Q100:Q105" si="2">ROUND(+SUM(E100)+SUM(G100)-SUM(I100)+SUM(K100) +SUM(M100)-SUM(O100),0)</f>
        <v>189085844</v>
      </c>
      <c r="R100" s="2192"/>
      <c r="S100" s="1113">
        <v>1935344026</v>
      </c>
    </row>
    <row r="101" spans="1:19" s="486" customFormat="1" ht="15">
      <c r="B101" s="504" t="s">
        <v>376</v>
      </c>
      <c r="C101" s="504">
        <v>0</v>
      </c>
      <c r="D101" s="485"/>
      <c r="E101" s="534">
        <v>7845711</v>
      </c>
      <c r="F101" s="535"/>
      <c r="G101" s="535">
        <v>113150800</v>
      </c>
      <c r="H101" s="535"/>
      <c r="I101" s="1113">
        <v>5557</v>
      </c>
      <c r="J101" s="516"/>
      <c r="K101" s="1113">
        <v>1152000</v>
      </c>
      <c r="L101" s="535"/>
      <c r="M101" s="472">
        <v>0</v>
      </c>
      <c r="N101" s="510"/>
      <c r="O101" s="510">
        <v>112502800</v>
      </c>
      <c r="P101" s="535"/>
      <c r="Q101" s="510">
        <f t="shared" si="2"/>
        <v>9640154</v>
      </c>
      <c r="R101" s="2192"/>
      <c r="S101" s="1113">
        <v>112502800</v>
      </c>
    </row>
    <row r="102" spans="1:19" s="508" customFormat="1" ht="15">
      <c r="B102" s="504" t="s">
        <v>377</v>
      </c>
      <c r="C102" s="504">
        <v>0</v>
      </c>
      <c r="D102" s="495"/>
      <c r="E102" s="509">
        <v>72523217</v>
      </c>
      <c r="F102" s="510"/>
      <c r="G102" s="510">
        <v>2532196645</v>
      </c>
      <c r="H102" s="510"/>
      <c r="I102" s="1113">
        <v>6161891</v>
      </c>
      <c r="J102" s="516"/>
      <c r="K102" s="1113">
        <v>-15863777.51</v>
      </c>
      <c r="L102" s="510"/>
      <c r="M102" s="472">
        <v>0</v>
      </c>
      <c r="N102" s="510"/>
      <c r="O102" s="510">
        <v>2504484914</v>
      </c>
      <c r="P102" s="510"/>
      <c r="Q102" s="510">
        <f t="shared" si="2"/>
        <v>78209279</v>
      </c>
      <c r="R102" s="2186"/>
      <c r="S102" s="1113">
        <v>2504173837</v>
      </c>
    </row>
    <row r="103" spans="1:19" s="486" customFormat="1" ht="15">
      <c r="B103" s="504" t="s">
        <v>378</v>
      </c>
      <c r="C103" s="504">
        <v>0</v>
      </c>
      <c r="D103" s="485"/>
      <c r="E103" s="534">
        <v>8013565</v>
      </c>
      <c r="F103" s="535"/>
      <c r="G103" s="535">
        <v>16815000</v>
      </c>
      <c r="H103" s="535"/>
      <c r="I103" s="1113">
        <v>1623957</v>
      </c>
      <c r="J103" s="516"/>
      <c r="K103" s="1113">
        <v>0</v>
      </c>
      <c r="L103" s="535"/>
      <c r="M103" s="472">
        <v>0</v>
      </c>
      <c r="N103" s="510"/>
      <c r="O103" s="510">
        <v>12921915</v>
      </c>
      <c r="P103" s="535"/>
      <c r="Q103" s="510">
        <f t="shared" si="2"/>
        <v>10282693</v>
      </c>
      <c r="R103" s="2192"/>
      <c r="S103" s="1113">
        <v>12921460</v>
      </c>
    </row>
    <row r="104" spans="1:19" s="486" customFormat="1" ht="15">
      <c r="B104" s="504" t="s">
        <v>413</v>
      </c>
      <c r="C104" s="504">
        <v>0</v>
      </c>
      <c r="D104" s="505"/>
      <c r="E104" s="510">
        <v>4241</v>
      </c>
      <c r="F104" s="511"/>
      <c r="G104" s="511">
        <v>2788000</v>
      </c>
      <c r="H104" s="511"/>
      <c r="I104" s="1113">
        <v>0</v>
      </c>
      <c r="J104" s="516"/>
      <c r="K104" s="1113">
        <v>0</v>
      </c>
      <c r="L104" s="511"/>
      <c r="M104" s="472">
        <v>0</v>
      </c>
      <c r="N104" s="510"/>
      <c r="O104" s="510">
        <v>1870289</v>
      </c>
      <c r="P104" s="511"/>
      <c r="Q104" s="510">
        <f t="shared" si="2"/>
        <v>921952</v>
      </c>
      <c r="R104" s="2193"/>
      <c r="S104" s="1113">
        <v>1870289</v>
      </c>
    </row>
    <row r="105" spans="1:19" s="486" customFormat="1" ht="15">
      <c r="B105" s="504" t="s">
        <v>379</v>
      </c>
      <c r="C105" s="504">
        <v>0</v>
      </c>
      <c r="D105" s="485"/>
      <c r="E105" s="534">
        <v>150819</v>
      </c>
      <c r="F105" s="535"/>
      <c r="G105" s="535">
        <v>1162000</v>
      </c>
      <c r="H105" s="535"/>
      <c r="I105" s="1113">
        <v>131705</v>
      </c>
      <c r="J105" s="516"/>
      <c r="K105" s="1113">
        <v>-499000</v>
      </c>
      <c r="L105" s="535"/>
      <c r="M105" s="472">
        <v>0</v>
      </c>
      <c r="N105" s="510"/>
      <c r="O105" s="510">
        <v>568944</v>
      </c>
      <c r="P105" s="535"/>
      <c r="Q105" s="510">
        <f t="shared" si="2"/>
        <v>113170</v>
      </c>
      <c r="R105" s="2192"/>
      <c r="S105" s="1113">
        <v>568944</v>
      </c>
    </row>
    <row r="106" spans="1:19">
      <c r="B106" s="548" t="s">
        <v>380</v>
      </c>
      <c r="C106" s="541">
        <v>0</v>
      </c>
      <c r="D106" s="505"/>
      <c r="E106" s="2369">
        <f>ROUND(SUM(E17:E78,E99:E105),0)</f>
        <v>76347860004</v>
      </c>
      <c r="F106" s="511"/>
      <c r="G106" s="2369">
        <f>ROUND(SUM(G17:G78,G99:G105),0)</f>
        <v>108310339635</v>
      </c>
      <c r="H106" s="511"/>
      <c r="I106" s="2369">
        <f>ROUND(SUM(I17:I78,I99:I105),0)</f>
        <v>46756284146</v>
      </c>
      <c r="J106" s="511"/>
      <c r="K106" s="2369">
        <f>ROUND(SUM(K17:K78,K99:K105),0)</f>
        <v>-366472983</v>
      </c>
      <c r="L106" s="511"/>
      <c r="M106" s="2369">
        <f>ROUND(SUM(M17:M78,M99:M105),0)</f>
        <v>284600219</v>
      </c>
      <c r="N106" s="551"/>
      <c r="O106" s="2369">
        <f>ROUND(SUM(O17:O78,O99:O105),0)</f>
        <v>58965192001</v>
      </c>
      <c r="P106" s="511"/>
      <c r="Q106" s="2369">
        <f>ROUND(SUM(Q17:Q78,Q99:Q105),0)</f>
        <v>78854850727</v>
      </c>
      <c r="R106" s="2193"/>
      <c r="S106" s="2369">
        <f>ROUND(SUM(S17:S78,S99:S105),0)</f>
        <v>58930025641</v>
      </c>
    </row>
    <row r="107" spans="1:19">
      <c r="B107" s="548"/>
      <c r="D107" s="505"/>
      <c r="E107" s="551"/>
      <c r="F107" s="511"/>
      <c r="G107" s="551"/>
      <c r="H107" s="511"/>
      <c r="I107" s="551"/>
      <c r="J107" s="511"/>
      <c r="K107" s="551"/>
      <c r="L107" s="511"/>
      <c r="M107" s="551"/>
      <c r="N107" s="551"/>
      <c r="O107" s="551"/>
      <c r="P107" s="511"/>
      <c r="Q107" s="551"/>
      <c r="R107" s="2192"/>
      <c r="S107" s="551"/>
    </row>
    <row r="108" spans="1:19">
      <c r="A108" s="499" t="s">
        <v>381</v>
      </c>
      <c r="B108" s="490"/>
      <c r="C108" s="490"/>
      <c r="D108" s="485"/>
      <c r="E108" s="551"/>
      <c r="F108" s="535"/>
      <c r="G108" s="535"/>
      <c r="H108" s="535"/>
      <c r="I108" s="236"/>
      <c r="J108" s="535"/>
      <c r="K108" s="552"/>
      <c r="L108" s="535"/>
      <c r="M108" s="236"/>
      <c r="N108" s="2176"/>
      <c r="O108" s="2176"/>
      <c r="P108" s="535"/>
      <c r="Q108" s="552"/>
      <c r="R108" s="2192"/>
      <c r="S108" s="236"/>
    </row>
    <row r="109" spans="1:19">
      <c r="A109" s="490"/>
      <c r="B109" s="490"/>
      <c r="C109" s="490"/>
      <c r="D109" s="485"/>
      <c r="E109" s="236"/>
      <c r="F109" s="535"/>
      <c r="G109" s="535"/>
      <c r="H109" s="535"/>
      <c r="I109" s="236"/>
      <c r="J109" s="535"/>
      <c r="K109" s="236"/>
      <c r="L109" s="535"/>
      <c r="M109" s="553"/>
      <c r="N109" s="553"/>
      <c r="O109" s="553"/>
      <c r="P109" s="535"/>
      <c r="Q109" s="553"/>
      <c r="R109" s="2192"/>
      <c r="S109" s="553"/>
    </row>
    <row r="110" spans="1:19" ht="15" customHeight="1">
      <c r="A110" s="503"/>
      <c r="B110" s="504" t="s">
        <v>382</v>
      </c>
      <c r="C110" s="504">
        <v>0</v>
      </c>
      <c r="D110" s="505"/>
      <c r="E110" s="509">
        <v>3339002</v>
      </c>
      <c r="F110" s="511"/>
      <c r="G110" s="511">
        <v>700000</v>
      </c>
      <c r="H110" s="511"/>
      <c r="I110" s="1113">
        <v>0</v>
      </c>
      <c r="J110" s="516"/>
      <c r="K110" s="517">
        <v>0</v>
      </c>
      <c r="L110" s="510"/>
      <c r="M110" s="472">
        <v>0</v>
      </c>
      <c r="N110" s="510"/>
      <c r="O110" s="510">
        <v>52656</v>
      </c>
      <c r="P110" s="510"/>
      <c r="Q110" s="510">
        <f t="shared" ref="Q110:Q142" si="3">ROUND(+SUM(E110)+SUM(G110)-SUM(I110)+SUM(K110) +SUM(M110)-SUM(O110),0)</f>
        <v>3986346</v>
      </c>
      <c r="R110" s="2186"/>
      <c r="S110" s="1113">
        <v>52656</v>
      </c>
    </row>
    <row r="111" spans="1:19" ht="15" customHeight="1">
      <c r="A111" s="503"/>
      <c r="B111" s="504" t="s">
        <v>383</v>
      </c>
      <c r="C111" s="504">
        <v>0</v>
      </c>
      <c r="D111" s="495"/>
      <c r="E111" s="509">
        <v>168985173</v>
      </c>
      <c r="F111" s="510"/>
      <c r="G111" s="510">
        <v>124739000</v>
      </c>
      <c r="H111" s="510"/>
      <c r="I111" s="542">
        <v>19718096</v>
      </c>
      <c r="J111" s="516"/>
      <c r="K111" s="1113">
        <v>10971667</v>
      </c>
      <c r="L111" s="512"/>
      <c r="M111" s="472">
        <v>0</v>
      </c>
      <c r="N111" s="510"/>
      <c r="O111" s="510">
        <v>102738702</v>
      </c>
      <c r="P111" s="510"/>
      <c r="Q111" s="510">
        <f t="shared" si="3"/>
        <v>182239042</v>
      </c>
      <c r="R111" s="2186"/>
      <c r="S111" s="1113">
        <v>102738702</v>
      </c>
    </row>
    <row r="112" spans="1:19" ht="15" customHeight="1">
      <c r="A112" s="497"/>
      <c r="B112" s="504" t="s">
        <v>384</v>
      </c>
      <c r="C112" s="504">
        <v>0</v>
      </c>
      <c r="D112" s="513"/>
      <c r="E112" s="509">
        <v>154947908</v>
      </c>
      <c r="F112" s="514"/>
      <c r="G112" s="511">
        <v>49644000</v>
      </c>
      <c r="H112" s="514"/>
      <c r="I112" s="542">
        <v>28694073</v>
      </c>
      <c r="J112" s="516"/>
      <c r="K112" s="1113">
        <v>1149115</v>
      </c>
      <c r="L112" s="512"/>
      <c r="M112" s="472">
        <v>0</v>
      </c>
      <c r="N112" s="510"/>
      <c r="O112" s="510">
        <v>16289327</v>
      </c>
      <c r="P112" s="512"/>
      <c r="Q112" s="510">
        <f t="shared" si="3"/>
        <v>160757623</v>
      </c>
      <c r="R112" s="2187"/>
      <c r="S112" s="1113">
        <v>16289327</v>
      </c>
    </row>
    <row r="113" spans="1:19" ht="15" customHeight="1">
      <c r="A113" s="497"/>
      <c r="B113" s="504" t="s">
        <v>385</v>
      </c>
      <c r="C113" s="504">
        <v>0</v>
      </c>
      <c r="D113" s="515"/>
      <c r="E113" s="509">
        <v>176636194</v>
      </c>
      <c r="F113" s="510"/>
      <c r="G113" s="509">
        <v>141170000</v>
      </c>
      <c r="H113" s="510"/>
      <c r="I113" s="542">
        <v>38278775</v>
      </c>
      <c r="J113" s="516"/>
      <c r="K113" s="1113">
        <v>1600955</v>
      </c>
      <c r="L113" s="510"/>
      <c r="M113" s="472">
        <v>0</v>
      </c>
      <c r="N113" s="510"/>
      <c r="O113" s="510">
        <v>136345149</v>
      </c>
      <c r="P113" s="510"/>
      <c r="Q113" s="510">
        <f t="shared" si="3"/>
        <v>144783225</v>
      </c>
      <c r="R113" s="2186"/>
      <c r="S113" s="1113">
        <v>136345149</v>
      </c>
    </row>
    <row r="114" spans="1:19" ht="15" customHeight="1">
      <c r="A114" s="497"/>
      <c r="B114" s="504" t="s">
        <v>386</v>
      </c>
      <c r="C114" s="504">
        <v>0</v>
      </c>
      <c r="D114" s="515"/>
      <c r="E114" s="509">
        <v>9343341</v>
      </c>
      <c r="F114" s="510"/>
      <c r="G114" s="510">
        <v>1513000</v>
      </c>
      <c r="H114" s="510"/>
      <c r="I114" s="542">
        <v>100000</v>
      </c>
      <c r="J114" s="516"/>
      <c r="K114" s="517">
        <v>0</v>
      </c>
      <c r="L114" s="510"/>
      <c r="M114" s="472">
        <v>0</v>
      </c>
      <c r="N114" s="510"/>
      <c r="O114" s="510">
        <v>359277</v>
      </c>
      <c r="P114" s="510"/>
      <c r="Q114" s="510">
        <f t="shared" si="3"/>
        <v>10397064</v>
      </c>
      <c r="R114" s="2186"/>
      <c r="S114" s="1113">
        <v>359277</v>
      </c>
    </row>
    <row r="115" spans="1:19" ht="15" customHeight="1">
      <c r="A115" s="494"/>
      <c r="B115" s="504" t="s">
        <v>387</v>
      </c>
      <c r="C115" s="504">
        <v>0</v>
      </c>
      <c r="D115" s="495"/>
      <c r="E115" s="509">
        <v>2903083939</v>
      </c>
      <c r="F115" s="510"/>
      <c r="G115" s="510">
        <v>1485153000</v>
      </c>
      <c r="H115" s="510"/>
      <c r="I115" s="542">
        <v>526500682</v>
      </c>
      <c r="J115" s="516"/>
      <c r="K115" s="1113">
        <v>8042601.1299999999</v>
      </c>
      <c r="L115" s="510"/>
      <c r="M115" s="472">
        <v>0</v>
      </c>
      <c r="N115" s="510"/>
      <c r="O115" s="510">
        <v>992143634</v>
      </c>
      <c r="P115" s="510"/>
      <c r="Q115" s="510">
        <f t="shared" si="3"/>
        <v>2877635224</v>
      </c>
      <c r="R115" s="2186"/>
      <c r="S115" s="1113">
        <v>992194593</v>
      </c>
    </row>
    <row r="116" spans="1:19" ht="15" customHeight="1">
      <c r="A116" s="508"/>
      <c r="B116" s="504" t="s">
        <v>323</v>
      </c>
      <c r="C116" s="504">
        <v>0</v>
      </c>
      <c r="D116" s="515"/>
      <c r="E116" s="509">
        <v>4954348</v>
      </c>
      <c r="F116" s="518"/>
      <c r="G116" s="517">
        <v>0</v>
      </c>
      <c r="H116" s="518"/>
      <c r="I116" s="536">
        <v>0</v>
      </c>
      <c r="J116" s="516"/>
      <c r="K116" s="1113">
        <v>3436812.56</v>
      </c>
      <c r="L116" s="518"/>
      <c r="M116" s="472">
        <v>0</v>
      </c>
      <c r="N116" s="510"/>
      <c r="O116" s="510">
        <v>7633392</v>
      </c>
      <c r="P116" s="518"/>
      <c r="Q116" s="510">
        <f t="shared" si="3"/>
        <v>757769</v>
      </c>
      <c r="R116" s="2188"/>
      <c r="S116" s="1113">
        <v>7633392</v>
      </c>
    </row>
    <row r="117" spans="1:19" ht="15" customHeight="1">
      <c r="A117" s="497"/>
      <c r="B117" s="504" t="s">
        <v>326</v>
      </c>
      <c r="C117" s="504">
        <v>0</v>
      </c>
      <c r="D117" s="515"/>
      <c r="E117" s="509">
        <v>135674410</v>
      </c>
      <c r="F117" s="510"/>
      <c r="G117" s="510">
        <v>40500000</v>
      </c>
      <c r="H117" s="510"/>
      <c r="I117" s="542">
        <v>17174533</v>
      </c>
      <c r="J117" s="510"/>
      <c r="K117" s="1113">
        <v>3080358.51</v>
      </c>
      <c r="L117" s="510"/>
      <c r="M117" s="472">
        <v>0</v>
      </c>
      <c r="N117" s="510"/>
      <c r="O117" s="510">
        <v>25409517</v>
      </c>
      <c r="P117" s="510"/>
      <c r="Q117" s="510">
        <f t="shared" si="3"/>
        <v>136670719</v>
      </c>
      <c r="R117" s="2186"/>
      <c r="S117" s="1113">
        <v>25409852</v>
      </c>
    </row>
    <row r="118" spans="1:19" ht="15" customHeight="1">
      <c r="A118" s="497"/>
      <c r="B118" s="504" t="s">
        <v>388</v>
      </c>
      <c r="C118" s="504">
        <v>0</v>
      </c>
      <c r="D118" s="495"/>
      <c r="E118" s="509">
        <v>187104730</v>
      </c>
      <c r="F118" s="510"/>
      <c r="G118" s="510">
        <v>51350000</v>
      </c>
      <c r="H118" s="510"/>
      <c r="I118" s="542">
        <v>26949946</v>
      </c>
      <c r="J118" s="510"/>
      <c r="K118" s="1113">
        <v>4002456</v>
      </c>
      <c r="L118" s="510"/>
      <c r="M118" s="472">
        <v>0</v>
      </c>
      <c r="N118" s="510"/>
      <c r="O118" s="510">
        <v>25771583</v>
      </c>
      <c r="P118" s="510"/>
      <c r="Q118" s="510">
        <f t="shared" si="3"/>
        <v>189735657</v>
      </c>
      <c r="R118" s="2186"/>
      <c r="S118" s="1113">
        <v>25771583</v>
      </c>
    </row>
    <row r="119" spans="1:19" ht="15" customHeight="1">
      <c r="A119" s="554"/>
      <c r="B119" s="504" t="s">
        <v>389</v>
      </c>
      <c r="C119" s="504">
        <v>0</v>
      </c>
      <c r="D119" s="495"/>
      <c r="E119" s="509">
        <v>8113914</v>
      </c>
      <c r="F119" s="510"/>
      <c r="G119" s="510">
        <v>4750000</v>
      </c>
      <c r="H119" s="510"/>
      <c r="I119" s="542">
        <v>416477</v>
      </c>
      <c r="J119" s="510"/>
      <c r="K119" s="517">
        <v>0</v>
      </c>
      <c r="L119" s="510"/>
      <c r="M119" s="472">
        <v>0</v>
      </c>
      <c r="N119" s="510"/>
      <c r="O119" s="510">
        <v>3386789</v>
      </c>
      <c r="P119" s="510"/>
      <c r="Q119" s="510">
        <f t="shared" si="3"/>
        <v>9060648</v>
      </c>
      <c r="R119" s="2186"/>
      <c r="S119" s="1113">
        <v>3386335</v>
      </c>
    </row>
    <row r="120" spans="1:19" ht="15" customHeight="1">
      <c r="B120" s="504" t="s">
        <v>390</v>
      </c>
      <c r="C120" s="504">
        <v>0</v>
      </c>
      <c r="D120" s="522"/>
      <c r="E120" s="509">
        <v>13207404</v>
      </c>
      <c r="F120" s="523"/>
      <c r="G120" s="524">
        <v>8000000</v>
      </c>
      <c r="H120" s="523"/>
      <c r="I120" s="517">
        <v>0</v>
      </c>
      <c r="J120" s="516"/>
      <c r="K120" s="517">
        <v>0</v>
      </c>
      <c r="L120" s="523"/>
      <c r="M120" s="472">
        <v>0</v>
      </c>
      <c r="N120" s="510"/>
      <c r="O120" s="510">
        <v>8308127</v>
      </c>
      <c r="P120" s="523"/>
      <c r="Q120" s="510">
        <f t="shared" si="3"/>
        <v>12899277</v>
      </c>
      <c r="R120" s="2189"/>
      <c r="S120" s="1113">
        <v>8308127</v>
      </c>
    </row>
    <row r="121" spans="1:19" ht="15" customHeight="1">
      <c r="B121" s="504" t="s">
        <v>391</v>
      </c>
      <c r="C121" s="504">
        <v>0</v>
      </c>
      <c r="D121" s="522"/>
      <c r="E121" s="509">
        <v>9187906316</v>
      </c>
      <c r="F121" s="523"/>
      <c r="G121" s="524">
        <v>4735044000</v>
      </c>
      <c r="H121" s="523"/>
      <c r="I121" s="542">
        <v>188763125</v>
      </c>
      <c r="J121" s="516"/>
      <c r="K121" s="1113">
        <v>-12570097.359999999</v>
      </c>
      <c r="L121" s="523"/>
      <c r="M121" s="472">
        <v>0</v>
      </c>
      <c r="N121" s="510"/>
      <c r="O121" s="510">
        <v>3905941146</v>
      </c>
      <c r="P121" s="523"/>
      <c r="Q121" s="510">
        <f t="shared" si="3"/>
        <v>9815675948</v>
      </c>
      <c r="R121" s="2189"/>
      <c r="S121" s="1113">
        <v>3905941161</v>
      </c>
    </row>
    <row r="122" spans="1:19" ht="15" customHeight="1">
      <c r="B122" s="504" t="s">
        <v>392</v>
      </c>
      <c r="C122" s="504">
        <v>0</v>
      </c>
      <c r="D122" s="526"/>
      <c r="E122" s="527">
        <v>43516887</v>
      </c>
      <c r="F122" s="523"/>
      <c r="G122" s="517">
        <v>0</v>
      </c>
      <c r="H122" s="523"/>
      <c r="I122" s="517">
        <v>0</v>
      </c>
      <c r="J122" s="516"/>
      <c r="K122" s="517">
        <v>0</v>
      </c>
      <c r="L122" s="523"/>
      <c r="M122" s="472">
        <v>0</v>
      </c>
      <c r="N122" s="510"/>
      <c r="O122" s="510">
        <v>4528634</v>
      </c>
      <c r="P122" s="528"/>
      <c r="Q122" s="510">
        <f t="shared" si="3"/>
        <v>38988253</v>
      </c>
      <c r="R122" s="2190"/>
      <c r="S122" s="1113">
        <v>4528634</v>
      </c>
    </row>
    <row r="123" spans="1:19" ht="15" customHeight="1">
      <c r="B123" s="504" t="s">
        <v>393</v>
      </c>
      <c r="C123" s="504">
        <v>0</v>
      </c>
      <c r="D123" s="531"/>
      <c r="E123" s="527">
        <v>241796142</v>
      </c>
      <c r="F123" s="523"/>
      <c r="G123" s="524">
        <v>81198000</v>
      </c>
      <c r="H123" s="523"/>
      <c r="I123" s="542">
        <v>12827604</v>
      </c>
      <c r="J123" s="516"/>
      <c r="K123" s="1113">
        <v>-335827.46</v>
      </c>
      <c r="L123" s="523"/>
      <c r="M123" s="472">
        <v>0</v>
      </c>
      <c r="N123" s="510"/>
      <c r="O123" s="510">
        <v>54862413</v>
      </c>
      <c r="P123" s="520"/>
      <c r="Q123" s="510">
        <f t="shared" si="3"/>
        <v>254968298</v>
      </c>
      <c r="R123" s="2191"/>
      <c r="S123" s="1113">
        <v>54862413</v>
      </c>
    </row>
    <row r="124" spans="1:19" ht="15" customHeight="1">
      <c r="A124" s="530"/>
      <c r="B124" s="504" t="s">
        <v>394</v>
      </c>
      <c r="C124" s="504">
        <v>0</v>
      </c>
      <c r="D124" s="531"/>
      <c r="E124" s="527">
        <v>4239986</v>
      </c>
      <c r="F124" s="523"/>
      <c r="G124" s="517">
        <v>0</v>
      </c>
      <c r="H124" s="523"/>
      <c r="I124" s="517">
        <v>0</v>
      </c>
      <c r="J124" s="516"/>
      <c r="K124" s="1113">
        <v>-657237.03</v>
      </c>
      <c r="L124" s="523"/>
      <c r="M124" s="472">
        <v>0</v>
      </c>
      <c r="N124" s="510"/>
      <c r="O124" s="510">
        <v>1424336</v>
      </c>
      <c r="P124" s="520"/>
      <c r="Q124" s="510">
        <f t="shared" si="3"/>
        <v>2158413</v>
      </c>
      <c r="R124" s="2191"/>
      <c r="S124" s="1113">
        <v>1424336</v>
      </c>
    </row>
    <row r="125" spans="1:19" ht="15" customHeight="1">
      <c r="B125" s="504" t="s">
        <v>395</v>
      </c>
      <c r="C125" s="504">
        <v>0</v>
      </c>
      <c r="D125" s="531"/>
      <c r="E125" s="527">
        <v>10362091</v>
      </c>
      <c r="F125" s="523"/>
      <c r="G125" s="524">
        <v>8230000</v>
      </c>
      <c r="H125" s="523"/>
      <c r="I125" s="542">
        <v>929982</v>
      </c>
      <c r="J125" s="516"/>
      <c r="K125" s="1113">
        <v>-7772.96</v>
      </c>
      <c r="L125" s="523"/>
      <c r="M125" s="472">
        <v>0</v>
      </c>
      <c r="N125" s="510"/>
      <c r="O125" s="510">
        <v>6907765</v>
      </c>
      <c r="P125" s="520"/>
      <c r="Q125" s="510">
        <f t="shared" si="3"/>
        <v>10746571</v>
      </c>
      <c r="R125" s="2191"/>
      <c r="S125" s="1113">
        <v>6907765</v>
      </c>
    </row>
    <row r="126" spans="1:19" ht="15" customHeight="1">
      <c r="B126" s="504" t="s">
        <v>396</v>
      </c>
      <c r="C126" s="504">
        <v>0</v>
      </c>
      <c r="D126" s="495"/>
      <c r="E126" s="509">
        <v>126133480367</v>
      </c>
      <c r="F126" s="510"/>
      <c r="G126" s="510">
        <v>84764730000</v>
      </c>
      <c r="H126" s="510"/>
      <c r="I126" s="542">
        <v>16776473279</v>
      </c>
      <c r="J126" s="516"/>
      <c r="K126" s="1113">
        <v>-588387103.08000004</v>
      </c>
      <c r="L126" s="510"/>
      <c r="M126" s="472">
        <v>0</v>
      </c>
      <c r="N126" s="510"/>
      <c r="O126" s="510">
        <v>36382511639</v>
      </c>
      <c r="P126" s="510"/>
      <c r="Q126" s="510">
        <f t="shared" si="3"/>
        <v>157150838346</v>
      </c>
      <c r="R126" s="2186"/>
      <c r="S126" s="1113">
        <v>36386524461</v>
      </c>
    </row>
    <row r="127" spans="1:19" ht="15" customHeight="1">
      <c r="B127" s="504" t="s">
        <v>397</v>
      </c>
      <c r="C127" s="504">
        <v>0</v>
      </c>
      <c r="D127" s="495"/>
      <c r="E127" s="509">
        <v>10253501</v>
      </c>
      <c r="F127" s="510"/>
      <c r="G127" s="510">
        <v>11009000</v>
      </c>
      <c r="H127" s="510"/>
      <c r="I127" s="542">
        <v>947606</v>
      </c>
      <c r="J127" s="516"/>
      <c r="K127" s="1113">
        <v>-718006.28</v>
      </c>
      <c r="L127" s="510"/>
      <c r="M127" s="472">
        <v>0</v>
      </c>
      <c r="N127" s="510"/>
      <c r="O127" s="510">
        <v>6528411</v>
      </c>
      <c r="P127" s="510"/>
      <c r="Q127" s="510">
        <f t="shared" si="3"/>
        <v>13068478</v>
      </c>
      <c r="R127" s="2186"/>
      <c r="S127" s="1113">
        <v>6528411</v>
      </c>
    </row>
    <row r="128" spans="1:19" s="508" customFormat="1" ht="15">
      <c r="B128" s="504" t="s">
        <v>398</v>
      </c>
      <c r="C128" s="504">
        <v>0</v>
      </c>
      <c r="D128" s="505"/>
      <c r="E128" s="509">
        <v>11919378694</v>
      </c>
      <c r="F128" s="511"/>
      <c r="G128" s="510">
        <v>653774000</v>
      </c>
      <c r="H128" s="511"/>
      <c r="I128" s="542">
        <v>26718951</v>
      </c>
      <c r="J128" s="516"/>
      <c r="K128" s="1113">
        <v>-160070399.66</v>
      </c>
      <c r="L128" s="511"/>
      <c r="M128" s="472">
        <v>0</v>
      </c>
      <c r="N128" s="510"/>
      <c r="O128" s="510">
        <v>1819922887</v>
      </c>
      <c r="P128" s="511"/>
      <c r="Q128" s="510">
        <f t="shared" si="3"/>
        <v>10566440456</v>
      </c>
      <c r="R128" s="2193"/>
      <c r="S128" s="1113">
        <v>1819922779</v>
      </c>
    </row>
    <row r="129" spans="1:19" s="508" customFormat="1" ht="15">
      <c r="B129" s="504" t="s">
        <v>399</v>
      </c>
      <c r="C129" s="504">
        <v>0</v>
      </c>
      <c r="D129" s="495"/>
      <c r="E129" s="509">
        <v>228244947</v>
      </c>
      <c r="F129" s="510"/>
      <c r="G129" s="510">
        <v>86769000</v>
      </c>
      <c r="H129" s="510"/>
      <c r="I129" s="542">
        <v>40250480</v>
      </c>
      <c r="J129" s="516"/>
      <c r="K129" s="1113">
        <v>6651238</v>
      </c>
      <c r="L129" s="510"/>
      <c r="M129" s="472">
        <v>0</v>
      </c>
      <c r="N129" s="510"/>
      <c r="O129" s="510">
        <v>62247465</v>
      </c>
      <c r="P129" s="510"/>
      <c r="Q129" s="510">
        <f t="shared" si="3"/>
        <v>219167240</v>
      </c>
      <c r="R129" s="2186"/>
      <c r="S129" s="1113">
        <v>62248244</v>
      </c>
    </row>
    <row r="130" spans="1:19" s="508" customFormat="1" ht="15">
      <c r="B130" s="504" t="s">
        <v>400</v>
      </c>
      <c r="C130" s="504">
        <v>0</v>
      </c>
      <c r="D130" s="495"/>
      <c r="E130" s="509">
        <v>9407717</v>
      </c>
      <c r="F130" s="510"/>
      <c r="G130" s="510">
        <v>6000000</v>
      </c>
      <c r="H130" s="510"/>
      <c r="I130" s="542">
        <v>2792031</v>
      </c>
      <c r="J130" s="516"/>
      <c r="K130" s="517">
        <v>0</v>
      </c>
      <c r="L130" s="510"/>
      <c r="M130" s="472">
        <v>0</v>
      </c>
      <c r="N130" s="510"/>
      <c r="O130" s="510">
        <v>4375236</v>
      </c>
      <c r="P130" s="510"/>
      <c r="Q130" s="510">
        <f t="shared" si="3"/>
        <v>8240450</v>
      </c>
      <c r="R130" s="2186"/>
      <c r="S130" s="1113">
        <v>4375236</v>
      </c>
    </row>
    <row r="131" spans="1:19" s="486" customFormat="1" ht="15">
      <c r="B131" s="504" t="s">
        <v>345</v>
      </c>
      <c r="C131" s="504">
        <v>0</v>
      </c>
      <c r="D131" s="485"/>
      <c r="E131" s="534">
        <v>4651117</v>
      </c>
      <c r="F131" s="535"/>
      <c r="G131" s="517">
        <v>0</v>
      </c>
      <c r="H131" s="535"/>
      <c r="I131" s="509">
        <v>0</v>
      </c>
      <c r="J131" s="516"/>
      <c r="K131" s="1113">
        <v>250000</v>
      </c>
      <c r="L131" s="535"/>
      <c r="M131" s="472">
        <v>0</v>
      </c>
      <c r="N131" s="510"/>
      <c r="O131" s="510">
        <v>1105288</v>
      </c>
      <c r="P131" s="535"/>
      <c r="Q131" s="510">
        <f t="shared" si="3"/>
        <v>3795829</v>
      </c>
      <c r="R131" s="2192"/>
      <c r="S131" s="1113">
        <v>1105288</v>
      </c>
    </row>
    <row r="132" spans="1:19" s="508" customFormat="1" ht="15">
      <c r="B132" s="504" t="s">
        <v>2660</v>
      </c>
      <c r="C132" s="504">
        <v>0</v>
      </c>
      <c r="D132" s="495"/>
      <c r="E132" s="517">
        <v>3931290</v>
      </c>
      <c r="F132" s="510"/>
      <c r="G132" s="510">
        <v>1921000</v>
      </c>
      <c r="H132" s="510"/>
      <c r="I132" s="536">
        <v>2149000</v>
      </c>
      <c r="J132" s="516"/>
      <c r="K132" s="1113">
        <v>642049.4</v>
      </c>
      <c r="L132" s="510"/>
      <c r="M132" s="472">
        <v>0</v>
      </c>
      <c r="N132" s="510"/>
      <c r="O132" s="510">
        <v>728045</v>
      </c>
      <c r="P132" s="510"/>
      <c r="Q132" s="510">
        <f t="shared" si="3"/>
        <v>3617294</v>
      </c>
      <c r="R132" s="2186"/>
      <c r="S132" s="1113">
        <v>728045</v>
      </c>
    </row>
    <row r="133" spans="1:19" s="486" customFormat="1" ht="15">
      <c r="B133" s="504" t="s">
        <v>401</v>
      </c>
      <c r="C133" s="504">
        <v>0</v>
      </c>
      <c r="D133" s="485"/>
      <c r="E133" s="536">
        <v>1313658343</v>
      </c>
      <c r="F133" s="535"/>
      <c r="G133" s="535">
        <v>742437000</v>
      </c>
      <c r="H133" s="535"/>
      <c r="I133" s="542">
        <v>94756725</v>
      </c>
      <c r="J133" s="516"/>
      <c r="K133" s="1113">
        <v>354236</v>
      </c>
      <c r="L133" s="535"/>
      <c r="M133" s="472">
        <v>0</v>
      </c>
      <c r="N133" s="510"/>
      <c r="O133" s="510">
        <v>473891802</v>
      </c>
      <c r="P133" s="535"/>
      <c r="Q133" s="510">
        <f t="shared" si="3"/>
        <v>1487801052</v>
      </c>
      <c r="R133" s="2192"/>
      <c r="S133" s="1113">
        <v>473773111</v>
      </c>
    </row>
    <row r="134" spans="1:19" s="486" customFormat="1" ht="15">
      <c r="A134" s="508"/>
      <c r="B134" s="504" t="s">
        <v>2661</v>
      </c>
      <c r="C134" s="504">
        <v>0</v>
      </c>
      <c r="D134" s="485"/>
      <c r="E134" s="510">
        <v>27498</v>
      </c>
      <c r="F134" s="535"/>
      <c r="G134" s="511">
        <v>0</v>
      </c>
      <c r="H134" s="535"/>
      <c r="I134" s="511">
        <v>0</v>
      </c>
      <c r="J134" s="516"/>
      <c r="K134" s="517">
        <v>0</v>
      </c>
      <c r="L134" s="535"/>
      <c r="M134" s="472">
        <v>0</v>
      </c>
      <c r="N134" s="510"/>
      <c r="O134" s="510">
        <v>0</v>
      </c>
      <c r="P134" s="535"/>
      <c r="Q134" s="510">
        <f t="shared" si="3"/>
        <v>27498</v>
      </c>
      <c r="R134" s="2192"/>
      <c r="S134" s="2303">
        <v>0</v>
      </c>
    </row>
    <row r="135" spans="1:19" s="486" customFormat="1" ht="15">
      <c r="B135" s="504" t="s">
        <v>403</v>
      </c>
      <c r="C135" s="504">
        <v>0</v>
      </c>
      <c r="D135" s="485"/>
      <c r="E135" s="536">
        <v>16971309</v>
      </c>
      <c r="F135" s="535"/>
      <c r="G135" s="535">
        <v>38442000</v>
      </c>
      <c r="H135" s="535"/>
      <c r="I135" s="542">
        <v>2023215</v>
      </c>
      <c r="J135" s="516"/>
      <c r="K135" s="1113">
        <v>0</v>
      </c>
      <c r="L135" s="535"/>
      <c r="M135" s="472">
        <v>0</v>
      </c>
      <c r="N135" s="510"/>
      <c r="O135" s="510">
        <v>38540784</v>
      </c>
      <c r="P135" s="535"/>
      <c r="Q135" s="510">
        <f t="shared" si="3"/>
        <v>14849310</v>
      </c>
      <c r="R135" s="2192"/>
      <c r="S135" s="1113">
        <v>38533400</v>
      </c>
    </row>
    <row r="136" spans="1:19" s="486" customFormat="1" ht="15">
      <c r="B136" s="504" t="s">
        <v>404</v>
      </c>
      <c r="C136" s="504">
        <v>0</v>
      </c>
      <c r="D136" s="505"/>
      <c r="E136" s="536">
        <v>32615525</v>
      </c>
      <c r="F136" s="511"/>
      <c r="G136" s="535">
        <v>33062000</v>
      </c>
      <c r="H136" s="511"/>
      <c r="I136" s="542">
        <v>10816801</v>
      </c>
      <c r="J136" s="516"/>
      <c r="K136" s="1113">
        <v>1325000</v>
      </c>
      <c r="L136" s="511"/>
      <c r="M136" s="472">
        <v>0</v>
      </c>
      <c r="N136" s="510"/>
      <c r="O136" s="510">
        <v>31376745</v>
      </c>
      <c r="P136" s="511"/>
      <c r="Q136" s="510">
        <f t="shared" si="3"/>
        <v>24808979</v>
      </c>
      <c r="R136" s="2193"/>
      <c r="S136" s="1113">
        <v>31379270</v>
      </c>
    </row>
    <row r="137" spans="1:19" s="486" customFormat="1" ht="15">
      <c r="B137" s="504" t="s">
        <v>405</v>
      </c>
      <c r="C137" s="504">
        <v>0</v>
      </c>
      <c r="D137" s="485"/>
      <c r="E137" s="536">
        <v>43974897</v>
      </c>
      <c r="F137" s="535"/>
      <c r="G137" s="519">
        <v>48348000</v>
      </c>
      <c r="H137" s="535"/>
      <c r="I137" s="542">
        <v>12150895</v>
      </c>
      <c r="J137" s="516"/>
      <c r="K137" s="1113">
        <v>9749794</v>
      </c>
      <c r="L137" s="535"/>
      <c r="M137" s="472">
        <v>0</v>
      </c>
      <c r="N137" s="510"/>
      <c r="O137" s="510">
        <v>43735490</v>
      </c>
      <c r="P137" s="535"/>
      <c r="Q137" s="510">
        <f t="shared" si="3"/>
        <v>46186306</v>
      </c>
      <c r="R137" s="2192"/>
      <c r="S137" s="1113">
        <v>43735490</v>
      </c>
    </row>
    <row r="138" spans="1:19" s="486" customFormat="1" ht="15">
      <c r="B138" s="504" t="s">
        <v>406</v>
      </c>
      <c r="C138" s="504">
        <v>0</v>
      </c>
      <c r="D138" s="485"/>
      <c r="E138" s="536">
        <v>32894019</v>
      </c>
      <c r="F138" s="535"/>
      <c r="G138" s="535">
        <v>42780000</v>
      </c>
      <c r="H138" s="535"/>
      <c r="I138" s="542">
        <v>10380838</v>
      </c>
      <c r="J138" s="535"/>
      <c r="K138" s="1113">
        <v>12387135.82</v>
      </c>
      <c r="L138" s="535"/>
      <c r="M138" s="472">
        <v>0</v>
      </c>
      <c r="N138" s="510"/>
      <c r="O138" s="510">
        <v>37569642</v>
      </c>
      <c r="P138" s="535"/>
      <c r="Q138" s="510">
        <f t="shared" si="3"/>
        <v>40110675</v>
      </c>
      <c r="R138" s="2192"/>
      <c r="S138" s="1113">
        <v>37569628</v>
      </c>
    </row>
    <row r="139" spans="1:19" s="508" customFormat="1" ht="15">
      <c r="B139" s="504" t="s">
        <v>407</v>
      </c>
      <c r="C139" s="504">
        <v>0</v>
      </c>
      <c r="D139" s="515"/>
      <c r="E139" s="474">
        <v>7549885523</v>
      </c>
      <c r="F139" s="518"/>
      <c r="G139" s="509">
        <v>0</v>
      </c>
      <c r="H139" s="518"/>
      <c r="I139" s="542">
        <v>47450000</v>
      </c>
      <c r="J139" s="516"/>
      <c r="K139" s="1113">
        <v>24569</v>
      </c>
      <c r="L139" s="518"/>
      <c r="M139" s="472">
        <v>0</v>
      </c>
      <c r="N139" s="510"/>
      <c r="O139" s="510">
        <v>0</v>
      </c>
      <c r="P139" s="518"/>
      <c r="Q139" s="510">
        <f t="shared" si="3"/>
        <v>7502460092</v>
      </c>
      <c r="R139" s="2188"/>
      <c r="S139" s="517">
        <v>0</v>
      </c>
    </row>
    <row r="140" spans="1:19" s="486" customFormat="1" ht="15">
      <c r="B140" s="504" t="s">
        <v>495</v>
      </c>
      <c r="C140" s="504">
        <v>0</v>
      </c>
      <c r="D140" s="485"/>
      <c r="E140" s="536">
        <v>82866315</v>
      </c>
      <c r="F140" s="535"/>
      <c r="G140" s="535">
        <v>40739000</v>
      </c>
      <c r="H140" s="535"/>
      <c r="I140" s="542">
        <v>1396795</v>
      </c>
      <c r="J140" s="516"/>
      <c r="K140" s="1113">
        <v>-12254887</v>
      </c>
      <c r="L140" s="535"/>
      <c r="M140" s="472">
        <v>0</v>
      </c>
      <c r="N140" s="510"/>
      <c r="O140" s="510">
        <v>18804604</v>
      </c>
      <c r="P140" s="535"/>
      <c r="Q140" s="510">
        <f t="shared" si="3"/>
        <v>91149029</v>
      </c>
      <c r="R140" s="2192"/>
      <c r="S140" s="1113">
        <v>18804604</v>
      </c>
    </row>
    <row r="141" spans="1:19" s="486" customFormat="1" ht="15">
      <c r="B141" s="504" t="s">
        <v>362</v>
      </c>
      <c r="C141" s="504">
        <v>0</v>
      </c>
      <c r="D141" s="485"/>
      <c r="E141" s="536">
        <v>105895326</v>
      </c>
      <c r="F141" s="535"/>
      <c r="G141" s="535">
        <v>30000000</v>
      </c>
      <c r="H141" s="535"/>
      <c r="I141" s="542">
        <v>10098155</v>
      </c>
      <c r="J141" s="516"/>
      <c r="K141" s="517">
        <v>0</v>
      </c>
      <c r="L141" s="535"/>
      <c r="M141" s="472">
        <v>0</v>
      </c>
      <c r="N141" s="510"/>
      <c r="O141" s="510">
        <v>14641276</v>
      </c>
      <c r="P141" s="535"/>
      <c r="Q141" s="510">
        <f t="shared" si="3"/>
        <v>111155895</v>
      </c>
      <c r="R141" s="2192"/>
      <c r="S141" s="1113">
        <v>14641276</v>
      </c>
    </row>
    <row r="142" spans="1:19">
      <c r="A142" s="499"/>
      <c r="B142" s="2298" t="s">
        <v>363</v>
      </c>
      <c r="C142" s="538">
        <v>0</v>
      </c>
      <c r="E142" s="2303">
        <v>44955278</v>
      </c>
      <c r="F142" s="540"/>
      <c r="G142" s="535">
        <v>10450900</v>
      </c>
      <c r="H142" s="540"/>
      <c r="I142" s="542">
        <v>3740604</v>
      </c>
      <c r="J142" s="516"/>
      <c r="K142" s="1113">
        <v>-104295.45</v>
      </c>
      <c r="L142" s="540"/>
      <c r="M142" s="472">
        <v>0</v>
      </c>
      <c r="N142" s="510"/>
      <c r="O142" s="510">
        <v>8023524</v>
      </c>
      <c r="P142" s="540"/>
      <c r="Q142" s="510">
        <f t="shared" si="3"/>
        <v>43537755</v>
      </c>
      <c r="R142" s="2194"/>
      <c r="S142" s="1113">
        <v>8023524</v>
      </c>
    </row>
    <row r="143" spans="1:19" s="486" customFormat="1" ht="15">
      <c r="B143" s="504" t="s">
        <v>364</v>
      </c>
      <c r="C143" s="504">
        <v>0</v>
      </c>
      <c r="D143" s="485"/>
      <c r="E143" s="536">
        <v>4550182</v>
      </c>
      <c r="F143" s="535"/>
      <c r="G143" s="509">
        <v>751000</v>
      </c>
      <c r="H143" s="535"/>
      <c r="I143" s="509">
        <v>2201669</v>
      </c>
      <c r="J143" s="516"/>
      <c r="K143" s="1113">
        <v>113869090</v>
      </c>
      <c r="L143" s="535"/>
      <c r="M143" s="472">
        <v>0</v>
      </c>
      <c r="N143" s="510"/>
      <c r="O143" s="510">
        <v>38271810</v>
      </c>
      <c r="P143" s="535"/>
      <c r="Q143" s="510">
        <f t="shared" ref="Q143:Q156" si="4">ROUND(+SUM(E143)+SUM(G143)-SUM(I143)+SUM(K143) +SUM(M143)-SUM(O143),0)</f>
        <v>78696793</v>
      </c>
      <c r="R143" s="2192"/>
      <c r="S143" s="1113">
        <v>38271811</v>
      </c>
    </row>
    <row r="144" spans="1:19" s="486" customFormat="1" ht="15">
      <c r="B144" s="504" t="s">
        <v>365</v>
      </c>
      <c r="C144" s="504">
        <v>0</v>
      </c>
      <c r="D144" s="485"/>
      <c r="E144" s="534">
        <v>2123740</v>
      </c>
      <c r="F144" s="535"/>
      <c r="G144" s="535">
        <v>1600000</v>
      </c>
      <c r="H144" s="535"/>
      <c r="I144" s="542">
        <v>2104449</v>
      </c>
      <c r="J144" s="516"/>
      <c r="K144" s="1113">
        <v>36905.269999999997</v>
      </c>
      <c r="L144" s="535"/>
      <c r="M144" s="472">
        <v>0</v>
      </c>
      <c r="N144" s="510"/>
      <c r="O144" s="510">
        <v>16874</v>
      </c>
      <c r="P144" s="535"/>
      <c r="Q144" s="510">
        <f t="shared" si="4"/>
        <v>1639322</v>
      </c>
      <c r="R144" s="2192"/>
      <c r="S144" s="1113">
        <v>16874</v>
      </c>
    </row>
    <row r="145" spans="1:23" s="486" customFormat="1" ht="15">
      <c r="B145" s="504" t="s">
        <v>368</v>
      </c>
      <c r="C145" s="504">
        <v>0</v>
      </c>
      <c r="D145" s="485"/>
      <c r="E145" s="534">
        <v>2980624</v>
      </c>
      <c r="F145" s="535"/>
      <c r="G145" s="535">
        <v>5500000</v>
      </c>
      <c r="H145" s="535"/>
      <c r="I145" s="542">
        <v>1430284</v>
      </c>
      <c r="J145" s="516"/>
      <c r="K145" s="517">
        <v>0</v>
      </c>
      <c r="L145" s="535"/>
      <c r="M145" s="472">
        <v>0</v>
      </c>
      <c r="N145" s="510"/>
      <c r="O145" s="510">
        <v>2610701</v>
      </c>
      <c r="P145" s="535"/>
      <c r="Q145" s="510">
        <f t="shared" si="4"/>
        <v>4439639</v>
      </c>
      <c r="R145" s="2192"/>
      <c r="S145" s="1113">
        <v>2610697</v>
      </c>
    </row>
    <row r="146" spans="1:23" s="486" customFormat="1" ht="15">
      <c r="B146" s="504" t="s">
        <v>409</v>
      </c>
      <c r="C146" s="504">
        <v>0</v>
      </c>
      <c r="D146" s="485"/>
      <c r="E146" s="534">
        <v>500000</v>
      </c>
      <c r="F146" s="535"/>
      <c r="G146" s="509">
        <v>0</v>
      </c>
      <c r="H146" s="535"/>
      <c r="I146" s="542">
        <v>0</v>
      </c>
      <c r="J146" s="516"/>
      <c r="K146" s="509">
        <v>0</v>
      </c>
      <c r="L146" s="535"/>
      <c r="M146" s="472">
        <v>0</v>
      </c>
      <c r="N146" s="510"/>
      <c r="O146" s="510">
        <v>0</v>
      </c>
      <c r="P146" s="535"/>
      <c r="Q146" s="510">
        <f t="shared" si="4"/>
        <v>500000</v>
      </c>
      <c r="R146" s="2192"/>
      <c r="S146" s="535">
        <v>0</v>
      </c>
    </row>
    <row r="147" spans="1:23" s="486" customFormat="1" ht="15">
      <c r="B147" s="504" t="s">
        <v>410</v>
      </c>
      <c r="C147" s="504">
        <v>0</v>
      </c>
      <c r="D147" s="485"/>
      <c r="E147" s="534">
        <v>31254629</v>
      </c>
      <c r="F147" s="535"/>
      <c r="G147" s="535">
        <v>7700000</v>
      </c>
      <c r="H147" s="535"/>
      <c r="I147" s="542">
        <v>1919499</v>
      </c>
      <c r="J147" s="516"/>
      <c r="K147" s="1113">
        <v>13777729.91</v>
      </c>
      <c r="L147" s="535"/>
      <c r="M147" s="472">
        <v>0</v>
      </c>
      <c r="N147" s="510"/>
      <c r="O147" s="510">
        <v>18214073</v>
      </c>
      <c r="P147" s="535"/>
      <c r="Q147" s="510">
        <f t="shared" si="4"/>
        <v>32598787</v>
      </c>
      <c r="R147" s="2192"/>
      <c r="S147" s="1113">
        <v>18614428</v>
      </c>
    </row>
    <row r="148" spans="1:23" s="486" customFormat="1" ht="15">
      <c r="B148" s="504" t="s">
        <v>2662</v>
      </c>
      <c r="C148" s="504">
        <v>0</v>
      </c>
      <c r="D148" s="485"/>
      <c r="E148" s="534">
        <v>629772817</v>
      </c>
      <c r="F148" s="535"/>
      <c r="G148" s="535">
        <v>415600000</v>
      </c>
      <c r="H148" s="535"/>
      <c r="I148" s="542">
        <v>125768930</v>
      </c>
      <c r="J148" s="516"/>
      <c r="K148" s="1113">
        <v>13954143.25</v>
      </c>
      <c r="L148" s="535"/>
      <c r="M148" s="472">
        <v>0</v>
      </c>
      <c r="N148" s="510"/>
      <c r="O148" s="510">
        <v>325784784</v>
      </c>
      <c r="P148" s="535"/>
      <c r="Q148" s="510">
        <f t="shared" si="4"/>
        <v>607773246</v>
      </c>
      <c r="R148" s="2192"/>
      <c r="S148" s="1113">
        <v>325784784</v>
      </c>
    </row>
    <row r="149" spans="1:23" s="486" customFormat="1" ht="15">
      <c r="B149" s="504" t="s">
        <v>2663</v>
      </c>
      <c r="C149" s="504">
        <v>0</v>
      </c>
      <c r="D149" s="485"/>
      <c r="E149" s="534">
        <v>92348384</v>
      </c>
      <c r="F149" s="535"/>
      <c r="G149" s="535">
        <v>69395000</v>
      </c>
      <c r="H149" s="535"/>
      <c r="I149" s="542">
        <v>9056852</v>
      </c>
      <c r="J149" s="516"/>
      <c r="K149" s="517">
        <v>0</v>
      </c>
      <c r="L149" s="535"/>
      <c r="M149" s="472">
        <v>0</v>
      </c>
      <c r="N149" s="510"/>
      <c r="O149" s="510">
        <v>58880962</v>
      </c>
      <c r="P149" s="535"/>
      <c r="Q149" s="510">
        <f t="shared" si="4"/>
        <v>93805570</v>
      </c>
      <c r="R149" s="2192"/>
      <c r="S149" s="1113">
        <v>58880962</v>
      </c>
    </row>
    <row r="150" spans="1:23" s="486" customFormat="1" ht="15">
      <c r="B150" s="504" t="s">
        <v>374</v>
      </c>
      <c r="C150" s="504">
        <v>0</v>
      </c>
      <c r="D150" s="485"/>
      <c r="E150" s="534">
        <v>4194557</v>
      </c>
      <c r="F150" s="535"/>
      <c r="G150" s="535">
        <v>5000000</v>
      </c>
      <c r="H150" s="535"/>
      <c r="I150" s="542">
        <v>4046430</v>
      </c>
      <c r="J150" s="516"/>
      <c r="K150" s="1113">
        <v>0</v>
      </c>
      <c r="L150" s="535"/>
      <c r="M150" s="472">
        <v>0</v>
      </c>
      <c r="N150" s="510"/>
      <c r="O150" s="510">
        <v>188599</v>
      </c>
      <c r="P150" s="535"/>
      <c r="Q150" s="510">
        <f t="shared" si="4"/>
        <v>4959528</v>
      </c>
      <c r="R150" s="2192"/>
      <c r="S150" s="1113">
        <v>188599</v>
      </c>
    </row>
    <row r="151" spans="1:23" s="486" customFormat="1" ht="15">
      <c r="B151" s="504" t="s">
        <v>375</v>
      </c>
      <c r="C151" s="504">
        <v>0</v>
      </c>
      <c r="D151" s="485"/>
      <c r="E151" s="534">
        <v>2187994041</v>
      </c>
      <c r="F151" s="535"/>
      <c r="G151" s="535">
        <v>3961275000</v>
      </c>
      <c r="H151" s="535"/>
      <c r="I151" s="542">
        <v>424976021</v>
      </c>
      <c r="J151" s="516"/>
      <c r="K151" s="1113">
        <v>429424922.30000001</v>
      </c>
      <c r="L151" s="535"/>
      <c r="M151" s="472">
        <v>0</v>
      </c>
      <c r="N151" s="510"/>
      <c r="O151" s="510">
        <v>4318086627</v>
      </c>
      <c r="P151" s="535"/>
      <c r="Q151" s="510">
        <f t="shared" si="4"/>
        <v>1835631315</v>
      </c>
      <c r="R151" s="2192"/>
      <c r="S151" s="1113">
        <v>4318086814</v>
      </c>
    </row>
    <row r="152" spans="1:23" s="486" customFormat="1" ht="15">
      <c r="B152" s="504" t="s">
        <v>376</v>
      </c>
      <c r="C152" s="504">
        <v>0</v>
      </c>
      <c r="D152" s="485"/>
      <c r="E152" s="534">
        <v>277818655</v>
      </c>
      <c r="F152" s="535"/>
      <c r="G152" s="535">
        <v>82986000</v>
      </c>
      <c r="H152" s="535"/>
      <c r="I152" s="542">
        <v>1060000</v>
      </c>
      <c r="J152" s="516"/>
      <c r="K152" s="1113">
        <v>-250950</v>
      </c>
      <c r="L152" s="535"/>
      <c r="M152" s="472">
        <v>0</v>
      </c>
      <c r="N152" s="510"/>
      <c r="O152" s="510">
        <v>30060252</v>
      </c>
      <c r="P152" s="535"/>
      <c r="Q152" s="510">
        <f t="shared" si="4"/>
        <v>329433453</v>
      </c>
      <c r="R152" s="2192"/>
      <c r="S152" s="1113">
        <v>30060252</v>
      </c>
    </row>
    <row r="153" spans="1:23" s="508" customFormat="1" ht="15">
      <c r="B153" s="504" t="s">
        <v>412</v>
      </c>
      <c r="C153" s="504">
        <v>0</v>
      </c>
      <c r="D153" s="495"/>
      <c r="E153" s="509">
        <v>28308361</v>
      </c>
      <c r="F153" s="510"/>
      <c r="G153" s="510">
        <v>8000000</v>
      </c>
      <c r="H153" s="510"/>
      <c r="I153" s="542">
        <v>433559</v>
      </c>
      <c r="J153" s="516"/>
      <c r="K153" s="1113">
        <v>286086</v>
      </c>
      <c r="L153" s="510"/>
      <c r="M153" s="472">
        <v>0</v>
      </c>
      <c r="N153" s="510"/>
      <c r="O153" s="510">
        <v>5930504</v>
      </c>
      <c r="P153" s="510"/>
      <c r="Q153" s="510">
        <f t="shared" si="4"/>
        <v>30230384</v>
      </c>
      <c r="R153" s="2186"/>
      <c r="S153" s="1113">
        <v>5930504</v>
      </c>
    </row>
    <row r="154" spans="1:23" s="486" customFormat="1" ht="15">
      <c r="B154" s="504" t="s">
        <v>2664</v>
      </c>
      <c r="C154" s="504">
        <v>0</v>
      </c>
      <c r="D154" s="485"/>
      <c r="E154" s="534">
        <v>6196011</v>
      </c>
      <c r="F154" s="535"/>
      <c r="G154" s="511">
        <v>2466000</v>
      </c>
      <c r="H154" s="535"/>
      <c r="I154" s="542">
        <v>1803323</v>
      </c>
      <c r="J154" s="516"/>
      <c r="K154" s="517">
        <v>0</v>
      </c>
      <c r="L154" s="535"/>
      <c r="M154" s="472">
        <v>0</v>
      </c>
      <c r="N154" s="510"/>
      <c r="O154" s="510">
        <v>689897</v>
      </c>
      <c r="P154" s="535"/>
      <c r="Q154" s="510">
        <f t="shared" si="4"/>
        <v>6168791</v>
      </c>
      <c r="R154" s="2192"/>
      <c r="S154" s="1113">
        <v>689897</v>
      </c>
    </row>
    <row r="155" spans="1:23" ht="15" customHeight="1">
      <c r="A155" s="497"/>
      <c r="B155" s="504" t="s">
        <v>413</v>
      </c>
      <c r="C155" s="504">
        <v>0</v>
      </c>
      <c r="D155" s="505"/>
      <c r="E155" s="510">
        <v>48858527</v>
      </c>
      <c r="F155" s="511"/>
      <c r="G155" s="511">
        <v>66735000</v>
      </c>
      <c r="H155" s="511"/>
      <c r="I155" s="542">
        <v>850554</v>
      </c>
      <c r="J155" s="516"/>
      <c r="K155" s="1113">
        <v>-993070.87</v>
      </c>
      <c r="L155" s="511"/>
      <c r="M155" s="472">
        <v>0</v>
      </c>
      <c r="N155" s="510"/>
      <c r="O155" s="510">
        <v>39807228</v>
      </c>
      <c r="P155" s="511"/>
      <c r="Q155" s="510">
        <f t="shared" si="4"/>
        <v>73942674</v>
      </c>
      <c r="R155" s="2193"/>
      <c r="S155" s="1113">
        <v>39807228</v>
      </c>
    </row>
    <row r="156" spans="1:23" s="486" customFormat="1" ht="15">
      <c r="B156" s="504" t="s">
        <v>414</v>
      </c>
      <c r="C156" s="504">
        <v>0</v>
      </c>
      <c r="D156" s="485"/>
      <c r="E156" s="2195">
        <v>11636236</v>
      </c>
      <c r="F156" s="535"/>
      <c r="G156" s="517">
        <v>0</v>
      </c>
      <c r="H156" s="535"/>
      <c r="I156" s="1972">
        <v>0</v>
      </c>
      <c r="J156" s="516"/>
      <c r="K156" s="1113">
        <v>0</v>
      </c>
      <c r="L156" s="535"/>
      <c r="M156" s="472">
        <v>0</v>
      </c>
      <c r="N156" s="510"/>
      <c r="O156" s="510">
        <v>8643324</v>
      </c>
      <c r="P156" s="535"/>
      <c r="Q156" s="510">
        <f t="shared" si="4"/>
        <v>2992912</v>
      </c>
      <c r="R156" s="2192"/>
      <c r="S156" s="1113">
        <v>8643324</v>
      </c>
    </row>
    <row r="157" spans="1:23">
      <c r="B157" s="548" t="s">
        <v>415</v>
      </c>
      <c r="C157" s="541">
        <v>0</v>
      </c>
      <c r="D157" s="505"/>
      <c r="E157" s="2369">
        <f>ROUND(SUM(E110:E156),0)</f>
        <v>164114840215</v>
      </c>
      <c r="F157" s="511"/>
      <c r="G157" s="2369">
        <f>ROUND(SUM(G110:G156),0)</f>
        <v>97869460900</v>
      </c>
      <c r="H157" s="511"/>
      <c r="I157" s="2369">
        <f>ROUND(SUM(I110:I156),0)</f>
        <v>18478150238</v>
      </c>
      <c r="J157" s="511"/>
      <c r="K157" s="2369">
        <f>ROUND(SUM(K110:K156),0)</f>
        <v>-141332783</v>
      </c>
      <c r="L157" s="511"/>
      <c r="M157" s="2369">
        <f>ROUND(SUM(M110:M156),0)</f>
        <v>0</v>
      </c>
      <c r="N157" s="551"/>
      <c r="O157" s="2369">
        <f>ROUND(SUM(O110:O156),0)</f>
        <v>49083290920</v>
      </c>
      <c r="P157" s="511"/>
      <c r="Q157" s="2369">
        <f>ROUND(SUM(Q110:Q156),0)</f>
        <v>194281527175</v>
      </c>
      <c r="R157" s="2193"/>
      <c r="S157" s="2369">
        <f>ROUND(SUM(S110:S156),0)</f>
        <v>49087632243</v>
      </c>
    </row>
    <row r="158" spans="1:23">
      <c r="B158" s="548"/>
      <c r="D158" s="505"/>
      <c r="E158" s="551"/>
      <c r="F158" s="511"/>
      <c r="G158" s="551"/>
      <c r="H158" s="511"/>
      <c r="I158" s="551"/>
      <c r="J158" s="511"/>
      <c r="K158" s="551"/>
      <c r="L158" s="511"/>
      <c r="M158" s="551"/>
      <c r="N158" s="551"/>
      <c r="O158" s="551"/>
      <c r="P158" s="511"/>
      <c r="Q158" s="551"/>
      <c r="R158" s="511"/>
      <c r="S158" s="551"/>
    </row>
    <row r="159" spans="1:23">
      <c r="B159" s="548"/>
      <c r="D159" s="505"/>
      <c r="E159" s="551"/>
      <c r="F159" s="511"/>
      <c r="G159" s="551"/>
      <c r="H159" s="511"/>
      <c r="I159" s="551"/>
      <c r="J159" s="511"/>
      <c r="K159" s="551"/>
      <c r="L159" s="511"/>
      <c r="M159" s="551"/>
      <c r="N159" s="551"/>
      <c r="O159" s="551"/>
      <c r="P159" s="511"/>
      <c r="Q159" s="551"/>
      <c r="R159" s="511"/>
      <c r="S159" s="551"/>
    </row>
    <row r="160" spans="1:23" ht="15" customHeight="1">
      <c r="A160" s="2356" t="s">
        <v>6</v>
      </c>
      <c r="B160" s="2413" t="s">
        <v>6</v>
      </c>
      <c r="C160" s="2414"/>
      <c r="D160" s="2414"/>
      <c r="E160" s="2414"/>
      <c r="F160" s="2414"/>
      <c r="G160" s="2414"/>
      <c r="H160" s="2414"/>
      <c r="I160" s="2414"/>
      <c r="J160" s="2414"/>
      <c r="K160" s="2414"/>
      <c r="L160" s="2414"/>
      <c r="M160" s="2414"/>
      <c r="N160" s="2414"/>
      <c r="O160" s="2414"/>
      <c r="P160" s="2414"/>
      <c r="Q160" s="2414"/>
      <c r="R160" s="2414"/>
      <c r="S160" s="2414"/>
      <c r="T160" s="2414"/>
      <c r="U160" s="2414"/>
      <c r="V160" s="2414"/>
      <c r="W160" s="2414"/>
    </row>
    <row r="161" spans="1:19" ht="15" customHeight="1">
      <c r="A161" s="2356" t="s">
        <v>275</v>
      </c>
      <c r="B161" s="2404" t="s">
        <v>310</v>
      </c>
      <c r="C161" s="2404"/>
      <c r="D161" s="2404"/>
      <c r="E161" s="2404"/>
      <c r="F161" s="2404"/>
      <c r="G161" s="2404"/>
      <c r="H161" s="2404"/>
      <c r="I161" s="2404"/>
      <c r="J161" s="2404"/>
      <c r="K161" s="2404"/>
      <c r="L161" s="2404"/>
      <c r="M161" s="2404"/>
      <c r="N161" s="2404"/>
      <c r="O161" s="2404"/>
      <c r="P161" s="2404"/>
      <c r="Q161" s="2404"/>
      <c r="R161" s="2404"/>
      <c r="S161" s="2404"/>
    </row>
    <row r="162" spans="1:19" ht="15" customHeight="1">
      <c r="A162" s="2356" t="s">
        <v>309</v>
      </c>
      <c r="B162" s="2411" t="s">
        <v>2583</v>
      </c>
      <c r="C162" s="2404"/>
      <c r="D162" s="2404"/>
      <c r="E162" s="2404"/>
      <c r="F162" s="2404"/>
      <c r="G162" s="2404"/>
      <c r="H162" s="2404"/>
      <c r="I162" s="2404"/>
      <c r="J162" s="2404"/>
      <c r="K162" s="2404"/>
      <c r="L162" s="2404"/>
      <c r="M162" s="2404"/>
      <c r="N162" s="2404"/>
      <c r="O162" s="2404"/>
      <c r="P162" s="2404"/>
      <c r="Q162" s="2404"/>
      <c r="R162" s="2404"/>
      <c r="S162" s="2404"/>
    </row>
    <row r="163" spans="1:19" ht="18">
      <c r="A163" s="2409" t="s">
        <v>0</v>
      </c>
      <c r="B163" s="2409"/>
      <c r="C163" s="2409"/>
      <c r="D163" s="2409"/>
      <c r="E163" s="2409"/>
      <c r="F163" s="2409"/>
      <c r="G163" s="2409"/>
      <c r="H163" s="2409"/>
      <c r="I163" s="2175"/>
      <c r="J163" s="480"/>
      <c r="K163" s="2175"/>
      <c r="L163" s="480"/>
      <c r="M163" s="2175"/>
      <c r="N163" s="2175"/>
      <c r="O163" s="2175"/>
      <c r="P163" s="480"/>
      <c r="Q163" s="480"/>
      <c r="R163" s="480"/>
      <c r="S163" s="482" t="s">
        <v>313</v>
      </c>
    </row>
    <row r="164" spans="1:19" ht="18">
      <c r="A164" s="2410" t="s">
        <v>314</v>
      </c>
      <c r="B164" s="2410"/>
      <c r="C164" s="2410"/>
      <c r="D164" s="2410"/>
      <c r="E164" s="2410"/>
      <c r="F164" s="2410"/>
      <c r="G164" s="2410"/>
      <c r="H164" s="2410"/>
      <c r="I164" s="2175"/>
      <c r="J164" s="480"/>
      <c r="K164" s="2175"/>
      <c r="L164" s="480"/>
      <c r="M164" s="2175"/>
      <c r="N164" s="2175"/>
      <c r="O164" s="2175"/>
      <c r="P164" s="480"/>
      <c r="Q164" s="480"/>
      <c r="R164" s="480"/>
      <c r="S164" s="480" t="s">
        <v>131</v>
      </c>
    </row>
    <row r="165" spans="1:19" ht="18">
      <c r="A165" s="2410" t="s">
        <v>2540</v>
      </c>
      <c r="B165" s="2410"/>
      <c r="C165" s="2410"/>
      <c r="D165" s="2410"/>
      <c r="E165" s="2410"/>
      <c r="F165" s="2410"/>
      <c r="G165" s="2410"/>
      <c r="H165" s="2410"/>
      <c r="I165" s="2175"/>
      <c r="J165" s="480"/>
      <c r="K165" s="2175"/>
      <c r="L165" s="480"/>
      <c r="M165" s="2175"/>
      <c r="N165" s="2175"/>
      <c r="O165" s="2175"/>
      <c r="P165" s="480"/>
      <c r="Q165" s="480"/>
      <c r="R165" s="480"/>
      <c r="S165" s="481"/>
    </row>
    <row r="166" spans="1:19" ht="18">
      <c r="A166" s="2409" t="s">
        <v>2648</v>
      </c>
      <c r="B166" s="2409"/>
      <c r="C166" s="2409"/>
      <c r="D166" s="2409"/>
      <c r="E166" s="2409"/>
      <c r="F166" s="2409"/>
      <c r="G166" s="2409"/>
      <c r="H166" s="2409"/>
      <c r="I166" s="2175"/>
      <c r="J166" s="2175"/>
      <c r="K166" s="2175"/>
      <c r="L166" s="2175"/>
      <c r="M166" s="2175"/>
      <c r="N166" s="2175"/>
      <c r="O166" s="2175"/>
      <c r="P166" s="2175"/>
      <c r="Q166" s="2175"/>
      <c r="R166" s="2175"/>
      <c r="S166" s="2175"/>
    </row>
    <row r="167" spans="1:19">
      <c r="A167" s="484"/>
      <c r="B167" s="484"/>
      <c r="C167" s="484"/>
      <c r="D167" s="485"/>
      <c r="E167" s="486"/>
      <c r="F167" s="485"/>
      <c r="G167" s="485"/>
      <c r="H167" s="485"/>
      <c r="I167" s="486"/>
      <c r="J167" s="485"/>
      <c r="K167" s="486"/>
      <c r="L167" s="485"/>
      <c r="M167" s="486"/>
      <c r="N167" s="486"/>
      <c r="O167" s="486"/>
      <c r="P167" s="485"/>
      <c r="Q167" s="486"/>
      <c r="R167" s="485"/>
      <c r="S167" s="486"/>
    </row>
    <row r="168" spans="1:19">
      <c r="A168" s="486"/>
      <c r="B168" s="486"/>
      <c r="C168" s="486"/>
      <c r="D168" s="485"/>
      <c r="E168" s="486"/>
      <c r="F168" s="485"/>
      <c r="G168" s="485"/>
      <c r="H168" s="485"/>
      <c r="I168" s="486"/>
      <c r="J168" s="485"/>
      <c r="K168" s="486"/>
      <c r="L168" s="485"/>
      <c r="M168" s="486"/>
      <c r="N168" s="486"/>
      <c r="O168" s="486"/>
      <c r="P168" s="485"/>
      <c r="Q168" s="486"/>
      <c r="R168" s="485"/>
      <c r="S168" s="486"/>
    </row>
    <row r="169" spans="1:19">
      <c r="A169" s="486"/>
      <c r="B169" s="486"/>
      <c r="C169" s="486"/>
      <c r="D169" s="485"/>
      <c r="E169" s="486"/>
      <c r="F169" s="485"/>
      <c r="G169" s="485"/>
      <c r="H169" s="485"/>
      <c r="I169" s="487"/>
      <c r="J169" s="485"/>
      <c r="K169" s="486"/>
      <c r="L169" s="485"/>
      <c r="M169" s="488" t="s">
        <v>280</v>
      </c>
      <c r="N169" s="488"/>
      <c r="O169" s="488"/>
      <c r="P169" s="488"/>
      <c r="Q169" s="489"/>
      <c r="R169" s="485"/>
      <c r="S169" s="486"/>
    </row>
    <row r="170" spans="1:19">
      <c r="A170" s="486"/>
      <c r="B170" s="486"/>
      <c r="C170" s="486"/>
      <c r="D170" s="485"/>
      <c r="E170" s="486"/>
      <c r="F170" s="485"/>
      <c r="G170"/>
      <c r="H170" s="485"/>
      <c r="I170" s="489"/>
      <c r="J170" s="485"/>
      <c r="K170" s="486"/>
      <c r="L170" s="485"/>
      <c r="M170" s="486"/>
      <c r="N170" s="2180"/>
      <c r="O170"/>
      <c r="P170" s="485"/>
      <c r="Q170" s="489" t="s">
        <v>2541</v>
      </c>
      <c r="R170" s="2179"/>
      <c r="S170" s="486"/>
    </row>
    <row r="171" spans="1:19">
      <c r="A171" s="490"/>
      <c r="B171" s="490"/>
      <c r="C171" s="490"/>
      <c r="D171" s="485"/>
      <c r="E171" s="489" t="s">
        <v>282</v>
      </c>
      <c r="F171" s="485"/>
      <c r="G171" s="489" t="s">
        <v>281</v>
      </c>
      <c r="H171" s="485"/>
      <c r="I171" s="489" t="s">
        <v>284</v>
      </c>
      <c r="J171" s="485"/>
      <c r="K171" s="489" t="s">
        <v>285</v>
      </c>
      <c r="L171" s="491"/>
      <c r="M171" s="492" t="s">
        <v>286</v>
      </c>
      <c r="N171" s="2180"/>
      <c r="O171" s="2180" t="s">
        <v>2542</v>
      </c>
      <c r="P171" s="485"/>
      <c r="Q171" s="489" t="s">
        <v>282</v>
      </c>
      <c r="R171" s="2179"/>
      <c r="S171" s="489" t="s">
        <v>2542</v>
      </c>
    </row>
    <row r="172" spans="1:19">
      <c r="A172" s="490"/>
      <c r="B172" s="490"/>
      <c r="C172" s="490"/>
      <c r="D172" s="485"/>
      <c r="E172" s="489" t="s">
        <v>287</v>
      </c>
      <c r="F172" s="485"/>
      <c r="G172" s="489" t="s">
        <v>283</v>
      </c>
      <c r="H172" s="485"/>
      <c r="I172" s="489" t="s">
        <v>282</v>
      </c>
      <c r="J172" s="485"/>
      <c r="K172" s="489" t="s">
        <v>288</v>
      </c>
      <c r="L172" s="491"/>
      <c r="M172" s="492" t="s">
        <v>2649</v>
      </c>
      <c r="N172" s="2180"/>
      <c r="O172" s="2181" t="s">
        <v>2584</v>
      </c>
      <c r="P172" s="485"/>
      <c r="Q172" s="489" t="s">
        <v>287</v>
      </c>
      <c r="R172" s="2179"/>
      <c r="S172" s="493" t="s">
        <v>2584</v>
      </c>
    </row>
    <row r="173" spans="1:19">
      <c r="A173" s="494"/>
      <c r="B173" s="494"/>
      <c r="C173" s="494"/>
      <c r="D173" s="495"/>
      <c r="E173" s="1971" t="s">
        <v>2593</v>
      </c>
      <c r="F173" s="495"/>
      <c r="G173" s="1971" t="s">
        <v>2650</v>
      </c>
      <c r="H173" s="495"/>
      <c r="I173" s="2182" t="s">
        <v>289</v>
      </c>
      <c r="J173" s="495"/>
      <c r="K173" s="2182" t="s">
        <v>2651</v>
      </c>
      <c r="L173" s="496"/>
      <c r="M173" s="2185" t="s">
        <v>2652</v>
      </c>
      <c r="N173" s="2368"/>
      <c r="O173" s="2183" t="s">
        <v>2543</v>
      </c>
      <c r="P173" s="485"/>
      <c r="Q173" s="1971" t="s">
        <v>2592</v>
      </c>
      <c r="R173" s="2179"/>
      <c r="S173" s="2182" t="s">
        <v>290</v>
      </c>
    </row>
    <row r="174" spans="1:19">
      <c r="A174" s="497"/>
      <c r="B174" s="497"/>
      <c r="C174" s="497"/>
      <c r="D174" s="485"/>
      <c r="E174" s="498"/>
      <c r="F174" s="485"/>
      <c r="G174" s="485"/>
      <c r="H174" s="485"/>
      <c r="I174" s="498"/>
      <c r="J174" s="485"/>
      <c r="K174" s="498"/>
      <c r="L174" s="495"/>
      <c r="M174" s="498"/>
      <c r="N174" s="508"/>
      <c r="O174" s="508"/>
      <c r="P174" s="485"/>
      <c r="Q174" s="498"/>
      <c r="R174" s="2184"/>
      <c r="S174" s="498"/>
    </row>
    <row r="175" spans="1:19" s="486" customFormat="1">
      <c r="A175" s="499" t="s">
        <v>416</v>
      </c>
      <c r="B175" s="490"/>
      <c r="C175" s="490"/>
      <c r="D175" s="485"/>
      <c r="E175" s="555"/>
      <c r="F175" s="510"/>
      <c r="G175" s="510"/>
      <c r="H175" s="535"/>
      <c r="I175" s="556"/>
      <c r="J175" s="535"/>
      <c r="K175" s="236"/>
      <c r="L175" s="535"/>
      <c r="M175" s="236"/>
      <c r="N175" s="2176"/>
      <c r="O175" s="2176"/>
      <c r="P175" s="535"/>
      <c r="Q175" s="556"/>
      <c r="R175" s="2184"/>
      <c r="S175" s="236"/>
    </row>
    <row r="176" spans="1:19" s="486" customFormat="1" ht="15">
      <c r="A176" s="490"/>
      <c r="B176" s="490"/>
      <c r="C176" s="490"/>
      <c r="D176" s="485"/>
      <c r="E176" s="236"/>
      <c r="F176" s="535"/>
      <c r="G176" s="535"/>
      <c r="H176" s="535"/>
      <c r="I176" s="236"/>
      <c r="J176" s="535"/>
      <c r="K176" s="236"/>
      <c r="L176" s="535"/>
      <c r="M176" s="553"/>
      <c r="N176" s="553"/>
      <c r="O176" s="553"/>
      <c r="P176" s="535"/>
      <c r="Q176" s="553"/>
      <c r="R176" s="2184"/>
      <c r="S176" s="553"/>
    </row>
    <row r="177" spans="1:19" s="508" customFormat="1" ht="15">
      <c r="A177" s="503"/>
      <c r="B177" s="504" t="s">
        <v>417</v>
      </c>
      <c r="C177" s="504">
        <v>0</v>
      </c>
      <c r="D177" s="505"/>
      <c r="E177" s="510">
        <v>1500000</v>
      </c>
      <c r="F177" s="505"/>
      <c r="G177" s="517">
        <v>0</v>
      </c>
      <c r="H177" s="505"/>
      <c r="I177" s="1113">
        <v>0</v>
      </c>
      <c r="J177" s="516"/>
      <c r="K177" s="517">
        <v>0</v>
      </c>
      <c r="L177" s="505"/>
      <c r="M177" s="472">
        <v>0</v>
      </c>
      <c r="N177" s="510"/>
      <c r="O177" s="510">
        <v>0</v>
      </c>
      <c r="P177" s="505"/>
      <c r="Q177" s="510">
        <f t="shared" ref="Q177:Q211" si="5">ROUND(+SUM(E177)+SUM(G177)-SUM(I177)+SUM(K177) +SUM(M177)-SUM(O177),0)</f>
        <v>1500000</v>
      </c>
      <c r="R177" s="2184"/>
      <c r="S177" s="517">
        <v>0</v>
      </c>
    </row>
    <row r="178" spans="1:19" s="508" customFormat="1" ht="15">
      <c r="A178" s="503"/>
      <c r="B178" s="504" t="s">
        <v>418</v>
      </c>
      <c r="C178" s="504">
        <v>0</v>
      </c>
      <c r="D178" s="505"/>
      <c r="E178" s="510">
        <v>1488193</v>
      </c>
      <c r="F178" s="511"/>
      <c r="G178" s="510">
        <v>1230000</v>
      </c>
      <c r="H178" s="511"/>
      <c r="I178" s="1113">
        <v>1230000</v>
      </c>
      <c r="J178" s="516"/>
      <c r="K178" s="1113">
        <v>475000</v>
      </c>
      <c r="L178" s="510"/>
      <c r="M178" s="472">
        <v>0</v>
      </c>
      <c r="N178" s="510"/>
      <c r="O178" s="510">
        <v>212423</v>
      </c>
      <c r="P178" s="510"/>
      <c r="Q178" s="510">
        <f t="shared" si="5"/>
        <v>1750770</v>
      </c>
      <c r="R178" s="2186"/>
      <c r="S178" s="1113">
        <v>212423</v>
      </c>
    </row>
    <row r="179" spans="1:19" s="508" customFormat="1" ht="15">
      <c r="A179" s="497"/>
      <c r="B179" s="504" t="s">
        <v>384</v>
      </c>
      <c r="C179" s="504">
        <v>0</v>
      </c>
      <c r="D179" s="513"/>
      <c r="E179" s="510">
        <v>24788911</v>
      </c>
      <c r="F179" s="514"/>
      <c r="G179" s="557">
        <v>33649000</v>
      </c>
      <c r="H179" s="514"/>
      <c r="I179" s="1113">
        <v>6916415</v>
      </c>
      <c r="J179" s="516"/>
      <c r="K179" s="517">
        <v>55000</v>
      </c>
      <c r="L179" s="512"/>
      <c r="M179" s="472">
        <v>0</v>
      </c>
      <c r="N179" s="510"/>
      <c r="O179" s="510">
        <v>23900117</v>
      </c>
      <c r="P179" s="512"/>
      <c r="Q179" s="510">
        <f t="shared" si="5"/>
        <v>27676379</v>
      </c>
      <c r="R179" s="2187"/>
      <c r="S179" s="1113">
        <v>23900117</v>
      </c>
    </row>
    <row r="180" spans="1:19" s="508" customFormat="1" ht="15">
      <c r="A180" s="530"/>
      <c r="B180" s="504" t="s">
        <v>419</v>
      </c>
      <c r="C180" s="504">
        <v>0</v>
      </c>
      <c r="D180" s="515"/>
      <c r="E180" s="510">
        <v>1787913</v>
      </c>
      <c r="F180" s="510"/>
      <c r="G180" s="510">
        <v>18065000</v>
      </c>
      <c r="H180" s="510"/>
      <c r="I180" s="1113">
        <v>692196</v>
      </c>
      <c r="J180" s="516"/>
      <c r="K180" s="517">
        <v>0</v>
      </c>
      <c r="L180" s="510"/>
      <c r="M180" s="472">
        <v>0</v>
      </c>
      <c r="N180" s="510"/>
      <c r="O180" s="510">
        <v>17265862</v>
      </c>
      <c r="P180" s="510"/>
      <c r="Q180" s="510">
        <f t="shared" si="5"/>
        <v>1894855</v>
      </c>
      <c r="R180" s="2186"/>
      <c r="S180" s="1113">
        <v>17276337</v>
      </c>
    </row>
    <row r="181" spans="1:19" s="508" customFormat="1" ht="15">
      <c r="A181" s="497"/>
      <c r="B181" s="504" t="s">
        <v>420</v>
      </c>
      <c r="C181" s="504">
        <v>0</v>
      </c>
      <c r="D181" s="515"/>
      <c r="E181" s="510">
        <v>51021714</v>
      </c>
      <c r="F181" s="510"/>
      <c r="G181" s="558">
        <v>420302000</v>
      </c>
      <c r="H181" s="510"/>
      <c r="I181" s="1113">
        <v>38109718</v>
      </c>
      <c r="J181" s="516"/>
      <c r="K181" s="517">
        <v>0</v>
      </c>
      <c r="L181" s="510"/>
      <c r="M181" s="472">
        <v>0</v>
      </c>
      <c r="N181" s="510"/>
      <c r="O181" s="510">
        <v>392963410</v>
      </c>
      <c r="P181" s="510"/>
      <c r="Q181" s="510">
        <f t="shared" si="5"/>
        <v>40250586</v>
      </c>
      <c r="R181" s="2186"/>
      <c r="S181" s="1113">
        <v>392907422</v>
      </c>
    </row>
    <row r="182" spans="1:19" s="508" customFormat="1" ht="15">
      <c r="A182" s="497"/>
      <c r="B182" s="504" t="s">
        <v>421</v>
      </c>
      <c r="C182" s="504">
        <v>0</v>
      </c>
      <c r="D182" s="515"/>
      <c r="E182" s="510">
        <v>392000</v>
      </c>
      <c r="F182" s="510"/>
      <c r="G182" s="510">
        <v>196000</v>
      </c>
      <c r="H182" s="510"/>
      <c r="I182" s="516">
        <v>0</v>
      </c>
      <c r="J182" s="516"/>
      <c r="K182" s="517">
        <v>0</v>
      </c>
      <c r="L182" s="510"/>
      <c r="M182" s="472">
        <v>0</v>
      </c>
      <c r="N182" s="510"/>
      <c r="O182" s="510">
        <v>0</v>
      </c>
      <c r="P182" s="510"/>
      <c r="Q182" s="510">
        <f t="shared" si="5"/>
        <v>588000</v>
      </c>
      <c r="R182" s="2186"/>
      <c r="S182" s="517">
        <v>0</v>
      </c>
    </row>
    <row r="183" spans="1:19" s="508" customFormat="1" ht="15">
      <c r="A183" s="497"/>
      <c r="B183" s="504" t="s">
        <v>422</v>
      </c>
      <c r="C183" s="504">
        <v>0</v>
      </c>
      <c r="D183" s="495"/>
      <c r="E183" s="510">
        <v>16535458</v>
      </c>
      <c r="F183" s="510"/>
      <c r="G183" s="510">
        <v>19283000</v>
      </c>
      <c r="H183" s="510"/>
      <c r="I183" s="1113">
        <v>16339126</v>
      </c>
      <c r="J183" s="516"/>
      <c r="K183" s="517">
        <v>0</v>
      </c>
      <c r="L183" s="510"/>
      <c r="M183" s="472">
        <v>0</v>
      </c>
      <c r="N183" s="510"/>
      <c r="O183" s="510">
        <v>3147436</v>
      </c>
      <c r="P183" s="510"/>
      <c r="Q183" s="510">
        <f t="shared" si="5"/>
        <v>16331896</v>
      </c>
      <c r="R183" s="2186"/>
      <c r="S183" s="1113">
        <v>3147436</v>
      </c>
    </row>
    <row r="184" spans="1:19" s="508" customFormat="1" ht="15">
      <c r="A184" s="494"/>
      <c r="B184" s="504" t="s">
        <v>423</v>
      </c>
      <c r="C184" s="504">
        <v>0</v>
      </c>
      <c r="D184" s="495"/>
      <c r="E184" s="510">
        <v>165535045</v>
      </c>
      <c r="F184" s="510"/>
      <c r="G184" s="559">
        <v>78848000</v>
      </c>
      <c r="H184" s="510"/>
      <c r="I184" s="1113">
        <v>32979447</v>
      </c>
      <c r="J184" s="516"/>
      <c r="K184" s="1113">
        <v>0</v>
      </c>
      <c r="L184" s="510"/>
      <c r="M184" s="472">
        <v>0</v>
      </c>
      <c r="N184" s="510"/>
      <c r="O184" s="510">
        <v>35300372</v>
      </c>
      <c r="P184" s="510"/>
      <c r="Q184" s="510">
        <f t="shared" si="5"/>
        <v>176103226</v>
      </c>
      <c r="R184" s="2186"/>
      <c r="S184" s="1113">
        <v>35300372</v>
      </c>
    </row>
    <row r="185" spans="1:19" s="508" customFormat="1" ht="15">
      <c r="B185" s="504" t="s">
        <v>323</v>
      </c>
      <c r="C185" s="504">
        <v>0</v>
      </c>
      <c r="D185" s="515"/>
      <c r="E185" s="510">
        <v>131120246</v>
      </c>
      <c r="F185" s="518"/>
      <c r="G185" s="560">
        <v>175400000</v>
      </c>
      <c r="H185" s="518"/>
      <c r="I185" s="1113">
        <v>90558158</v>
      </c>
      <c r="J185" s="516"/>
      <c r="K185" s="517">
        <v>0</v>
      </c>
      <c r="L185" s="518"/>
      <c r="M185" s="472">
        <v>0</v>
      </c>
      <c r="N185" s="510"/>
      <c r="O185" s="510">
        <v>94583705</v>
      </c>
      <c r="P185" s="518"/>
      <c r="Q185" s="510">
        <f t="shared" si="5"/>
        <v>121378383</v>
      </c>
      <c r="R185" s="2188"/>
      <c r="S185" s="1113">
        <v>94583506</v>
      </c>
    </row>
    <row r="186" spans="1:19" s="508" customFormat="1" ht="15">
      <c r="B186" s="504" t="s">
        <v>424</v>
      </c>
      <c r="C186" s="504">
        <v>0</v>
      </c>
      <c r="D186" s="515"/>
      <c r="E186" s="510">
        <v>1177155</v>
      </c>
      <c r="F186" s="518"/>
      <c r="G186" s="518">
        <v>1896000</v>
      </c>
      <c r="H186" s="518"/>
      <c r="I186" s="1113">
        <v>1128514</v>
      </c>
      <c r="J186" s="516"/>
      <c r="K186" s="517">
        <v>0</v>
      </c>
      <c r="L186" s="518"/>
      <c r="M186" s="472">
        <v>0</v>
      </c>
      <c r="N186" s="510"/>
      <c r="O186" s="510">
        <v>473224</v>
      </c>
      <c r="P186" s="518"/>
      <c r="Q186" s="510">
        <f t="shared" si="5"/>
        <v>1471417</v>
      </c>
      <c r="R186" s="2188"/>
      <c r="S186" s="1113">
        <v>473224</v>
      </c>
    </row>
    <row r="187" spans="1:19" s="508" customFormat="1" ht="15">
      <c r="A187" s="497"/>
      <c r="B187" s="504" t="s">
        <v>326</v>
      </c>
      <c r="C187" s="504">
        <v>0</v>
      </c>
      <c r="D187" s="515"/>
      <c r="E187" s="510">
        <v>30649169</v>
      </c>
      <c r="F187" s="510"/>
      <c r="G187" s="561">
        <v>32355000</v>
      </c>
      <c r="H187" s="510"/>
      <c r="I187" s="1113">
        <v>29971936</v>
      </c>
      <c r="J187" s="516"/>
      <c r="K187" s="1113">
        <v>2050874.26</v>
      </c>
      <c r="L187" s="510"/>
      <c r="M187" s="472">
        <v>0</v>
      </c>
      <c r="N187" s="510"/>
      <c r="O187" s="510">
        <v>3752645</v>
      </c>
      <c r="P187" s="510"/>
      <c r="Q187" s="510">
        <f t="shared" si="5"/>
        <v>31330462</v>
      </c>
      <c r="R187" s="2186"/>
      <c r="S187" s="1113">
        <v>3752645</v>
      </c>
    </row>
    <row r="188" spans="1:19" s="508" customFormat="1" ht="15">
      <c r="A188" s="497"/>
      <c r="B188" s="504" t="s">
        <v>425</v>
      </c>
      <c r="C188" s="504">
        <v>0</v>
      </c>
      <c r="D188" s="495"/>
      <c r="E188" s="510">
        <v>54385375</v>
      </c>
      <c r="F188" s="510"/>
      <c r="G188" s="510">
        <v>41059000</v>
      </c>
      <c r="H188" s="510"/>
      <c r="I188" s="1113">
        <v>5667915</v>
      </c>
      <c r="J188" s="516"/>
      <c r="K188" s="1113">
        <v>-479611.41</v>
      </c>
      <c r="L188" s="510"/>
      <c r="M188" s="472">
        <v>0</v>
      </c>
      <c r="N188" s="510"/>
      <c r="O188" s="510">
        <v>34688495</v>
      </c>
      <c r="P188" s="510"/>
      <c r="Q188" s="510">
        <f t="shared" si="5"/>
        <v>54608354</v>
      </c>
      <c r="R188" s="2186"/>
      <c r="S188" s="1113">
        <v>34688495</v>
      </c>
    </row>
    <row r="189" spans="1:19" s="525" customFormat="1" ht="15">
      <c r="A189" s="521"/>
      <c r="B189" s="504" t="s">
        <v>426</v>
      </c>
      <c r="C189" s="504">
        <v>0</v>
      </c>
      <c r="D189" s="522"/>
      <c r="E189" s="510">
        <v>20914191</v>
      </c>
      <c r="F189" s="523"/>
      <c r="G189" s="562">
        <v>3458000</v>
      </c>
      <c r="H189" s="523"/>
      <c r="I189" s="1113">
        <v>1901673</v>
      </c>
      <c r="J189" s="516"/>
      <c r="K189" s="516">
        <v>-17189735</v>
      </c>
      <c r="L189" s="523"/>
      <c r="M189" s="472">
        <v>0</v>
      </c>
      <c r="N189" s="510"/>
      <c r="O189" s="510">
        <v>1825763</v>
      </c>
      <c r="P189" s="523"/>
      <c r="Q189" s="510">
        <f t="shared" si="5"/>
        <v>3455020</v>
      </c>
      <c r="R189" s="2189"/>
      <c r="S189" s="1113">
        <v>1825763</v>
      </c>
    </row>
    <row r="190" spans="1:19" s="525" customFormat="1" ht="15">
      <c r="A190" s="521"/>
      <c r="B190" s="504" t="s">
        <v>427</v>
      </c>
      <c r="C190" s="504">
        <v>0</v>
      </c>
      <c r="D190" s="522"/>
      <c r="E190" s="510">
        <v>4618764239</v>
      </c>
      <c r="F190" s="523"/>
      <c r="G190" s="524">
        <v>9922667000</v>
      </c>
      <c r="H190" s="523"/>
      <c r="I190" s="542">
        <v>3398218886</v>
      </c>
      <c r="J190" s="523"/>
      <c r="K190" s="1113">
        <v>-9087174.7200000007</v>
      </c>
      <c r="L190" s="523"/>
      <c r="M190" s="472">
        <v>0</v>
      </c>
      <c r="N190" s="510"/>
      <c r="O190" s="510">
        <v>6622766744</v>
      </c>
      <c r="P190" s="523"/>
      <c r="Q190" s="510">
        <f t="shared" si="5"/>
        <v>4511358434</v>
      </c>
      <c r="R190" s="2189"/>
      <c r="S190" s="1113">
        <v>6622769622</v>
      </c>
    </row>
    <row r="191" spans="1:19" s="525" customFormat="1" ht="15">
      <c r="A191" s="521"/>
      <c r="B191" s="504" t="s">
        <v>2665</v>
      </c>
      <c r="C191" s="504">
        <v>0</v>
      </c>
      <c r="D191" s="505"/>
      <c r="E191" s="510">
        <v>33866393</v>
      </c>
      <c r="F191" s="511"/>
      <c r="G191" s="517">
        <v>3000000</v>
      </c>
      <c r="H191" s="511"/>
      <c r="I191" s="1113">
        <v>30000000</v>
      </c>
      <c r="J191" s="516"/>
      <c r="K191" s="517">
        <v>0</v>
      </c>
      <c r="L191" s="511"/>
      <c r="M191" s="472">
        <v>0</v>
      </c>
      <c r="N191" s="510"/>
      <c r="O191" s="510">
        <v>221204</v>
      </c>
      <c r="P191" s="511"/>
      <c r="Q191" s="510">
        <f t="shared" si="5"/>
        <v>6645189</v>
      </c>
      <c r="R191" s="2193"/>
      <c r="S191" s="1113">
        <v>221204</v>
      </c>
    </row>
    <row r="192" spans="1:19" s="525" customFormat="1" ht="15">
      <c r="A192" s="530"/>
      <c r="B192" s="504" t="s">
        <v>428</v>
      </c>
      <c r="C192" s="504">
        <v>0</v>
      </c>
      <c r="D192" s="497"/>
      <c r="E192" s="510">
        <v>588112</v>
      </c>
      <c r="F192" s="523"/>
      <c r="G192" s="524">
        <v>1031000</v>
      </c>
      <c r="H192" s="523"/>
      <c r="I192" s="1113">
        <v>554488</v>
      </c>
      <c r="J192" s="516"/>
      <c r="K192" s="517">
        <v>0</v>
      </c>
      <c r="L192" s="523"/>
      <c r="M192" s="472">
        <v>0</v>
      </c>
      <c r="N192" s="510"/>
      <c r="O192" s="510">
        <v>463365</v>
      </c>
      <c r="P192" s="520"/>
      <c r="Q192" s="510">
        <f t="shared" si="5"/>
        <v>601259</v>
      </c>
      <c r="R192" s="2191"/>
      <c r="S192" s="1113">
        <v>463365</v>
      </c>
    </row>
    <row r="193" spans="1:19" s="525" customFormat="1" ht="15">
      <c r="A193" s="530"/>
      <c r="B193" s="504" t="s">
        <v>429</v>
      </c>
      <c r="C193" s="504">
        <v>0</v>
      </c>
      <c r="D193" s="531"/>
      <c r="E193" s="510">
        <v>200414837</v>
      </c>
      <c r="F193" s="523"/>
      <c r="G193" s="563">
        <v>253517000</v>
      </c>
      <c r="H193" s="523"/>
      <c r="I193" s="1113">
        <v>71074926</v>
      </c>
      <c r="J193" s="516"/>
      <c r="K193" s="1113">
        <v>-999495</v>
      </c>
      <c r="L193" s="523"/>
      <c r="M193" s="472">
        <v>-181250</v>
      </c>
      <c r="N193" s="510"/>
      <c r="O193" s="510">
        <v>184307165</v>
      </c>
      <c r="P193" s="520"/>
      <c r="Q193" s="510">
        <f t="shared" si="5"/>
        <v>197369001</v>
      </c>
      <c r="R193" s="2191"/>
      <c r="S193" s="1113">
        <v>184307165</v>
      </c>
    </row>
    <row r="194" spans="1:19" s="525" customFormat="1" ht="15">
      <c r="A194" s="530"/>
      <c r="B194" s="504" t="s">
        <v>430</v>
      </c>
      <c r="C194" s="504">
        <v>0</v>
      </c>
      <c r="D194" s="531"/>
      <c r="E194" s="510">
        <v>620375</v>
      </c>
      <c r="F194" s="523"/>
      <c r="G194" s="511">
        <v>3131700</v>
      </c>
      <c r="H194" s="523"/>
      <c r="I194" s="1113">
        <v>464566</v>
      </c>
      <c r="J194" s="516"/>
      <c r="K194" s="517">
        <v>0</v>
      </c>
      <c r="L194" s="523"/>
      <c r="M194" s="472">
        <v>0</v>
      </c>
      <c r="N194" s="510"/>
      <c r="O194" s="510">
        <v>2728009</v>
      </c>
      <c r="P194" s="520"/>
      <c r="Q194" s="510">
        <f t="shared" si="5"/>
        <v>559500</v>
      </c>
      <c r="R194" s="2191"/>
      <c r="S194" s="1113">
        <v>2728009</v>
      </c>
    </row>
    <row r="195" spans="1:19" s="525" customFormat="1" ht="15">
      <c r="A195" s="530"/>
      <c r="B195" s="504" t="s">
        <v>431</v>
      </c>
      <c r="C195" s="504">
        <v>0</v>
      </c>
      <c r="D195" s="531"/>
      <c r="E195" s="510">
        <v>63808475</v>
      </c>
      <c r="F195" s="523"/>
      <c r="G195" s="565">
        <v>425591963</v>
      </c>
      <c r="H195" s="523"/>
      <c r="I195" s="1113">
        <v>50873338</v>
      </c>
      <c r="J195" s="516"/>
      <c r="K195" s="1113">
        <v>78285776.640000001</v>
      </c>
      <c r="L195" s="523"/>
      <c r="M195" s="472">
        <v>0</v>
      </c>
      <c r="N195" s="510"/>
      <c r="O195" s="510">
        <v>448777685</v>
      </c>
      <c r="P195" s="520"/>
      <c r="Q195" s="510">
        <f t="shared" si="5"/>
        <v>68035192</v>
      </c>
      <c r="R195" s="2191"/>
      <c r="S195" s="1113">
        <v>448778294</v>
      </c>
    </row>
    <row r="196" spans="1:19" s="525" customFormat="1" ht="15">
      <c r="A196" s="530"/>
      <c r="B196" s="504" t="s">
        <v>432</v>
      </c>
      <c r="C196" s="504">
        <v>0</v>
      </c>
      <c r="D196" s="531"/>
      <c r="E196" s="510">
        <v>19003515</v>
      </c>
      <c r="F196" s="523"/>
      <c r="G196" s="524">
        <v>30194000</v>
      </c>
      <c r="H196" s="523"/>
      <c r="I196" s="1113">
        <v>18271671</v>
      </c>
      <c r="J196" s="516"/>
      <c r="K196" s="517">
        <v>0</v>
      </c>
      <c r="L196" s="523"/>
      <c r="M196" s="472">
        <v>0</v>
      </c>
      <c r="N196" s="510"/>
      <c r="O196" s="510">
        <v>13324950</v>
      </c>
      <c r="P196" s="520"/>
      <c r="Q196" s="510">
        <f t="shared" si="5"/>
        <v>17600894</v>
      </c>
      <c r="R196" s="2191"/>
      <c r="S196" s="1113">
        <v>13325212</v>
      </c>
    </row>
    <row r="197" spans="1:19" s="508" customFormat="1" ht="15">
      <c r="B197" s="504" t="s">
        <v>433</v>
      </c>
      <c r="C197" s="504">
        <v>0</v>
      </c>
      <c r="D197" s="495"/>
      <c r="E197" s="510">
        <v>13120796110</v>
      </c>
      <c r="F197" s="510"/>
      <c r="G197" s="510">
        <v>11910221000</v>
      </c>
      <c r="H197" s="510"/>
      <c r="I197" s="1113">
        <v>5613943404</v>
      </c>
      <c r="J197" s="516"/>
      <c r="K197" s="1113">
        <v>43705583</v>
      </c>
      <c r="L197" s="510"/>
      <c r="M197" s="472">
        <v>0</v>
      </c>
      <c r="N197" s="510"/>
      <c r="O197" s="510">
        <v>6416859763</v>
      </c>
      <c r="P197" s="510"/>
      <c r="Q197" s="510">
        <f t="shared" si="5"/>
        <v>13043919526</v>
      </c>
      <c r="R197" s="2186"/>
      <c r="S197" s="1113">
        <v>6420529757</v>
      </c>
    </row>
    <row r="198" spans="1:19" s="508" customFormat="1" ht="15">
      <c r="B198" s="504" t="s">
        <v>434</v>
      </c>
      <c r="C198" s="504">
        <v>0</v>
      </c>
      <c r="D198" s="495"/>
      <c r="E198" s="510">
        <v>41554538</v>
      </c>
      <c r="F198" s="510"/>
      <c r="G198" s="510">
        <v>81442000</v>
      </c>
      <c r="H198" s="510"/>
      <c r="I198" s="1113">
        <v>29182337</v>
      </c>
      <c r="J198" s="516"/>
      <c r="K198" s="1113">
        <v>6669000</v>
      </c>
      <c r="L198" s="510"/>
      <c r="M198" s="472">
        <v>0</v>
      </c>
      <c r="N198" s="510"/>
      <c r="O198" s="510">
        <v>73143098</v>
      </c>
      <c r="P198" s="510"/>
      <c r="Q198" s="510">
        <f t="shared" si="5"/>
        <v>27340103</v>
      </c>
      <c r="R198" s="2186"/>
      <c r="S198" s="1113">
        <v>73143498</v>
      </c>
    </row>
    <row r="199" spans="1:19" s="508" customFormat="1" ht="15">
      <c r="B199" s="504" t="s">
        <v>435</v>
      </c>
      <c r="C199" s="504">
        <v>0</v>
      </c>
      <c r="D199" s="495"/>
      <c r="E199" s="510">
        <v>283039333</v>
      </c>
      <c r="F199" s="510"/>
      <c r="G199" s="510">
        <v>108481000</v>
      </c>
      <c r="H199" s="510"/>
      <c r="I199" s="1113">
        <v>26050476</v>
      </c>
      <c r="J199" s="516"/>
      <c r="K199" s="1113">
        <v>22070000</v>
      </c>
      <c r="L199" s="510"/>
      <c r="M199" s="472">
        <v>0</v>
      </c>
      <c r="N199" s="510"/>
      <c r="O199" s="510">
        <v>81444825</v>
      </c>
      <c r="P199" s="510"/>
      <c r="Q199" s="510">
        <f t="shared" si="5"/>
        <v>306095032</v>
      </c>
      <c r="R199" s="2186"/>
      <c r="S199" s="1113">
        <v>81446367</v>
      </c>
    </row>
    <row r="200" spans="1:19" s="508" customFormat="1" ht="15">
      <c r="B200" s="504" t="s">
        <v>399</v>
      </c>
      <c r="C200" s="504">
        <v>0</v>
      </c>
      <c r="D200" s="495"/>
      <c r="E200" s="510">
        <v>97170098</v>
      </c>
      <c r="F200" s="510"/>
      <c r="G200" s="510">
        <v>68386000</v>
      </c>
      <c r="H200" s="510"/>
      <c r="I200" s="1113">
        <v>18999406</v>
      </c>
      <c r="J200" s="516"/>
      <c r="K200" s="1113">
        <v>0</v>
      </c>
      <c r="L200" s="510"/>
      <c r="M200" s="472">
        <v>0</v>
      </c>
      <c r="N200" s="510"/>
      <c r="O200" s="510">
        <v>59409336</v>
      </c>
      <c r="P200" s="510"/>
      <c r="Q200" s="510">
        <f t="shared" si="5"/>
        <v>87147356</v>
      </c>
      <c r="R200" s="2186"/>
      <c r="S200" s="1113">
        <v>59411446</v>
      </c>
    </row>
    <row r="201" spans="1:19" s="508" customFormat="1" ht="15">
      <c r="B201" s="504" t="s">
        <v>436</v>
      </c>
      <c r="C201" s="504">
        <v>0</v>
      </c>
      <c r="D201" s="495"/>
      <c r="E201" s="510">
        <v>107880819</v>
      </c>
      <c r="F201" s="510"/>
      <c r="G201" s="509">
        <v>87000000</v>
      </c>
      <c r="H201" s="510"/>
      <c r="I201" s="1113">
        <v>285857</v>
      </c>
      <c r="J201" s="516"/>
      <c r="K201" s="517">
        <v>0</v>
      </c>
      <c r="L201" s="510"/>
      <c r="M201" s="472">
        <v>0</v>
      </c>
      <c r="N201" s="510"/>
      <c r="O201" s="510">
        <v>60115300</v>
      </c>
      <c r="P201" s="510"/>
      <c r="Q201" s="510">
        <f t="shared" si="5"/>
        <v>134479662</v>
      </c>
      <c r="R201" s="2186"/>
      <c r="S201" s="1113">
        <v>60115300</v>
      </c>
    </row>
    <row r="202" spans="1:19" s="486" customFormat="1" ht="15">
      <c r="B202" s="504" t="s">
        <v>345</v>
      </c>
      <c r="C202" s="504">
        <v>0</v>
      </c>
      <c r="D202" s="485"/>
      <c r="E202" s="534">
        <v>34924033</v>
      </c>
      <c r="F202" s="535"/>
      <c r="G202" s="535">
        <v>30000000</v>
      </c>
      <c r="H202" s="535"/>
      <c r="I202" s="1113">
        <v>34433995</v>
      </c>
      <c r="J202" s="516"/>
      <c r="K202" s="1113">
        <v>0</v>
      </c>
      <c r="L202" s="535"/>
      <c r="M202" s="472">
        <v>0</v>
      </c>
      <c r="N202" s="510"/>
      <c r="O202" s="510">
        <v>490038</v>
      </c>
      <c r="P202" s="535"/>
      <c r="Q202" s="510">
        <f t="shared" si="5"/>
        <v>30000000</v>
      </c>
      <c r="R202" s="2192"/>
      <c r="S202" s="1113">
        <v>490038</v>
      </c>
    </row>
    <row r="203" spans="1:19" s="508" customFormat="1" ht="15">
      <c r="B203" s="504" t="s">
        <v>437</v>
      </c>
      <c r="C203" s="504">
        <v>0</v>
      </c>
      <c r="D203" s="495"/>
      <c r="E203" s="510">
        <v>100000</v>
      </c>
      <c r="F203" s="510"/>
      <c r="G203" s="510">
        <v>100000</v>
      </c>
      <c r="H203" s="510"/>
      <c r="I203" s="1113">
        <v>100000</v>
      </c>
      <c r="J203" s="516"/>
      <c r="K203" s="1113">
        <v>722000</v>
      </c>
      <c r="L203" s="510"/>
      <c r="M203" s="472">
        <v>0</v>
      </c>
      <c r="N203" s="510"/>
      <c r="O203" s="510">
        <v>722000</v>
      </c>
      <c r="P203" s="510"/>
      <c r="Q203" s="510">
        <f t="shared" si="5"/>
        <v>100000</v>
      </c>
      <c r="R203" s="2186"/>
      <c r="S203" s="1113">
        <v>722000</v>
      </c>
    </row>
    <row r="204" spans="1:19" s="508" customFormat="1" ht="15">
      <c r="B204" s="504" t="s">
        <v>438</v>
      </c>
      <c r="C204" s="504">
        <v>0</v>
      </c>
      <c r="D204" s="495"/>
      <c r="E204" s="510">
        <v>40194481</v>
      </c>
      <c r="F204" s="510"/>
      <c r="G204" s="510">
        <v>46841000</v>
      </c>
      <c r="H204" s="510"/>
      <c r="I204" s="1113">
        <v>38469473</v>
      </c>
      <c r="J204" s="516"/>
      <c r="K204" s="517">
        <v>0</v>
      </c>
      <c r="L204" s="510"/>
      <c r="M204" s="472">
        <v>0</v>
      </c>
      <c r="N204" s="510"/>
      <c r="O204" s="510">
        <v>8269912</v>
      </c>
      <c r="P204" s="510"/>
      <c r="Q204" s="510">
        <f t="shared" si="5"/>
        <v>40296096</v>
      </c>
      <c r="R204" s="2186"/>
      <c r="S204" s="1113">
        <v>8234514</v>
      </c>
    </row>
    <row r="205" spans="1:19" s="508" customFormat="1" ht="15">
      <c r="B205" s="504" t="s">
        <v>351</v>
      </c>
      <c r="C205" s="504">
        <v>0</v>
      </c>
      <c r="D205" s="495"/>
      <c r="E205" s="517">
        <v>8382358</v>
      </c>
      <c r="F205" s="510"/>
      <c r="G205" s="510">
        <v>10268000</v>
      </c>
      <c r="H205" s="510"/>
      <c r="I205" s="1113">
        <v>8057188</v>
      </c>
      <c r="J205" s="516"/>
      <c r="K205" s="517">
        <v>43401.35</v>
      </c>
      <c r="L205" s="510"/>
      <c r="M205" s="472">
        <v>0</v>
      </c>
      <c r="N205" s="510"/>
      <c r="O205" s="510">
        <v>2284491</v>
      </c>
      <c r="P205" s="510"/>
      <c r="Q205" s="510">
        <f t="shared" si="5"/>
        <v>8352080</v>
      </c>
      <c r="R205" s="2186"/>
      <c r="S205" s="1113">
        <v>2284491</v>
      </c>
    </row>
    <row r="206" spans="1:19" s="486" customFormat="1" ht="15">
      <c r="B206" s="504" t="s">
        <v>439</v>
      </c>
      <c r="C206" s="504">
        <v>0</v>
      </c>
      <c r="D206" s="485"/>
      <c r="E206" s="510">
        <v>31288077</v>
      </c>
      <c r="F206" s="535"/>
      <c r="G206" s="535">
        <v>72740000</v>
      </c>
      <c r="H206" s="535"/>
      <c r="I206" s="1113">
        <v>14315708</v>
      </c>
      <c r="J206" s="516"/>
      <c r="K206" s="1113">
        <v>678000</v>
      </c>
      <c r="L206" s="535"/>
      <c r="M206" s="472">
        <v>0</v>
      </c>
      <c r="N206" s="510"/>
      <c r="O206" s="510">
        <v>60925336</v>
      </c>
      <c r="P206" s="535"/>
      <c r="Q206" s="510">
        <f t="shared" si="5"/>
        <v>29465033</v>
      </c>
      <c r="R206" s="2192"/>
      <c r="S206" s="1113">
        <v>60925336</v>
      </c>
    </row>
    <row r="207" spans="1:19" s="486" customFormat="1" ht="15">
      <c r="B207" s="504" t="s">
        <v>440</v>
      </c>
      <c r="C207" s="504">
        <v>0</v>
      </c>
      <c r="D207" s="485"/>
      <c r="E207" s="510">
        <v>10431958</v>
      </c>
      <c r="F207" s="535"/>
      <c r="G207" s="566">
        <v>83792000</v>
      </c>
      <c r="H207" s="535"/>
      <c r="I207" s="1113">
        <v>6712434</v>
      </c>
      <c r="J207" s="516"/>
      <c r="K207" s="1113">
        <v>8991596</v>
      </c>
      <c r="L207" s="535"/>
      <c r="M207" s="472">
        <v>0</v>
      </c>
      <c r="N207" s="510"/>
      <c r="O207" s="510">
        <v>89135063</v>
      </c>
      <c r="P207" s="535"/>
      <c r="Q207" s="510">
        <f t="shared" si="5"/>
        <v>7368057</v>
      </c>
      <c r="R207" s="2192"/>
      <c r="S207" s="1113">
        <v>90669247</v>
      </c>
    </row>
    <row r="208" spans="1:19" s="486" customFormat="1" ht="15">
      <c r="B208" s="504" t="s">
        <v>441</v>
      </c>
      <c r="C208" s="504">
        <v>0</v>
      </c>
      <c r="D208" s="485"/>
      <c r="E208" s="510">
        <v>787403</v>
      </c>
      <c r="F208" s="535"/>
      <c r="G208" s="517">
        <v>0</v>
      </c>
      <c r="H208" s="535"/>
      <c r="I208" s="517">
        <v>0</v>
      </c>
      <c r="J208" s="516"/>
      <c r="K208" s="1113">
        <v>1000000</v>
      </c>
      <c r="L208" s="535"/>
      <c r="M208" s="472">
        <v>0</v>
      </c>
      <c r="N208" s="510"/>
      <c r="O208" s="510">
        <v>1468762</v>
      </c>
      <c r="P208" s="535"/>
      <c r="Q208" s="510">
        <f t="shared" si="5"/>
        <v>318641</v>
      </c>
      <c r="R208" s="2192"/>
      <c r="S208" s="1113">
        <v>1468762</v>
      </c>
    </row>
    <row r="209" spans="1:19" s="486" customFormat="1" ht="15">
      <c r="B209" s="504" t="s">
        <v>442</v>
      </c>
      <c r="C209" s="504">
        <v>0</v>
      </c>
      <c r="D209" s="485"/>
      <c r="E209" s="510">
        <v>400000</v>
      </c>
      <c r="F209" s="535"/>
      <c r="G209" s="535">
        <v>300000</v>
      </c>
      <c r="H209" s="535"/>
      <c r="I209" s="1113">
        <v>300000</v>
      </c>
      <c r="J209" s="516"/>
      <c r="K209" s="517">
        <v>0</v>
      </c>
      <c r="L209" s="535"/>
      <c r="M209" s="472">
        <v>0</v>
      </c>
      <c r="N209" s="510"/>
      <c r="O209" s="510">
        <v>0</v>
      </c>
      <c r="P209" s="535"/>
      <c r="Q209" s="510">
        <f t="shared" si="5"/>
        <v>400000</v>
      </c>
      <c r="R209" s="2192"/>
      <c r="S209" s="517">
        <v>0</v>
      </c>
    </row>
    <row r="210" spans="1:19" s="486" customFormat="1" ht="15">
      <c r="B210" s="504" t="s">
        <v>443</v>
      </c>
      <c r="C210" s="504">
        <v>0</v>
      </c>
      <c r="D210" s="485"/>
      <c r="E210" s="510">
        <v>5975579</v>
      </c>
      <c r="F210" s="535"/>
      <c r="G210" s="535">
        <v>1800000</v>
      </c>
      <c r="H210" s="535"/>
      <c r="I210" s="1113">
        <v>300000</v>
      </c>
      <c r="J210" s="516"/>
      <c r="K210" s="1113">
        <v>-1000000</v>
      </c>
      <c r="L210" s="535"/>
      <c r="M210" s="472">
        <v>0</v>
      </c>
      <c r="N210" s="510"/>
      <c r="O210" s="510">
        <v>0</v>
      </c>
      <c r="P210" s="535"/>
      <c r="Q210" s="510">
        <f t="shared" si="5"/>
        <v>6475579</v>
      </c>
      <c r="R210" s="2192"/>
      <c r="S210" s="517">
        <v>0</v>
      </c>
    </row>
    <row r="211" spans="1:19" s="486" customFormat="1" ht="15">
      <c r="A211" s="508"/>
      <c r="B211" s="504" t="s">
        <v>2666</v>
      </c>
      <c r="C211" s="504">
        <v>0</v>
      </c>
      <c r="D211" s="485"/>
      <c r="E211" s="510">
        <v>454394</v>
      </c>
      <c r="F211" s="535"/>
      <c r="G211" s="511">
        <v>2032000</v>
      </c>
      <c r="H211" s="535"/>
      <c r="I211" s="1113">
        <v>404311</v>
      </c>
      <c r="J211" s="516"/>
      <c r="K211" s="517">
        <v>0</v>
      </c>
      <c r="L211" s="535"/>
      <c r="M211" s="472">
        <v>0</v>
      </c>
      <c r="N211" s="510"/>
      <c r="O211" s="510">
        <v>1561406</v>
      </c>
      <c r="P211" s="535"/>
      <c r="Q211" s="510">
        <f t="shared" si="5"/>
        <v>520677</v>
      </c>
      <c r="R211" s="2192"/>
      <c r="S211" s="1113">
        <v>1561406</v>
      </c>
    </row>
    <row r="212" spans="1:19" s="486" customFormat="1" ht="15">
      <c r="B212" s="504" t="s">
        <v>444</v>
      </c>
      <c r="C212" s="504">
        <v>0</v>
      </c>
      <c r="D212" s="485"/>
      <c r="E212" s="510">
        <v>467516892</v>
      </c>
      <c r="F212" s="535"/>
      <c r="G212" s="567">
        <v>3165940000</v>
      </c>
      <c r="H212" s="535"/>
      <c r="I212" s="1113">
        <v>291498007</v>
      </c>
      <c r="J212" s="516"/>
      <c r="K212" s="1113">
        <v>0</v>
      </c>
      <c r="L212" s="535"/>
      <c r="M212" s="472">
        <v>0</v>
      </c>
      <c r="N212" s="510"/>
      <c r="O212" s="510">
        <v>2880453665</v>
      </c>
      <c r="P212" s="535"/>
      <c r="Q212" s="510">
        <f t="shared" ref="Q212:Q228" si="6">ROUND(+SUM(E212)+SUM(G212)-SUM(I212)+SUM(K212) +SUM(M212)-SUM(O212),0)</f>
        <v>461505220</v>
      </c>
      <c r="R212" s="2192"/>
      <c r="S212" s="1113">
        <v>2880568151</v>
      </c>
    </row>
    <row r="213" spans="1:19" s="486" customFormat="1" ht="15">
      <c r="B213" s="504" t="s">
        <v>445</v>
      </c>
      <c r="C213" s="504">
        <v>0</v>
      </c>
      <c r="D213" s="485"/>
      <c r="E213" s="510">
        <v>7021625</v>
      </c>
      <c r="F213" s="535"/>
      <c r="G213" s="535">
        <v>9277000</v>
      </c>
      <c r="H213" s="535"/>
      <c r="I213" s="1113">
        <v>5616363</v>
      </c>
      <c r="J213" s="516"/>
      <c r="K213" s="517">
        <v>0</v>
      </c>
      <c r="L213" s="535"/>
      <c r="M213" s="472">
        <v>0</v>
      </c>
      <c r="N213" s="510"/>
      <c r="O213" s="510">
        <v>3481247</v>
      </c>
      <c r="P213" s="535"/>
      <c r="Q213" s="510">
        <f t="shared" si="6"/>
        <v>7201015</v>
      </c>
      <c r="R213" s="2192"/>
      <c r="S213" s="1113">
        <v>3481247</v>
      </c>
    </row>
    <row r="214" spans="1:19" s="508" customFormat="1" ht="15">
      <c r="B214" s="504" t="s">
        <v>407</v>
      </c>
      <c r="C214" s="504">
        <v>0</v>
      </c>
      <c r="D214" s="515"/>
      <c r="E214" s="510">
        <v>717099989</v>
      </c>
      <c r="F214" s="518"/>
      <c r="G214" s="518">
        <v>691700000</v>
      </c>
      <c r="H214" s="518"/>
      <c r="I214" s="1113">
        <v>565470323</v>
      </c>
      <c r="J214" s="516"/>
      <c r="K214" s="1113">
        <v>-118271531.8</v>
      </c>
      <c r="L214" s="518"/>
      <c r="M214" s="472">
        <v>0</v>
      </c>
      <c r="N214" s="510"/>
      <c r="O214" s="510">
        <v>0</v>
      </c>
      <c r="P214" s="518"/>
      <c r="Q214" s="510">
        <f t="shared" si="6"/>
        <v>725058134</v>
      </c>
      <c r="R214" s="2188"/>
      <c r="S214" s="517">
        <v>0</v>
      </c>
    </row>
    <row r="215" spans="1:19" s="486" customFormat="1" ht="15">
      <c r="B215" s="504" t="s">
        <v>446</v>
      </c>
      <c r="C215" s="504">
        <v>0</v>
      </c>
      <c r="D215" s="485"/>
      <c r="E215" s="510">
        <v>12099708</v>
      </c>
      <c r="F215" s="535"/>
      <c r="G215" s="568">
        <v>79649000</v>
      </c>
      <c r="H215" s="535"/>
      <c r="I215" s="1113">
        <v>4828293</v>
      </c>
      <c r="J215" s="516"/>
      <c r="K215" s="1113">
        <v>0</v>
      </c>
      <c r="L215" s="535"/>
      <c r="M215" s="472">
        <v>0</v>
      </c>
      <c r="N215" s="510"/>
      <c r="O215" s="510">
        <v>74193751</v>
      </c>
      <c r="P215" s="535"/>
      <c r="Q215" s="510">
        <f t="shared" si="6"/>
        <v>12726664</v>
      </c>
      <c r="R215" s="2192"/>
      <c r="S215" s="1113">
        <v>74193751</v>
      </c>
    </row>
    <row r="216" spans="1:19" s="525" customFormat="1" ht="15">
      <c r="A216" s="530"/>
      <c r="B216" s="504" t="s">
        <v>447</v>
      </c>
      <c r="C216" s="504">
        <v>0</v>
      </c>
      <c r="D216" s="531"/>
      <c r="E216" s="510">
        <v>32482660</v>
      </c>
      <c r="F216" s="523"/>
      <c r="G216" s="565">
        <v>139262000</v>
      </c>
      <c r="H216" s="523"/>
      <c r="I216" s="1113">
        <v>18834181</v>
      </c>
      <c r="J216" s="516"/>
      <c r="K216" s="1113">
        <v>82751690.700000003</v>
      </c>
      <c r="L216" s="523"/>
      <c r="M216" s="472">
        <v>0</v>
      </c>
      <c r="N216" s="510"/>
      <c r="O216" s="510">
        <v>185159192</v>
      </c>
      <c r="P216" s="520"/>
      <c r="Q216" s="510">
        <f t="shared" si="6"/>
        <v>50502978</v>
      </c>
      <c r="R216" s="2191"/>
      <c r="S216" s="1113">
        <v>185166392</v>
      </c>
    </row>
    <row r="217" spans="1:19" s="486" customFormat="1" ht="15">
      <c r="B217" s="504" t="s">
        <v>448</v>
      </c>
      <c r="C217" s="504">
        <v>0</v>
      </c>
      <c r="D217" s="485"/>
      <c r="E217" s="510">
        <v>40000</v>
      </c>
      <c r="F217" s="535"/>
      <c r="G217" s="517">
        <v>0</v>
      </c>
      <c r="H217" s="535"/>
      <c r="I217" s="2303">
        <v>0</v>
      </c>
      <c r="J217" s="516"/>
      <c r="K217" s="517">
        <v>0</v>
      </c>
      <c r="L217" s="535"/>
      <c r="M217" s="472">
        <v>0</v>
      </c>
      <c r="N217" s="510"/>
      <c r="O217" s="510">
        <v>0</v>
      </c>
      <c r="P217" s="535"/>
      <c r="Q217" s="510">
        <f t="shared" si="6"/>
        <v>40000</v>
      </c>
      <c r="R217" s="2192"/>
      <c r="S217" s="2303">
        <v>0</v>
      </c>
    </row>
    <row r="218" spans="1:19" s="486" customFormat="1" ht="15">
      <c r="B218" s="504" t="s">
        <v>449</v>
      </c>
      <c r="C218" s="504">
        <v>0</v>
      </c>
      <c r="D218" s="485"/>
      <c r="E218" s="510">
        <v>7580564</v>
      </c>
      <c r="F218" s="535"/>
      <c r="G218" s="568">
        <v>21200000</v>
      </c>
      <c r="H218" s="535"/>
      <c r="I218" s="1113">
        <v>6456097</v>
      </c>
      <c r="J218" s="516"/>
      <c r="K218" s="517">
        <v>0</v>
      </c>
      <c r="L218" s="535"/>
      <c r="M218" s="472">
        <v>0</v>
      </c>
      <c r="N218" s="510"/>
      <c r="O218" s="510">
        <v>11002093</v>
      </c>
      <c r="P218" s="535"/>
      <c r="Q218" s="510">
        <f t="shared" si="6"/>
        <v>11322374</v>
      </c>
      <c r="R218" s="2192"/>
      <c r="S218" s="1113">
        <v>11002093</v>
      </c>
    </row>
    <row r="219" spans="1:19">
      <c r="A219" s="499"/>
      <c r="B219" s="2298" t="s">
        <v>363</v>
      </c>
      <c r="C219" s="538">
        <v>0</v>
      </c>
      <c r="E219" s="510">
        <v>43432869</v>
      </c>
      <c r="F219" s="540"/>
      <c r="G219" s="569">
        <v>93966900</v>
      </c>
      <c r="H219" s="540"/>
      <c r="I219" s="1113">
        <v>14071029</v>
      </c>
      <c r="J219" s="516"/>
      <c r="K219" s="2303">
        <v>-400000</v>
      </c>
      <c r="L219" s="540"/>
      <c r="M219" s="472">
        <v>3000000</v>
      </c>
      <c r="N219" s="510"/>
      <c r="O219" s="510">
        <v>80124923</v>
      </c>
      <c r="P219" s="540"/>
      <c r="Q219" s="510">
        <f t="shared" si="6"/>
        <v>45803817</v>
      </c>
      <c r="R219" s="2194"/>
      <c r="S219" s="1113">
        <v>80127083</v>
      </c>
    </row>
    <row r="220" spans="1:19" s="486" customFormat="1" ht="15">
      <c r="B220" s="504" t="s">
        <v>364</v>
      </c>
      <c r="C220" s="504">
        <v>0</v>
      </c>
      <c r="D220" s="485"/>
      <c r="E220" s="510">
        <v>527147097</v>
      </c>
      <c r="F220" s="535"/>
      <c r="G220" s="570">
        <v>2638186000</v>
      </c>
      <c r="H220" s="535"/>
      <c r="I220" s="1113">
        <v>164775693</v>
      </c>
      <c r="J220" s="516"/>
      <c r="K220" s="1113">
        <v>35200000</v>
      </c>
      <c r="L220" s="535"/>
      <c r="M220" s="472">
        <v>0</v>
      </c>
      <c r="N220" s="510"/>
      <c r="O220" s="510">
        <v>2320477465</v>
      </c>
      <c r="P220" s="535"/>
      <c r="Q220" s="510">
        <f t="shared" si="6"/>
        <v>715279939</v>
      </c>
      <c r="R220" s="2192"/>
      <c r="S220" s="1113">
        <v>2320548943</v>
      </c>
    </row>
    <row r="221" spans="1:19" s="486" customFormat="1" ht="15">
      <c r="B221" s="504" t="s">
        <v>365</v>
      </c>
      <c r="C221" s="504">
        <v>0</v>
      </c>
      <c r="D221" s="485"/>
      <c r="E221" s="510">
        <v>62616</v>
      </c>
      <c r="F221" s="535"/>
      <c r="G221" s="535">
        <v>41000</v>
      </c>
      <c r="H221" s="535"/>
      <c r="I221" s="1113">
        <v>49710</v>
      </c>
      <c r="J221" s="516"/>
      <c r="K221" s="1113">
        <v>9226.32</v>
      </c>
      <c r="L221" s="535"/>
      <c r="M221" s="472">
        <v>0</v>
      </c>
      <c r="N221" s="510"/>
      <c r="O221" s="510">
        <v>0</v>
      </c>
      <c r="P221" s="535"/>
      <c r="Q221" s="510">
        <f t="shared" si="6"/>
        <v>63132</v>
      </c>
      <c r="R221" s="2192"/>
      <c r="S221" s="2303">
        <v>0</v>
      </c>
    </row>
    <row r="222" spans="1:19" s="486" customFormat="1" ht="15">
      <c r="B222" s="504" t="s">
        <v>2667</v>
      </c>
      <c r="C222" s="504">
        <v>0</v>
      </c>
      <c r="D222" s="485"/>
      <c r="E222" s="510">
        <v>2307708310</v>
      </c>
      <c r="F222" s="535"/>
      <c r="G222" s="535">
        <v>2336786000</v>
      </c>
      <c r="H222" s="535"/>
      <c r="I222" s="1113">
        <v>2303796397</v>
      </c>
      <c r="J222" s="516"/>
      <c r="K222" s="1113">
        <v>17339735</v>
      </c>
      <c r="L222" s="535"/>
      <c r="M222" s="472">
        <v>0</v>
      </c>
      <c r="N222" s="510"/>
      <c r="O222" s="510">
        <v>21197073</v>
      </c>
      <c r="P222" s="535"/>
      <c r="Q222" s="510">
        <f t="shared" si="6"/>
        <v>2336840575</v>
      </c>
      <c r="R222" s="2192"/>
      <c r="S222" s="1113">
        <v>21197073</v>
      </c>
    </row>
    <row r="223" spans="1:19" s="486" customFormat="1" ht="15">
      <c r="B223" s="504" t="s">
        <v>367</v>
      </c>
      <c r="C223" s="504">
        <v>0</v>
      </c>
      <c r="D223" s="485"/>
      <c r="E223" s="510">
        <v>375078</v>
      </c>
      <c r="F223" s="535"/>
      <c r="G223" s="535">
        <v>384000</v>
      </c>
      <c r="H223" s="535"/>
      <c r="I223" s="1113">
        <v>380090</v>
      </c>
      <c r="J223" s="516"/>
      <c r="K223" s="517">
        <v>0</v>
      </c>
      <c r="L223" s="535"/>
      <c r="M223" s="472">
        <v>0</v>
      </c>
      <c r="N223" s="510"/>
      <c r="O223" s="510">
        <v>32964</v>
      </c>
      <c r="P223" s="535"/>
      <c r="Q223" s="510">
        <f t="shared" si="6"/>
        <v>346024</v>
      </c>
      <c r="R223" s="2192"/>
      <c r="S223" s="1113">
        <v>32964</v>
      </c>
    </row>
    <row r="224" spans="1:19" s="486" customFormat="1" ht="15">
      <c r="B224" s="504" t="s">
        <v>368</v>
      </c>
      <c r="C224" s="504">
        <v>0</v>
      </c>
      <c r="D224" s="485"/>
      <c r="E224" s="510">
        <v>29508689</v>
      </c>
      <c r="F224" s="535"/>
      <c r="G224" s="535">
        <v>86662000</v>
      </c>
      <c r="H224" s="535"/>
      <c r="I224" s="1113">
        <v>15576774</v>
      </c>
      <c r="J224" s="516"/>
      <c r="K224" s="1113">
        <v>-17000</v>
      </c>
      <c r="L224" s="535"/>
      <c r="M224" s="472">
        <v>0</v>
      </c>
      <c r="N224" s="510"/>
      <c r="O224" s="510">
        <v>68471588</v>
      </c>
      <c r="P224" s="535"/>
      <c r="Q224" s="510">
        <f t="shared" si="6"/>
        <v>32105327</v>
      </c>
      <c r="R224" s="2192"/>
      <c r="S224" s="1113">
        <v>68458141</v>
      </c>
    </row>
    <row r="225" spans="1:19" s="486" customFormat="1" ht="15">
      <c r="B225" s="504" t="s">
        <v>369</v>
      </c>
      <c r="C225" s="504">
        <v>0</v>
      </c>
      <c r="D225" s="515"/>
      <c r="E225" s="509">
        <v>3252755</v>
      </c>
      <c r="F225" s="518"/>
      <c r="G225" s="571">
        <v>18984000</v>
      </c>
      <c r="H225" s="518"/>
      <c r="I225" s="1113">
        <v>2482230</v>
      </c>
      <c r="J225" s="516"/>
      <c r="K225" s="1113">
        <v>676000</v>
      </c>
      <c r="L225" s="510"/>
      <c r="M225" s="472">
        <v>0</v>
      </c>
      <c r="N225" s="510"/>
      <c r="O225" s="510">
        <v>16057006</v>
      </c>
      <c r="P225" s="510"/>
      <c r="Q225" s="510">
        <f t="shared" si="6"/>
        <v>4373519</v>
      </c>
      <c r="R225" s="2186"/>
      <c r="S225" s="1113">
        <v>16105617</v>
      </c>
    </row>
    <row r="226" spans="1:19" s="508" customFormat="1" ht="15">
      <c r="B226" s="504" t="s">
        <v>450</v>
      </c>
      <c r="C226" s="504">
        <v>0</v>
      </c>
      <c r="D226" s="485"/>
      <c r="E226" s="534">
        <v>17036414</v>
      </c>
      <c r="F226" s="535"/>
      <c r="G226" s="535">
        <v>55609000</v>
      </c>
      <c r="H226" s="535"/>
      <c r="I226" s="1113">
        <v>16872251</v>
      </c>
      <c r="J226" s="516"/>
      <c r="K226" s="1113">
        <v>144765.81</v>
      </c>
      <c r="L226" s="535"/>
      <c r="M226" s="472">
        <v>0</v>
      </c>
      <c r="N226" s="510"/>
      <c r="O226" s="510">
        <v>43688555</v>
      </c>
      <c r="P226" s="535"/>
      <c r="Q226" s="510">
        <f t="shared" si="6"/>
        <v>12229374</v>
      </c>
      <c r="R226" s="2192"/>
      <c r="S226" s="1113">
        <v>43806506</v>
      </c>
    </row>
    <row r="227" spans="1:19" s="486" customFormat="1" ht="15">
      <c r="B227" s="504" t="s">
        <v>451</v>
      </c>
      <c r="C227" s="504">
        <v>0</v>
      </c>
      <c r="D227" s="485"/>
      <c r="E227" s="534">
        <v>2867570956</v>
      </c>
      <c r="F227" s="535"/>
      <c r="G227" s="535">
        <v>6901230600</v>
      </c>
      <c r="H227" s="535"/>
      <c r="I227" s="1113">
        <v>747313475</v>
      </c>
      <c r="J227" s="516"/>
      <c r="K227" s="1113">
        <v>6297528.7199999997</v>
      </c>
      <c r="L227" s="535"/>
      <c r="M227" s="472">
        <v>0</v>
      </c>
      <c r="N227" s="510"/>
      <c r="O227" s="510">
        <v>6232443521</v>
      </c>
      <c r="P227" s="535"/>
      <c r="Q227" s="510">
        <f t="shared" si="6"/>
        <v>2795342089</v>
      </c>
      <c r="R227" s="2192"/>
      <c r="S227" s="1113">
        <v>6232206491</v>
      </c>
    </row>
    <row r="228" spans="1:19" s="486" customFormat="1" ht="15">
      <c r="B228" s="504" t="s">
        <v>411</v>
      </c>
      <c r="C228" s="504">
        <v>0</v>
      </c>
      <c r="D228" s="485"/>
      <c r="E228" s="534">
        <v>13031839</v>
      </c>
      <c r="F228" s="535"/>
      <c r="G228" s="573">
        <v>43591000</v>
      </c>
      <c r="H228" s="535"/>
      <c r="I228" s="1113">
        <v>6054486</v>
      </c>
      <c r="J228" s="516"/>
      <c r="K228" s="1113">
        <v>6980912.3600000003</v>
      </c>
      <c r="L228" s="535"/>
      <c r="M228" s="472">
        <v>0</v>
      </c>
      <c r="N228" s="510"/>
      <c r="O228" s="510">
        <v>44727458</v>
      </c>
      <c r="P228" s="535"/>
      <c r="Q228" s="510">
        <f t="shared" si="6"/>
        <v>12821807</v>
      </c>
      <c r="R228" s="2192"/>
      <c r="S228" s="1113">
        <v>44728190</v>
      </c>
    </row>
    <row r="229" spans="1:19" s="486" customFormat="1" ht="15">
      <c r="B229" s="504"/>
      <c r="C229" s="504"/>
      <c r="D229" s="485"/>
      <c r="E229" s="510"/>
      <c r="F229" s="535"/>
      <c r="G229" s="535"/>
      <c r="H229" s="535"/>
      <c r="I229" s="236"/>
      <c r="J229" s="535"/>
      <c r="K229" s="236"/>
      <c r="L229" s="535"/>
      <c r="M229" s="472"/>
      <c r="N229" s="472"/>
      <c r="O229" s="472"/>
      <c r="P229" s="535"/>
      <c r="Q229" s="510"/>
      <c r="R229" s="535"/>
      <c r="S229" s="236"/>
    </row>
    <row r="230" spans="1:19" s="486" customFormat="1" ht="15">
      <c r="B230" s="504"/>
      <c r="C230" s="504"/>
      <c r="D230" s="485"/>
      <c r="E230" s="510"/>
      <c r="F230" s="535"/>
      <c r="G230" s="535"/>
      <c r="H230" s="535"/>
      <c r="I230" s="236"/>
      <c r="J230" s="535"/>
      <c r="K230" s="236"/>
      <c r="L230" s="535"/>
      <c r="M230" s="472"/>
      <c r="N230" s="472"/>
      <c r="O230" s="472"/>
      <c r="P230" s="535"/>
      <c r="Q230" s="510"/>
      <c r="R230" s="535"/>
      <c r="S230" s="236"/>
    </row>
    <row r="232" spans="1:19">
      <c r="A232" s="2356" t="s">
        <v>275</v>
      </c>
      <c r="B232" s="2404" t="s">
        <v>310</v>
      </c>
      <c r="C232" s="2404"/>
      <c r="D232" s="2404"/>
      <c r="E232" s="2404"/>
      <c r="F232" s="2404"/>
      <c r="G232" s="2404"/>
      <c r="H232" s="2404"/>
      <c r="I232" s="2404"/>
      <c r="J232" s="2404"/>
      <c r="K232" s="2404"/>
      <c r="L232" s="2404"/>
      <c r="M232" s="2404"/>
      <c r="N232" s="2404"/>
      <c r="O232" s="2404"/>
      <c r="P232" s="2404"/>
      <c r="Q232" s="2404"/>
      <c r="R232" s="2404"/>
      <c r="S232" s="2404"/>
    </row>
    <row r="233" spans="1:19">
      <c r="A233" s="2356" t="s">
        <v>309</v>
      </c>
      <c r="B233" s="2404" t="s">
        <v>312</v>
      </c>
      <c r="C233" s="2404"/>
      <c r="D233" s="2404"/>
      <c r="E233" s="2404"/>
      <c r="F233" s="2404"/>
      <c r="G233" s="2404"/>
      <c r="H233" s="2404"/>
      <c r="I233" s="2404"/>
      <c r="J233" s="2404"/>
      <c r="K233" s="2404"/>
      <c r="L233" s="2404"/>
      <c r="M233" s="2404"/>
      <c r="N233" s="2404"/>
      <c r="O233" s="2404"/>
      <c r="P233" s="2404"/>
      <c r="Q233" s="2404"/>
      <c r="R233" s="2404"/>
      <c r="S233" s="2404"/>
    </row>
    <row r="234" spans="1:19" ht="18">
      <c r="A234" s="2409" t="s">
        <v>0</v>
      </c>
      <c r="B234" s="2409"/>
      <c r="C234" s="2409"/>
      <c r="D234" s="2409"/>
      <c r="E234" s="2409"/>
      <c r="F234" s="2409"/>
      <c r="G234" s="2409"/>
      <c r="H234" s="2409"/>
      <c r="I234" s="2175"/>
      <c r="J234" s="480"/>
      <c r="K234" s="2175"/>
      <c r="L234" s="480"/>
      <c r="M234" s="2175"/>
      <c r="N234" s="2175"/>
      <c r="O234" s="2175"/>
      <c r="P234" s="480"/>
      <c r="Q234" s="480"/>
      <c r="R234" s="480"/>
      <c r="S234" s="482" t="s">
        <v>313</v>
      </c>
    </row>
    <row r="235" spans="1:19" ht="18">
      <c r="A235" s="2410" t="s">
        <v>314</v>
      </c>
      <c r="B235" s="2410"/>
      <c r="C235" s="2410"/>
      <c r="D235" s="2410"/>
      <c r="E235" s="2410"/>
      <c r="F235" s="2410"/>
      <c r="G235" s="2410"/>
      <c r="H235" s="2410"/>
      <c r="I235" s="2175"/>
      <c r="J235" s="480"/>
      <c r="K235" s="2175"/>
      <c r="L235" s="480"/>
      <c r="M235" s="2175"/>
      <c r="N235" s="2175"/>
      <c r="O235" s="2175"/>
      <c r="P235" s="480"/>
      <c r="Q235" s="480"/>
      <c r="R235" s="480"/>
      <c r="S235" s="480" t="s">
        <v>131</v>
      </c>
    </row>
    <row r="236" spans="1:19" ht="18">
      <c r="A236" s="2410" t="s">
        <v>2540</v>
      </c>
      <c r="B236" s="2410"/>
      <c r="C236" s="2410"/>
      <c r="D236" s="2410"/>
      <c r="E236" s="2410"/>
      <c r="F236" s="2410"/>
      <c r="G236" s="2410"/>
      <c r="H236" s="2410"/>
      <c r="I236" s="2175"/>
      <c r="J236" s="480"/>
      <c r="K236" s="2175"/>
      <c r="L236" s="480"/>
      <c r="M236" s="2175"/>
      <c r="N236" s="2175"/>
      <c r="O236" s="2175"/>
      <c r="P236" s="480"/>
      <c r="Q236" s="480"/>
      <c r="R236" s="480"/>
      <c r="S236" s="481"/>
    </row>
    <row r="237" spans="1:19" ht="18">
      <c r="A237" s="2409" t="s">
        <v>2648</v>
      </c>
      <c r="B237" s="2409"/>
      <c r="C237" s="2409"/>
      <c r="D237" s="2409"/>
      <c r="E237" s="2409"/>
      <c r="F237" s="2409"/>
      <c r="G237" s="2409"/>
      <c r="H237" s="2409"/>
      <c r="I237" s="2175"/>
      <c r="J237" s="2175"/>
      <c r="K237" s="2175"/>
      <c r="L237" s="2175"/>
      <c r="M237" s="2175"/>
      <c r="N237" s="2175"/>
      <c r="O237" s="2175"/>
      <c r="P237" s="2175"/>
      <c r="Q237" s="2175"/>
      <c r="R237" s="2175"/>
      <c r="S237" s="2175"/>
    </row>
    <row r="238" spans="1:19">
      <c r="A238" s="484"/>
      <c r="B238" s="484"/>
      <c r="C238" s="484"/>
      <c r="D238" s="485"/>
      <c r="E238" s="486"/>
      <c r="F238" s="485"/>
      <c r="G238" s="485"/>
      <c r="H238" s="485"/>
      <c r="I238" s="486"/>
      <c r="J238" s="485"/>
      <c r="K238" s="486"/>
      <c r="L238" s="485"/>
      <c r="M238" s="486"/>
      <c r="N238" s="486"/>
      <c r="O238" s="486"/>
      <c r="P238" s="485"/>
      <c r="Q238" s="486"/>
      <c r="R238" s="485"/>
      <c r="S238" s="486"/>
    </row>
    <row r="239" spans="1:19">
      <c r="A239" s="486"/>
      <c r="B239" s="486"/>
      <c r="C239" s="486"/>
      <c r="D239" s="485"/>
      <c r="E239" s="486"/>
      <c r="F239" s="485"/>
      <c r="G239" s="485"/>
      <c r="H239" s="485"/>
      <c r="I239" s="486"/>
      <c r="J239" s="485"/>
      <c r="K239" s="486"/>
      <c r="L239" s="485"/>
      <c r="M239" s="486"/>
      <c r="N239" s="486"/>
      <c r="O239" s="486"/>
      <c r="P239" s="485"/>
      <c r="Q239" s="486"/>
      <c r="R239" s="485"/>
      <c r="S239" s="486"/>
    </row>
    <row r="240" spans="1:19">
      <c r="A240" s="486"/>
      <c r="B240" s="486"/>
      <c r="C240" s="486"/>
      <c r="D240" s="485"/>
      <c r="E240" s="486"/>
      <c r="F240" s="485"/>
      <c r="G240" s="485"/>
      <c r="H240" s="485"/>
      <c r="I240" s="487"/>
      <c r="J240" s="485"/>
      <c r="K240" s="486"/>
      <c r="L240" s="485"/>
      <c r="M240" s="488" t="s">
        <v>280</v>
      </c>
      <c r="N240" s="488"/>
      <c r="O240" s="488"/>
      <c r="P240" s="488"/>
      <c r="Q240" s="489"/>
      <c r="R240" s="485"/>
      <c r="S240" s="486"/>
    </row>
    <row r="241" spans="1:19">
      <c r="A241" s="486"/>
      <c r="B241" s="486"/>
      <c r="C241" s="486"/>
      <c r="D241" s="485"/>
      <c r="E241" s="486"/>
      <c r="F241" s="485"/>
      <c r="G241"/>
      <c r="H241" s="485"/>
      <c r="I241" s="489"/>
      <c r="J241" s="485"/>
      <c r="K241" s="486"/>
      <c r="L241" s="485"/>
      <c r="M241" s="486"/>
      <c r="N241" s="2180"/>
      <c r="O241"/>
      <c r="P241" s="485"/>
      <c r="Q241" s="489" t="s">
        <v>2541</v>
      </c>
      <c r="R241" s="2179"/>
      <c r="S241" s="486"/>
    </row>
    <row r="242" spans="1:19">
      <c r="A242" s="490"/>
      <c r="B242" s="490"/>
      <c r="C242" s="490"/>
      <c r="D242" s="485"/>
      <c r="E242" s="489" t="s">
        <v>282</v>
      </c>
      <c r="F242" s="485"/>
      <c r="G242" s="489" t="s">
        <v>281</v>
      </c>
      <c r="H242" s="485"/>
      <c r="I242" s="489" t="s">
        <v>284</v>
      </c>
      <c r="J242" s="485"/>
      <c r="K242" s="489" t="s">
        <v>285</v>
      </c>
      <c r="L242" s="491"/>
      <c r="M242" s="492" t="s">
        <v>286</v>
      </c>
      <c r="N242" s="2180"/>
      <c r="O242" s="2180" t="s">
        <v>2542</v>
      </c>
      <c r="P242" s="485"/>
      <c r="Q242" s="489" t="s">
        <v>282</v>
      </c>
      <c r="R242" s="2179"/>
      <c r="S242" s="489" t="s">
        <v>2542</v>
      </c>
    </row>
    <row r="243" spans="1:19">
      <c r="A243" s="490"/>
      <c r="B243" s="490"/>
      <c r="C243" s="490"/>
      <c r="D243" s="485"/>
      <c r="E243" s="489" t="s">
        <v>287</v>
      </c>
      <c r="F243" s="485"/>
      <c r="G243" s="489" t="s">
        <v>283</v>
      </c>
      <c r="H243" s="485"/>
      <c r="I243" s="489" t="s">
        <v>282</v>
      </c>
      <c r="J243" s="485"/>
      <c r="K243" s="489" t="s">
        <v>288</v>
      </c>
      <c r="L243" s="491"/>
      <c r="M243" s="492" t="s">
        <v>2649</v>
      </c>
      <c r="N243" s="2180"/>
      <c r="O243" s="2181" t="s">
        <v>2584</v>
      </c>
      <c r="P243" s="485"/>
      <c r="Q243" s="489" t="s">
        <v>287</v>
      </c>
      <c r="R243" s="2179"/>
      <c r="S243" s="493" t="s">
        <v>2584</v>
      </c>
    </row>
    <row r="244" spans="1:19">
      <c r="A244" s="494"/>
      <c r="B244" s="494"/>
      <c r="C244" s="494"/>
      <c r="D244" s="495"/>
      <c r="E244" s="1971" t="s">
        <v>2593</v>
      </c>
      <c r="F244" s="495"/>
      <c r="G244" s="1971" t="s">
        <v>2650</v>
      </c>
      <c r="H244" s="495"/>
      <c r="I244" s="2182" t="s">
        <v>289</v>
      </c>
      <c r="J244" s="495"/>
      <c r="K244" s="2182" t="s">
        <v>2651</v>
      </c>
      <c r="L244" s="496"/>
      <c r="M244" s="2185" t="s">
        <v>2652</v>
      </c>
      <c r="N244" s="2368"/>
      <c r="O244" s="2183" t="s">
        <v>2543</v>
      </c>
      <c r="P244" s="485"/>
      <c r="Q244" s="1971" t="s">
        <v>2592</v>
      </c>
      <c r="R244" s="2179"/>
      <c r="S244" s="2182" t="s">
        <v>290</v>
      </c>
    </row>
    <row r="245" spans="1:19">
      <c r="A245" s="497"/>
      <c r="B245" s="497"/>
      <c r="C245" s="497"/>
      <c r="D245" s="485"/>
      <c r="E245" s="498"/>
      <c r="F245" s="485"/>
      <c r="G245" s="485"/>
      <c r="H245" s="485"/>
      <c r="I245" s="498"/>
      <c r="J245" s="485"/>
      <c r="K245" s="498"/>
      <c r="L245" s="495"/>
      <c r="M245" s="498"/>
      <c r="N245" s="508"/>
      <c r="O245" s="508"/>
      <c r="P245" s="485"/>
      <c r="Q245" s="498"/>
      <c r="R245" s="2192"/>
      <c r="S245" s="498"/>
    </row>
    <row r="246" spans="1:19">
      <c r="A246" s="499" t="s">
        <v>452</v>
      </c>
      <c r="R246" s="2192"/>
    </row>
    <row r="247" spans="1:19">
      <c r="R247" s="2192"/>
    </row>
    <row r="248" spans="1:19" s="486" customFormat="1" ht="15">
      <c r="B248" s="504" t="s">
        <v>374</v>
      </c>
      <c r="C248" s="504">
        <v>0</v>
      </c>
      <c r="D248" s="485"/>
      <c r="E248" s="534">
        <v>73802191</v>
      </c>
      <c r="F248" s="535"/>
      <c r="G248" s="535">
        <v>108477000</v>
      </c>
      <c r="H248" s="535"/>
      <c r="I248" s="1113">
        <v>50601616</v>
      </c>
      <c r="J248" s="516"/>
      <c r="K248" s="1113">
        <v>2660000</v>
      </c>
      <c r="L248" s="535"/>
      <c r="M248" s="472">
        <v>0</v>
      </c>
      <c r="N248" s="510"/>
      <c r="O248" s="510">
        <v>93156472</v>
      </c>
      <c r="P248" s="535"/>
      <c r="Q248" s="510">
        <f t="shared" ref="Q248:Q254" si="7">ROUND(+SUM(E248)+SUM(G248)-SUM(I248)+SUM(K248) +SUM(M248)-SUM(O248),0)</f>
        <v>41181103</v>
      </c>
      <c r="R248" s="2192"/>
      <c r="S248" s="1113">
        <v>93134894</v>
      </c>
    </row>
    <row r="249" spans="1:19" s="486" customFormat="1" ht="15">
      <c r="B249" s="504" t="s">
        <v>375</v>
      </c>
      <c r="C249" s="504">
        <v>0</v>
      </c>
      <c r="D249" s="485"/>
      <c r="E249" s="534">
        <v>24006262</v>
      </c>
      <c r="F249" s="535"/>
      <c r="G249" s="574">
        <v>22400000</v>
      </c>
      <c r="H249" s="535"/>
      <c r="I249" s="1113">
        <v>22474309</v>
      </c>
      <c r="J249" s="516"/>
      <c r="K249" s="1113">
        <v>1000000</v>
      </c>
      <c r="L249" s="535"/>
      <c r="M249" s="472">
        <v>0</v>
      </c>
      <c r="N249" s="510"/>
      <c r="O249" s="510">
        <v>2106914</v>
      </c>
      <c r="P249" s="535"/>
      <c r="Q249" s="510">
        <f t="shared" si="7"/>
        <v>22825039</v>
      </c>
      <c r="R249" s="2192"/>
      <c r="S249" s="1113">
        <v>2106914</v>
      </c>
    </row>
    <row r="250" spans="1:19" s="486" customFormat="1" ht="15">
      <c r="B250" s="504" t="s">
        <v>454</v>
      </c>
      <c r="C250" s="504">
        <v>0</v>
      </c>
      <c r="D250" s="485"/>
      <c r="E250" s="534">
        <v>645169588</v>
      </c>
      <c r="F250" s="535"/>
      <c r="G250" s="575">
        <v>4932241900</v>
      </c>
      <c r="H250" s="535"/>
      <c r="I250" s="1113">
        <v>125699364</v>
      </c>
      <c r="J250" s="516"/>
      <c r="K250" s="511">
        <v>400000</v>
      </c>
      <c r="L250" s="535"/>
      <c r="M250" s="472">
        <v>0</v>
      </c>
      <c r="N250" s="510"/>
      <c r="O250" s="510">
        <v>4655785839</v>
      </c>
      <c r="P250" s="535"/>
      <c r="Q250" s="510">
        <f t="shared" si="7"/>
        <v>796326285</v>
      </c>
      <c r="R250" s="2192"/>
      <c r="S250" s="1113">
        <v>4655785839</v>
      </c>
    </row>
    <row r="251" spans="1:19" s="486" customFormat="1" ht="15">
      <c r="B251" s="504" t="s">
        <v>2668</v>
      </c>
      <c r="C251" s="504">
        <v>0</v>
      </c>
      <c r="D251" s="495"/>
      <c r="E251" s="509">
        <v>108233230</v>
      </c>
      <c r="F251" s="510"/>
      <c r="G251" s="576">
        <v>240355893</v>
      </c>
      <c r="H251" s="510"/>
      <c r="I251" s="1113">
        <v>7592485</v>
      </c>
      <c r="J251" s="516"/>
      <c r="K251" s="542">
        <v>15863777.51</v>
      </c>
      <c r="L251" s="510"/>
      <c r="M251" s="472">
        <v>0</v>
      </c>
      <c r="N251" s="510"/>
      <c r="O251" s="510">
        <v>254412010</v>
      </c>
      <c r="P251" s="510"/>
      <c r="Q251" s="510">
        <f t="shared" si="7"/>
        <v>102448406</v>
      </c>
      <c r="R251" s="2186"/>
      <c r="S251" s="1113">
        <v>254412011</v>
      </c>
    </row>
    <row r="252" spans="1:19" s="486" customFormat="1" ht="15">
      <c r="B252" s="504" t="s">
        <v>2664</v>
      </c>
      <c r="C252" s="504">
        <v>0</v>
      </c>
      <c r="D252" s="485"/>
      <c r="E252" s="534">
        <v>77833</v>
      </c>
      <c r="F252" s="535"/>
      <c r="G252" s="472">
        <v>0</v>
      </c>
      <c r="H252" s="535"/>
      <c r="I252" s="517">
        <v>0</v>
      </c>
      <c r="J252" s="516"/>
      <c r="K252" s="517">
        <v>0</v>
      </c>
      <c r="L252" s="535"/>
      <c r="M252" s="472">
        <v>0</v>
      </c>
      <c r="N252" s="510"/>
      <c r="O252" s="510">
        <v>0</v>
      </c>
      <c r="P252" s="535"/>
      <c r="Q252" s="510">
        <f t="shared" si="7"/>
        <v>77833</v>
      </c>
      <c r="R252" s="2192"/>
      <c r="S252" s="517">
        <v>0</v>
      </c>
    </row>
    <row r="253" spans="1:19" s="508" customFormat="1" ht="15">
      <c r="B253" s="504" t="s">
        <v>413</v>
      </c>
      <c r="C253" s="504">
        <v>0</v>
      </c>
      <c r="D253" s="515"/>
      <c r="E253" s="509">
        <v>45437580</v>
      </c>
      <c r="F253" s="577"/>
      <c r="G253" s="518">
        <v>43006000</v>
      </c>
      <c r="H253" s="577"/>
      <c r="I253" s="1113">
        <v>1282485</v>
      </c>
      <c r="J253" s="516"/>
      <c r="K253" s="1113">
        <v>-248267.74</v>
      </c>
      <c r="L253" s="577"/>
      <c r="M253" s="472">
        <v>0</v>
      </c>
      <c r="N253" s="510"/>
      <c r="O253" s="510">
        <v>22460139</v>
      </c>
      <c r="P253" s="577"/>
      <c r="Q253" s="510">
        <f t="shared" si="7"/>
        <v>64452688</v>
      </c>
      <c r="R253" s="2196"/>
      <c r="S253" s="1113">
        <v>22460139</v>
      </c>
    </row>
    <row r="254" spans="1:19" s="486" customFormat="1" ht="15">
      <c r="B254" s="504" t="s">
        <v>414</v>
      </c>
      <c r="C254" s="504">
        <v>0</v>
      </c>
      <c r="D254" s="485"/>
      <c r="E254" s="2197">
        <v>11199126</v>
      </c>
      <c r="F254" s="535"/>
      <c r="G254" s="2195">
        <v>187237000</v>
      </c>
      <c r="H254" s="535"/>
      <c r="I254" s="1113">
        <v>2154151</v>
      </c>
      <c r="J254" s="516">
        <f t="shared" ref="J254" si="8">ROUND(I254,0)</f>
        <v>2154151</v>
      </c>
      <c r="K254" s="2198">
        <v>-98676</v>
      </c>
      <c r="L254" s="535"/>
      <c r="M254" s="472">
        <v>0</v>
      </c>
      <c r="N254" s="510"/>
      <c r="O254" s="510">
        <v>183202221</v>
      </c>
      <c r="P254" s="535"/>
      <c r="Q254" s="510">
        <f t="shared" si="7"/>
        <v>12981078</v>
      </c>
      <c r="R254" s="2192"/>
      <c r="S254" s="1113">
        <v>183209427</v>
      </c>
    </row>
    <row r="255" spans="1:19">
      <c r="A255" s="548"/>
      <c r="B255" s="548" t="s">
        <v>455</v>
      </c>
      <c r="C255" s="541">
        <v>0</v>
      </c>
      <c r="D255" s="505"/>
      <c r="E255" s="2369">
        <f>ROUND(SUM(E177:E228,E248:E254), 0)</f>
        <v>27182634368</v>
      </c>
      <c r="F255" s="511"/>
      <c r="G255" s="2369">
        <f>ROUND(SUM(G177:G228,G248:G254), 0)</f>
        <v>45784462956</v>
      </c>
      <c r="H255" s="511"/>
      <c r="I255" s="2369">
        <f>ROUND(SUM(I177:I228,I248:I254), 0)</f>
        <v>13960387371</v>
      </c>
      <c r="J255" s="511"/>
      <c r="K255" s="2369">
        <f>ROUND(SUM(K177:K228,K248:K254), 0)</f>
        <v>186278376</v>
      </c>
      <c r="L255" s="511"/>
      <c r="M255" s="2369">
        <f>ROUND(SUM(M177:M228,M248:M254), 0)</f>
        <v>2818750</v>
      </c>
      <c r="N255" s="551"/>
      <c r="O255" s="2369">
        <f>ROUND(SUM(O177:O228,O248:O254), 0)</f>
        <v>31929166000</v>
      </c>
      <c r="P255" s="511"/>
      <c r="Q255" s="2369">
        <f>ROUND(SUM(Q177:Q228,Q248:Q254), 0)</f>
        <v>27266641079</v>
      </c>
      <c r="R255" s="2193"/>
      <c r="S255" s="2369">
        <f>ROUND(SUM(S177:S228,S248:S254), 0)</f>
        <v>31934394639</v>
      </c>
    </row>
    <row r="256" spans="1:19" s="486" customFormat="1" ht="15">
      <c r="B256" s="504"/>
      <c r="C256" s="504"/>
      <c r="D256" s="485"/>
      <c r="E256" s="534"/>
      <c r="F256" s="535"/>
      <c r="G256" s="575"/>
      <c r="H256" s="535"/>
      <c r="I256" s="236"/>
      <c r="J256" s="535"/>
      <c r="K256" s="578"/>
      <c r="L256" s="535"/>
      <c r="M256" s="517"/>
      <c r="N256" s="510"/>
      <c r="O256" s="517"/>
      <c r="P256" s="535"/>
      <c r="Q256" s="510"/>
      <c r="R256" s="2192"/>
      <c r="S256" s="236"/>
    </row>
    <row r="257" spans="1:19" s="486" customFormat="1">
      <c r="A257" s="499" t="s">
        <v>456</v>
      </c>
      <c r="B257" s="490"/>
      <c r="C257" s="490"/>
      <c r="D257" s="485"/>
      <c r="E257" s="579"/>
      <c r="F257" s="535"/>
      <c r="G257" s="535"/>
      <c r="H257" s="535"/>
      <c r="I257" s="236"/>
      <c r="J257" s="535"/>
      <c r="K257" s="552"/>
      <c r="L257" s="535"/>
      <c r="M257" s="236"/>
      <c r="N257" s="510"/>
      <c r="O257" s="2176"/>
      <c r="P257" s="535"/>
      <c r="Q257" s="580"/>
      <c r="R257" s="2192"/>
      <c r="S257" s="236"/>
    </row>
    <row r="258" spans="1:19" s="486" customFormat="1" ht="15">
      <c r="A258" s="490"/>
      <c r="B258" s="490"/>
      <c r="C258" s="490"/>
      <c r="D258" s="485"/>
      <c r="E258" s="236"/>
      <c r="F258" s="535"/>
      <c r="G258" s="535"/>
      <c r="H258" s="535"/>
      <c r="I258" s="236"/>
      <c r="J258" s="535"/>
      <c r="K258" s="236"/>
      <c r="L258" s="535"/>
      <c r="M258" s="553"/>
      <c r="N258" s="510"/>
      <c r="O258" s="553"/>
      <c r="P258" s="535"/>
      <c r="Q258" s="553"/>
      <c r="R258" s="2192"/>
      <c r="S258" s="553"/>
    </row>
    <row r="259" spans="1:19" s="508" customFormat="1" ht="15">
      <c r="B259" s="504" t="s">
        <v>457</v>
      </c>
      <c r="C259" s="504">
        <v>0</v>
      </c>
      <c r="D259" s="515"/>
      <c r="E259" s="509">
        <v>1487655234</v>
      </c>
      <c r="F259" s="518"/>
      <c r="G259" s="518">
        <v>7578300000</v>
      </c>
      <c r="H259" s="518"/>
      <c r="I259" s="1113">
        <v>1453603296</v>
      </c>
      <c r="J259" s="516"/>
      <c r="K259" s="511">
        <v>0</v>
      </c>
      <c r="L259" s="518"/>
      <c r="M259" s="472">
        <v>0</v>
      </c>
      <c r="N259" s="510"/>
      <c r="O259" s="510">
        <v>5458757657</v>
      </c>
      <c r="P259" s="518"/>
      <c r="Q259" s="510">
        <f>ROUND(+SUM(E259)+SUM(G259)-SUM(I259)+SUM(K259) +SUM(M259)-SUM(O259),0)</f>
        <v>2153594281</v>
      </c>
      <c r="R259" s="2188"/>
      <c r="S259" s="1113">
        <v>5301890411</v>
      </c>
    </row>
    <row r="260" spans="1:19" s="508" customFormat="1" ht="15">
      <c r="A260" s="494"/>
      <c r="B260" s="548" t="s">
        <v>458</v>
      </c>
      <c r="C260" s="504" t="s">
        <v>6</v>
      </c>
      <c r="D260" s="515"/>
      <c r="E260" s="581">
        <f>ROUND(SUM(E259:E259), 0)</f>
        <v>1487655234</v>
      </c>
      <c r="F260" s="518"/>
      <c r="G260" s="581">
        <f>ROUND(SUM(G259:G259), 0)</f>
        <v>7578300000</v>
      </c>
      <c r="H260" s="518"/>
      <c r="I260" s="581">
        <f>ROUND(SUM(I259:I259), 0)</f>
        <v>1453603296</v>
      </c>
      <c r="J260" s="518"/>
      <c r="K260" s="581">
        <f>ROUND(SUM(K259:K259), 0)</f>
        <v>0</v>
      </c>
      <c r="L260" s="518"/>
      <c r="M260" s="581">
        <f>ROUND(SUM(M259:M259), 0)</f>
        <v>0</v>
      </c>
      <c r="N260" s="510"/>
      <c r="O260" s="581">
        <f t="shared" ref="O260" si="9">ROUND(SUM(O259:O259), 0)</f>
        <v>5458757657</v>
      </c>
      <c r="P260" s="518"/>
      <c r="Q260" s="550">
        <f>ROUND(+SUM(E260)+SUM(G260)-SUM(I260)+SUM(K260) +SUM(M260)-SUM(O260),0)</f>
        <v>2153594281</v>
      </c>
      <c r="R260" s="2192"/>
      <c r="S260" s="581">
        <f>ROUND(SUM(S259:S259), 0)</f>
        <v>5301890411</v>
      </c>
    </row>
    <row r="261" spans="1:19" s="486" customFormat="1" ht="15">
      <c r="B261" s="504"/>
      <c r="C261" s="504"/>
      <c r="D261" s="485"/>
      <c r="E261" s="534"/>
      <c r="F261" s="535"/>
      <c r="G261" s="575"/>
      <c r="H261" s="535"/>
      <c r="I261" s="236"/>
      <c r="J261" s="535"/>
      <c r="K261" s="578"/>
      <c r="L261" s="535"/>
      <c r="M261" s="517"/>
      <c r="N261" s="517"/>
      <c r="O261" s="517"/>
      <c r="P261" s="535"/>
      <c r="Q261" s="510"/>
      <c r="R261" s="2192"/>
      <c r="S261" s="236"/>
    </row>
    <row r="262" spans="1:19" s="486" customFormat="1">
      <c r="A262" s="499" t="s">
        <v>459</v>
      </c>
      <c r="B262" s="490"/>
      <c r="C262" s="490"/>
      <c r="D262" s="485"/>
      <c r="E262" s="236"/>
      <c r="F262" s="535"/>
      <c r="G262" s="535"/>
      <c r="H262" s="535"/>
      <c r="I262" s="236"/>
      <c r="J262" s="535"/>
      <c r="K262" s="236"/>
      <c r="L262" s="535"/>
      <c r="M262" s="236"/>
      <c r="N262" s="2176"/>
      <c r="O262" s="2176"/>
      <c r="P262" s="535"/>
      <c r="Q262" s="236"/>
      <c r="R262" s="2192"/>
      <c r="S262" s="236"/>
    </row>
    <row r="263" spans="1:19" s="486" customFormat="1" ht="15">
      <c r="A263" s="490"/>
      <c r="B263" s="490"/>
      <c r="C263" s="490"/>
      <c r="D263" s="485"/>
      <c r="E263" s="236"/>
      <c r="F263" s="535"/>
      <c r="G263" s="535"/>
      <c r="H263" s="535"/>
      <c r="I263" s="236"/>
      <c r="J263" s="535"/>
      <c r="K263" s="236"/>
      <c r="L263" s="535"/>
      <c r="M263" s="553"/>
      <c r="N263" s="553"/>
      <c r="O263" s="553"/>
      <c r="P263" s="535"/>
      <c r="Q263" s="553"/>
      <c r="R263" s="2192"/>
      <c r="S263" s="553"/>
    </row>
    <row r="264" spans="1:19" s="525" customFormat="1" ht="15">
      <c r="A264" s="530"/>
      <c r="B264" s="504" t="s">
        <v>460</v>
      </c>
      <c r="C264" s="504">
        <v>0</v>
      </c>
      <c r="D264" s="531"/>
      <c r="E264" s="510">
        <v>733693409</v>
      </c>
      <c r="F264" s="523"/>
      <c r="G264" s="524">
        <v>180000000</v>
      </c>
      <c r="H264" s="523"/>
      <c r="I264" s="511">
        <v>829414</v>
      </c>
      <c r="J264" s="516"/>
      <c r="K264" s="1113">
        <v>-91881.3</v>
      </c>
      <c r="L264" s="523"/>
      <c r="M264" s="472">
        <v>0</v>
      </c>
      <c r="N264" s="510"/>
      <c r="O264" s="510">
        <v>160116174</v>
      </c>
      <c r="P264" s="520"/>
      <c r="Q264" s="510">
        <f t="shared" ref="Q264:Q273" si="10">ROUND(+SUM(E264)+SUM(G264)-SUM(I264)+SUM(K264) +SUM(M264)-SUM(O264),0)</f>
        <v>752655940</v>
      </c>
      <c r="R264" s="2191"/>
      <c r="S264" s="1113">
        <v>160116174</v>
      </c>
    </row>
    <row r="265" spans="1:19" s="525" customFormat="1" ht="15">
      <c r="A265" s="530"/>
      <c r="B265" s="504" t="s">
        <v>461</v>
      </c>
      <c r="C265" s="504">
        <v>0</v>
      </c>
      <c r="D265" s="531"/>
      <c r="E265" s="510">
        <v>1348797</v>
      </c>
      <c r="F265" s="523"/>
      <c r="G265" s="472">
        <v>0</v>
      </c>
      <c r="H265" s="523"/>
      <c r="I265" s="578">
        <v>0</v>
      </c>
      <c r="J265" s="516"/>
      <c r="K265" s="578">
        <v>0</v>
      </c>
      <c r="L265" s="523"/>
      <c r="M265" s="472">
        <v>0</v>
      </c>
      <c r="N265" s="510"/>
      <c r="O265" s="510">
        <v>0</v>
      </c>
      <c r="P265" s="520"/>
      <c r="Q265" s="510">
        <f t="shared" si="10"/>
        <v>1348797</v>
      </c>
      <c r="R265" s="2191"/>
      <c r="S265" s="517">
        <v>0</v>
      </c>
    </row>
    <row r="266" spans="1:19" s="508" customFormat="1" ht="15">
      <c r="B266" s="504" t="s">
        <v>462</v>
      </c>
      <c r="C266" s="504">
        <v>0</v>
      </c>
      <c r="D266" s="495"/>
      <c r="E266" s="510">
        <v>132240554</v>
      </c>
      <c r="F266" s="510"/>
      <c r="G266" s="510">
        <v>70000000</v>
      </c>
      <c r="H266" s="510"/>
      <c r="I266" s="578">
        <v>0</v>
      </c>
      <c r="J266" s="516"/>
      <c r="K266" s="578">
        <v>0</v>
      </c>
      <c r="L266" s="510"/>
      <c r="M266" s="472">
        <v>0</v>
      </c>
      <c r="N266" s="510"/>
      <c r="O266" s="510">
        <v>46009570</v>
      </c>
      <c r="P266" s="510"/>
      <c r="Q266" s="510">
        <f t="shared" si="10"/>
        <v>156230984</v>
      </c>
      <c r="R266" s="2186"/>
      <c r="S266" s="1113">
        <v>46009569</v>
      </c>
    </row>
    <row r="267" spans="1:19" s="508" customFormat="1" ht="15">
      <c r="B267" s="504" t="s">
        <v>435</v>
      </c>
      <c r="C267" s="504">
        <v>0</v>
      </c>
      <c r="D267" s="495"/>
      <c r="E267" s="510">
        <v>147568250</v>
      </c>
      <c r="F267" s="510"/>
      <c r="G267" s="510">
        <v>0</v>
      </c>
      <c r="H267" s="510"/>
      <c r="I267" s="1113">
        <v>0</v>
      </c>
      <c r="J267" s="516"/>
      <c r="K267" s="1113">
        <v>52169800</v>
      </c>
      <c r="L267" s="510"/>
      <c r="M267" s="472">
        <v>0</v>
      </c>
      <c r="N267" s="510"/>
      <c r="O267" s="510">
        <v>0</v>
      </c>
      <c r="P267" s="510"/>
      <c r="Q267" s="510">
        <f t="shared" si="10"/>
        <v>199738050</v>
      </c>
      <c r="R267" s="2186"/>
      <c r="S267" s="516">
        <v>0</v>
      </c>
    </row>
    <row r="268" spans="1:19" s="508" customFormat="1" ht="15">
      <c r="B268" s="504" t="s">
        <v>399</v>
      </c>
      <c r="C268" s="504">
        <v>0</v>
      </c>
      <c r="D268" s="495"/>
      <c r="E268" s="510">
        <v>10100498</v>
      </c>
      <c r="F268" s="510"/>
      <c r="G268" s="472">
        <v>0</v>
      </c>
      <c r="H268" s="510"/>
      <c r="I268" s="578">
        <v>0</v>
      </c>
      <c r="J268" s="516"/>
      <c r="K268" s="578">
        <v>0</v>
      </c>
      <c r="L268" s="510"/>
      <c r="M268" s="472">
        <v>0</v>
      </c>
      <c r="N268" s="510"/>
      <c r="O268" s="510">
        <v>0</v>
      </c>
      <c r="P268" s="510"/>
      <c r="Q268" s="510">
        <f t="shared" si="10"/>
        <v>10100498</v>
      </c>
      <c r="R268" s="2186"/>
      <c r="S268" s="516">
        <v>0</v>
      </c>
    </row>
    <row r="269" spans="1:19" s="486" customFormat="1" ht="15">
      <c r="B269" s="504" t="s">
        <v>445</v>
      </c>
      <c r="C269" s="504">
        <v>0</v>
      </c>
      <c r="D269" s="485"/>
      <c r="E269" s="510">
        <v>158431851</v>
      </c>
      <c r="F269" s="535"/>
      <c r="G269" s="535">
        <v>26000000</v>
      </c>
      <c r="H269" s="535"/>
      <c r="I269" s="1113">
        <v>91</v>
      </c>
      <c r="J269" s="516"/>
      <c r="K269" s="578">
        <v>0</v>
      </c>
      <c r="L269" s="535"/>
      <c r="M269" s="472">
        <v>0</v>
      </c>
      <c r="N269" s="510"/>
      <c r="O269" s="510">
        <v>21108794</v>
      </c>
      <c r="P269" s="535"/>
      <c r="Q269" s="510">
        <f t="shared" si="10"/>
        <v>163322966</v>
      </c>
      <c r="R269" s="2192"/>
      <c r="S269" s="1113">
        <v>21108794</v>
      </c>
    </row>
    <row r="270" spans="1:19" s="508" customFormat="1" ht="15">
      <c r="B270" s="504" t="s">
        <v>407</v>
      </c>
      <c r="C270" s="504">
        <v>0</v>
      </c>
      <c r="D270" s="515"/>
      <c r="E270" s="510">
        <v>100000000</v>
      </c>
      <c r="F270" s="518"/>
      <c r="G270" s="472">
        <v>0</v>
      </c>
      <c r="H270" s="518"/>
      <c r="I270" s="578">
        <v>0</v>
      </c>
      <c r="J270" s="516"/>
      <c r="K270" s="578">
        <v>0</v>
      </c>
      <c r="L270" s="518"/>
      <c r="M270" s="472">
        <v>0</v>
      </c>
      <c r="N270" s="510"/>
      <c r="O270" s="510">
        <v>0</v>
      </c>
      <c r="P270" s="518"/>
      <c r="Q270" s="510">
        <f t="shared" si="10"/>
        <v>100000000</v>
      </c>
      <c r="R270" s="2188"/>
      <c r="S270" s="517">
        <v>0</v>
      </c>
    </row>
    <row r="271" spans="1:19">
      <c r="A271" s="499"/>
      <c r="B271" s="2298" t="s">
        <v>363</v>
      </c>
      <c r="C271" s="538">
        <v>0</v>
      </c>
      <c r="E271" s="510">
        <v>22211425</v>
      </c>
      <c r="F271" s="540"/>
      <c r="G271" s="535">
        <v>4000000</v>
      </c>
      <c r="H271" s="540"/>
      <c r="I271" s="578">
        <v>1625181</v>
      </c>
      <c r="J271" s="516"/>
      <c r="K271" s="1113">
        <v>91881.3</v>
      </c>
      <c r="L271" s="540"/>
      <c r="M271" s="472">
        <v>0</v>
      </c>
      <c r="N271" s="510"/>
      <c r="O271" s="510">
        <v>6216549</v>
      </c>
      <c r="P271" s="540"/>
      <c r="Q271" s="510">
        <f t="shared" si="10"/>
        <v>18461576</v>
      </c>
      <c r="R271" s="2194"/>
      <c r="S271" s="1113">
        <v>6216549</v>
      </c>
    </row>
    <row r="272" spans="1:19" s="486" customFormat="1" ht="15">
      <c r="B272" s="504" t="s">
        <v>463</v>
      </c>
      <c r="C272" s="504">
        <v>0</v>
      </c>
      <c r="D272" s="485"/>
      <c r="E272" s="510">
        <v>1</v>
      </c>
      <c r="F272" s="535"/>
      <c r="G272" s="472">
        <v>0</v>
      </c>
      <c r="H272" s="535"/>
      <c r="I272" s="578">
        <v>0</v>
      </c>
      <c r="J272" s="516"/>
      <c r="K272" s="578">
        <v>0</v>
      </c>
      <c r="L272" s="535"/>
      <c r="M272" s="472">
        <v>0</v>
      </c>
      <c r="N272" s="510"/>
      <c r="O272" s="510">
        <v>0</v>
      </c>
      <c r="P272" s="535"/>
      <c r="Q272" s="510">
        <f t="shared" si="10"/>
        <v>1</v>
      </c>
      <c r="R272" s="2192"/>
      <c r="S272" s="578">
        <v>0</v>
      </c>
    </row>
    <row r="273" spans="1:19" s="486" customFormat="1" ht="15">
      <c r="B273" s="504" t="s">
        <v>464</v>
      </c>
      <c r="C273" s="504">
        <v>0</v>
      </c>
      <c r="D273" s="485"/>
      <c r="E273" s="510">
        <v>6854364439</v>
      </c>
      <c r="F273" s="535"/>
      <c r="G273" s="510">
        <v>2006000000</v>
      </c>
      <c r="H273" s="535"/>
      <c r="I273" s="578">
        <v>0</v>
      </c>
      <c r="J273" s="516"/>
      <c r="K273" s="1113">
        <v>89357590</v>
      </c>
      <c r="L273" s="535"/>
      <c r="M273" s="509">
        <v>0</v>
      </c>
      <c r="N273" s="510"/>
      <c r="O273" s="510">
        <v>2080424270</v>
      </c>
      <c r="P273" s="535"/>
      <c r="Q273" s="510">
        <f t="shared" si="10"/>
        <v>6869297759</v>
      </c>
      <c r="R273" s="2192"/>
      <c r="S273" s="1113">
        <v>2080424407</v>
      </c>
    </row>
    <row r="274" spans="1:19">
      <c r="B274" s="548" t="s">
        <v>465</v>
      </c>
      <c r="C274" s="504" t="s">
        <v>6</v>
      </c>
      <c r="D274" s="495"/>
      <c r="E274" s="549">
        <f>ROUND(SUM(E264:E273),0)</f>
        <v>8159959224</v>
      </c>
      <c r="F274" s="511"/>
      <c r="G274" s="549">
        <f>ROUND(SUM(G264:G273), 0)</f>
        <v>2286000000</v>
      </c>
      <c r="H274" s="511"/>
      <c r="I274" s="549">
        <f>ROUND(SUM(I264:I273), 0)</f>
        <v>2454686</v>
      </c>
      <c r="J274" s="511"/>
      <c r="K274" s="549">
        <f>ROUND(SUM(K264:K273), 0)</f>
        <v>141527390</v>
      </c>
      <c r="L274" s="511"/>
      <c r="M274" s="549">
        <f>ROUND(SUM(M264:M273), 0)</f>
        <v>0</v>
      </c>
      <c r="N274" s="510"/>
      <c r="O274" s="549">
        <f>ROUND(SUM(O264:O273), 0)</f>
        <v>2313875357</v>
      </c>
      <c r="P274" s="511"/>
      <c r="Q274" s="550">
        <f>ROUND(+SUM(E274)+SUM(G274)-SUM(I274)+SUM(K274) +SUM(M274)-SUM(O274),0)</f>
        <v>8271156571</v>
      </c>
      <c r="R274" s="2192"/>
      <c r="S274" s="549">
        <f>ROUND(SUM(S264:S273), 0)</f>
        <v>2313875493</v>
      </c>
    </row>
    <row r="275" spans="1:19" s="486" customFormat="1" ht="15">
      <c r="B275" s="504"/>
      <c r="C275" s="504"/>
      <c r="D275" s="485"/>
      <c r="E275" s="534"/>
      <c r="F275" s="535"/>
      <c r="G275" s="575"/>
      <c r="H275" s="535"/>
      <c r="I275" s="236"/>
      <c r="J275" s="535"/>
      <c r="K275" s="578"/>
      <c r="L275" s="535"/>
      <c r="M275" s="517"/>
      <c r="N275" s="517"/>
      <c r="O275" s="517"/>
      <c r="P275" s="535"/>
      <c r="Q275" s="510"/>
      <c r="R275" s="2192"/>
      <c r="S275" s="236"/>
    </row>
    <row r="276" spans="1:19" s="486" customFormat="1">
      <c r="A276" s="499" t="s">
        <v>466</v>
      </c>
      <c r="B276" s="490"/>
      <c r="C276" s="490"/>
      <c r="D276" s="485"/>
      <c r="E276" s="236"/>
      <c r="F276" s="535"/>
      <c r="G276" s="535"/>
      <c r="H276" s="535"/>
      <c r="I276" s="236"/>
      <c r="J276" s="535"/>
      <c r="K276" s="236"/>
      <c r="L276" s="535"/>
      <c r="M276" s="236"/>
      <c r="N276" s="2176"/>
      <c r="O276" s="2176"/>
      <c r="P276" s="535"/>
      <c r="Q276" s="236"/>
      <c r="R276" s="2192"/>
      <c r="S276" s="236"/>
    </row>
    <row r="277" spans="1:19" s="486" customFormat="1" ht="15">
      <c r="A277" s="490"/>
      <c r="B277" s="490"/>
      <c r="C277" s="490"/>
      <c r="D277" s="485"/>
      <c r="E277" s="236"/>
      <c r="F277" s="535"/>
      <c r="G277" s="535"/>
      <c r="H277" s="535"/>
      <c r="I277" s="236"/>
      <c r="J277" s="535"/>
      <c r="K277" s="236"/>
      <c r="L277" s="535"/>
      <c r="M277" s="553"/>
      <c r="N277" s="553"/>
      <c r="O277" s="553"/>
      <c r="P277" s="535"/>
      <c r="Q277" s="553"/>
      <c r="R277" s="2192"/>
      <c r="S277" s="553"/>
    </row>
    <row r="278" spans="1:19" s="508" customFormat="1" ht="15">
      <c r="A278" s="503"/>
      <c r="B278" s="504" t="s">
        <v>467</v>
      </c>
      <c r="C278" s="504">
        <v>0</v>
      </c>
      <c r="D278" s="505"/>
      <c r="E278" s="509">
        <v>319813</v>
      </c>
      <c r="F278" s="511"/>
      <c r="G278" s="472">
        <v>0</v>
      </c>
      <c r="H278" s="511"/>
      <c r="I278" s="517">
        <v>0</v>
      </c>
      <c r="J278" s="510"/>
      <c r="K278" s="517">
        <v>250000</v>
      </c>
      <c r="L278" s="510"/>
      <c r="M278" s="472">
        <v>0</v>
      </c>
      <c r="N278" s="510"/>
      <c r="O278" s="510">
        <v>308465</v>
      </c>
      <c r="P278" s="510"/>
      <c r="Q278" s="510">
        <f t="shared" ref="Q278:Q279" si="11">ROUND(+SUM(E278)+SUM(G278)-SUM(I278)+SUM(K278) +SUM(M278)-SUM(O278),0)</f>
        <v>261348</v>
      </c>
      <c r="R278" s="2186"/>
      <c r="S278" s="1113">
        <v>308465</v>
      </c>
    </row>
    <row r="279" spans="1:19" s="508" customFormat="1" ht="15">
      <c r="A279" s="497"/>
      <c r="B279" s="504" t="s">
        <v>384</v>
      </c>
      <c r="C279" s="504">
        <v>0</v>
      </c>
      <c r="D279" s="513"/>
      <c r="E279" s="509">
        <v>99602224</v>
      </c>
      <c r="F279" s="514"/>
      <c r="G279" s="474">
        <v>5500000</v>
      </c>
      <c r="H279" s="514"/>
      <c r="I279" s="542">
        <v>0</v>
      </c>
      <c r="J279" s="512"/>
      <c r="K279" s="542">
        <v>74425000</v>
      </c>
      <c r="L279" s="512"/>
      <c r="M279" s="472">
        <v>0</v>
      </c>
      <c r="N279" s="510"/>
      <c r="O279" s="510">
        <v>36434788</v>
      </c>
      <c r="P279" s="512"/>
      <c r="Q279" s="510">
        <f t="shared" si="11"/>
        <v>143092436</v>
      </c>
      <c r="R279" s="2186"/>
      <c r="S279" s="542">
        <v>36434788</v>
      </c>
    </row>
    <row r="280" spans="1:19" s="508" customFormat="1" ht="15">
      <c r="A280" s="497"/>
      <c r="B280" s="504" t="s">
        <v>420</v>
      </c>
      <c r="C280" s="504">
        <v>0</v>
      </c>
      <c r="D280" s="515"/>
      <c r="E280" s="509">
        <v>507330122</v>
      </c>
      <c r="F280" s="510"/>
      <c r="G280" s="582">
        <v>9500000</v>
      </c>
      <c r="H280" s="510"/>
      <c r="I280" s="1113">
        <v>0</v>
      </c>
      <c r="J280" s="516"/>
      <c r="K280" s="517">
        <v>0</v>
      </c>
      <c r="L280" s="510"/>
      <c r="M280" s="472">
        <v>0</v>
      </c>
      <c r="N280" s="510"/>
      <c r="O280" s="510">
        <v>45857516</v>
      </c>
      <c r="P280" s="510"/>
      <c r="Q280" s="510">
        <f t="shared" ref="Q280:Q299" si="12">ROUND(+SUM(E280)+SUM(G280)-SUM(I280)+SUM(K280) +SUM(M280)-SUM(O280),0)</f>
        <v>470972606</v>
      </c>
      <c r="R280" s="2186"/>
      <c r="S280" s="1113">
        <v>45857516</v>
      </c>
    </row>
    <row r="281" spans="1:19" s="508" customFormat="1" ht="15">
      <c r="A281" s="494"/>
      <c r="B281" s="504" t="s">
        <v>423</v>
      </c>
      <c r="C281" s="504">
        <v>0</v>
      </c>
      <c r="D281" s="495"/>
      <c r="E281" s="509">
        <v>214484721</v>
      </c>
      <c r="F281" s="510"/>
      <c r="G281" s="582">
        <v>147675000</v>
      </c>
      <c r="H281" s="510"/>
      <c r="I281" s="474">
        <v>0</v>
      </c>
      <c r="J281" s="516"/>
      <c r="K281" s="517">
        <v>0</v>
      </c>
      <c r="L281" s="510"/>
      <c r="M281" s="472">
        <v>0</v>
      </c>
      <c r="N281" s="510"/>
      <c r="O281" s="510">
        <v>21185258</v>
      </c>
      <c r="P281" s="510"/>
      <c r="Q281" s="510">
        <f t="shared" si="12"/>
        <v>340974463</v>
      </c>
      <c r="R281" s="2186"/>
      <c r="S281" s="1113">
        <v>21185258</v>
      </c>
    </row>
    <row r="282" spans="1:19" s="508" customFormat="1" ht="15">
      <c r="A282" s="494"/>
      <c r="B282" s="504" t="s">
        <v>2669</v>
      </c>
      <c r="C282" s="504">
        <v>0</v>
      </c>
      <c r="D282" s="495"/>
      <c r="E282" s="509">
        <v>5664133459</v>
      </c>
      <c r="F282" s="510"/>
      <c r="G282" s="582">
        <v>160908000</v>
      </c>
      <c r="H282" s="510"/>
      <c r="I282" s="1113">
        <v>7766742</v>
      </c>
      <c r="J282" s="516"/>
      <c r="K282" s="1113">
        <v>14850000</v>
      </c>
      <c r="L282" s="510"/>
      <c r="M282" s="472">
        <v>0</v>
      </c>
      <c r="N282" s="510"/>
      <c r="O282" s="510">
        <v>36341552</v>
      </c>
      <c r="P282" s="510"/>
      <c r="Q282" s="510">
        <f t="shared" si="12"/>
        <v>5795783165</v>
      </c>
      <c r="R282" s="2186"/>
      <c r="S282" s="1113">
        <v>36352210</v>
      </c>
    </row>
    <row r="283" spans="1:19" s="508" customFormat="1" ht="15">
      <c r="B283" s="504" t="s">
        <v>323</v>
      </c>
      <c r="C283" s="504">
        <v>0</v>
      </c>
      <c r="D283" s="515"/>
      <c r="E283" s="509">
        <v>358906</v>
      </c>
      <c r="F283" s="518"/>
      <c r="G283" s="472">
        <v>0</v>
      </c>
      <c r="H283" s="518"/>
      <c r="I283" s="517">
        <v>0</v>
      </c>
      <c r="J283" s="516"/>
      <c r="K283" s="517">
        <v>0</v>
      </c>
      <c r="L283" s="518"/>
      <c r="M283" s="472">
        <v>0</v>
      </c>
      <c r="N283" s="510"/>
      <c r="O283" s="510">
        <v>358906</v>
      </c>
      <c r="P283" s="518"/>
      <c r="Q283" s="510">
        <f t="shared" si="12"/>
        <v>0</v>
      </c>
      <c r="R283" s="2188"/>
      <c r="S283" s="517">
        <v>358906</v>
      </c>
    </row>
    <row r="284" spans="1:19" s="508" customFormat="1" ht="15">
      <c r="B284" s="504" t="s">
        <v>468</v>
      </c>
      <c r="C284" s="504">
        <v>0</v>
      </c>
      <c r="D284" s="515"/>
      <c r="E284" s="511">
        <v>2174977</v>
      </c>
      <c r="F284" s="518"/>
      <c r="G284" s="578">
        <v>0</v>
      </c>
      <c r="H284" s="518"/>
      <c r="I284" s="517">
        <v>0</v>
      </c>
      <c r="J284" s="516"/>
      <c r="K284" s="1113">
        <v>0</v>
      </c>
      <c r="L284" s="518"/>
      <c r="M284" s="472">
        <v>0</v>
      </c>
      <c r="N284" s="510"/>
      <c r="O284" s="510">
        <v>978049</v>
      </c>
      <c r="P284" s="518"/>
      <c r="Q284" s="510">
        <f t="shared" si="12"/>
        <v>1196928</v>
      </c>
      <c r="R284" s="2188"/>
      <c r="S284" s="1113">
        <v>978049</v>
      </c>
    </row>
    <row r="285" spans="1:19" s="508" customFormat="1" ht="15">
      <c r="A285" s="497"/>
      <c r="B285" s="504" t="s">
        <v>326</v>
      </c>
      <c r="C285" s="504">
        <v>0</v>
      </c>
      <c r="D285" s="515"/>
      <c r="E285" s="509">
        <v>645413274</v>
      </c>
      <c r="F285" s="510"/>
      <c r="G285" s="474">
        <v>15000000</v>
      </c>
      <c r="H285" s="510"/>
      <c r="I285" s="474">
        <v>0</v>
      </c>
      <c r="J285" s="516"/>
      <c r="K285" s="1113">
        <v>12700000</v>
      </c>
      <c r="L285" s="510"/>
      <c r="M285" s="472">
        <v>0</v>
      </c>
      <c r="N285" s="510"/>
      <c r="O285" s="510">
        <v>271820601</v>
      </c>
      <c r="P285" s="510"/>
      <c r="Q285" s="510">
        <f t="shared" si="12"/>
        <v>401292673</v>
      </c>
      <c r="R285" s="2186"/>
      <c r="S285" s="1113">
        <v>271843960</v>
      </c>
    </row>
    <row r="286" spans="1:19" s="508" customFormat="1" ht="15">
      <c r="A286" s="497"/>
      <c r="B286" s="504" t="s">
        <v>469</v>
      </c>
      <c r="C286" s="504">
        <v>0</v>
      </c>
      <c r="D286" s="515"/>
      <c r="E286" s="517">
        <v>93042</v>
      </c>
      <c r="F286" s="510"/>
      <c r="G286" s="517">
        <v>0</v>
      </c>
      <c r="H286" s="510"/>
      <c r="I286" s="517">
        <v>0</v>
      </c>
      <c r="J286" s="516"/>
      <c r="K286" s="511">
        <v>0</v>
      </c>
      <c r="L286" s="510"/>
      <c r="M286" s="472">
        <v>0</v>
      </c>
      <c r="N286" s="510"/>
      <c r="O286" s="510">
        <v>0</v>
      </c>
      <c r="P286" s="510"/>
      <c r="Q286" s="510">
        <f t="shared" si="12"/>
        <v>93042</v>
      </c>
      <c r="R286" s="2186"/>
      <c r="S286" s="510">
        <v>0</v>
      </c>
    </row>
    <row r="287" spans="1:19" s="525" customFormat="1" ht="15">
      <c r="A287" s="521"/>
      <c r="B287" s="504" t="s">
        <v>470</v>
      </c>
      <c r="C287" s="504">
        <v>0</v>
      </c>
      <c r="D287" s="522"/>
      <c r="E287" s="509">
        <v>10421907</v>
      </c>
      <c r="F287" s="523"/>
      <c r="G287" s="472">
        <v>0</v>
      </c>
      <c r="H287" s="523"/>
      <c r="I287" s="542">
        <v>0</v>
      </c>
      <c r="J287" s="516"/>
      <c r="K287" s="517">
        <v>0</v>
      </c>
      <c r="L287" s="523"/>
      <c r="M287" s="472">
        <v>0</v>
      </c>
      <c r="N287" s="510"/>
      <c r="O287" s="510">
        <v>793995</v>
      </c>
      <c r="P287" s="523"/>
      <c r="Q287" s="510">
        <f t="shared" si="12"/>
        <v>9627912</v>
      </c>
      <c r="R287" s="2189"/>
      <c r="S287" s="1113">
        <v>793995</v>
      </c>
    </row>
    <row r="288" spans="1:19" s="525" customFormat="1" ht="15">
      <c r="A288" s="521"/>
      <c r="B288" s="504" t="s">
        <v>471</v>
      </c>
      <c r="C288" s="504">
        <v>0</v>
      </c>
      <c r="D288" s="522"/>
      <c r="E288" s="509">
        <v>2130254190</v>
      </c>
      <c r="F288" s="523"/>
      <c r="G288" s="474">
        <v>17400000</v>
      </c>
      <c r="H288" s="523"/>
      <c r="I288" s="1113">
        <v>0</v>
      </c>
      <c r="J288" s="516"/>
      <c r="K288" s="517">
        <v>-800000</v>
      </c>
      <c r="L288" s="523"/>
      <c r="M288" s="472">
        <v>0</v>
      </c>
      <c r="N288" s="510"/>
      <c r="O288" s="510">
        <v>20423185</v>
      </c>
      <c r="P288" s="523"/>
      <c r="Q288" s="510">
        <f t="shared" si="12"/>
        <v>2126431005</v>
      </c>
      <c r="R288" s="2189"/>
      <c r="S288" s="1113">
        <v>20423185</v>
      </c>
    </row>
    <row r="289" spans="1:19" s="525" customFormat="1" ht="15">
      <c r="A289" s="530"/>
      <c r="B289" s="504" t="s">
        <v>472</v>
      </c>
      <c r="C289" s="504">
        <v>0</v>
      </c>
      <c r="D289" s="531"/>
      <c r="E289" s="583">
        <v>1298453091</v>
      </c>
      <c r="F289" s="523"/>
      <c r="G289" s="524">
        <v>591900000</v>
      </c>
      <c r="H289" s="523"/>
      <c r="I289" s="542">
        <v>24000000</v>
      </c>
      <c r="J289" s="516"/>
      <c r="K289" s="1113">
        <v>-62497074</v>
      </c>
      <c r="L289" s="523"/>
      <c r="M289" s="472">
        <v>0</v>
      </c>
      <c r="N289" s="510"/>
      <c r="O289" s="510">
        <v>271082089</v>
      </c>
      <c r="P289" s="520"/>
      <c r="Q289" s="510">
        <f t="shared" si="12"/>
        <v>1532773928</v>
      </c>
      <c r="R289" s="2191"/>
      <c r="S289" s="1113">
        <v>271082089</v>
      </c>
    </row>
    <row r="290" spans="1:19" s="525" customFormat="1" ht="15">
      <c r="A290" s="530"/>
      <c r="B290" s="504" t="s">
        <v>473</v>
      </c>
      <c r="C290" s="504">
        <v>0</v>
      </c>
      <c r="D290" s="531"/>
      <c r="E290" s="583">
        <v>389367579</v>
      </c>
      <c r="F290" s="523"/>
      <c r="G290" s="582">
        <v>242000000</v>
      </c>
      <c r="H290" s="523"/>
      <c r="I290" s="1113">
        <v>143343</v>
      </c>
      <c r="J290" s="516"/>
      <c r="K290" s="1113">
        <v>12000000</v>
      </c>
      <c r="L290" s="523"/>
      <c r="M290" s="472">
        <v>0</v>
      </c>
      <c r="N290" s="510"/>
      <c r="O290" s="510">
        <v>116247957</v>
      </c>
      <c r="P290" s="520"/>
      <c r="Q290" s="510">
        <f t="shared" si="12"/>
        <v>526976279</v>
      </c>
      <c r="R290" s="2191"/>
      <c r="S290" s="1113">
        <v>116247957</v>
      </c>
    </row>
    <row r="291" spans="1:19" s="525" customFormat="1" ht="15">
      <c r="A291" s="530"/>
      <c r="B291" s="504" t="s">
        <v>338</v>
      </c>
      <c r="C291" s="504">
        <v>0</v>
      </c>
      <c r="D291" s="531"/>
      <c r="E291" s="510">
        <v>0</v>
      </c>
      <c r="F291" s="523"/>
      <c r="G291" s="524">
        <v>0</v>
      </c>
      <c r="H291" s="523"/>
      <c r="I291" s="527">
        <v>0</v>
      </c>
      <c r="J291" s="516"/>
      <c r="K291" s="517">
        <v>100000</v>
      </c>
      <c r="L291" s="523"/>
      <c r="M291" s="472">
        <v>0</v>
      </c>
      <c r="N291" s="510"/>
      <c r="O291" s="510">
        <v>100000</v>
      </c>
      <c r="P291" s="520"/>
      <c r="Q291" s="510">
        <f t="shared" si="12"/>
        <v>0</v>
      </c>
      <c r="R291" s="2191"/>
      <c r="S291" s="1113">
        <v>100000</v>
      </c>
    </row>
    <row r="292" spans="1:19" s="508" customFormat="1" ht="15">
      <c r="B292" s="504" t="s">
        <v>462</v>
      </c>
      <c r="C292" s="504">
        <v>0</v>
      </c>
      <c r="D292" s="495"/>
      <c r="E292" s="509">
        <v>1332314841</v>
      </c>
      <c r="F292" s="510"/>
      <c r="G292" s="510">
        <v>1080600000</v>
      </c>
      <c r="H292" s="510"/>
      <c r="I292" s="1113">
        <v>45628329</v>
      </c>
      <c r="J292" s="516"/>
      <c r="K292" s="1113">
        <v>15990000</v>
      </c>
      <c r="L292" s="510"/>
      <c r="M292" s="472">
        <v>0</v>
      </c>
      <c r="N292" s="510"/>
      <c r="O292" s="510">
        <v>82024699</v>
      </c>
      <c r="P292" s="510"/>
      <c r="Q292" s="510">
        <f t="shared" si="12"/>
        <v>2301251813</v>
      </c>
      <c r="R292" s="2186"/>
      <c r="S292" s="1113">
        <v>82701856</v>
      </c>
    </row>
    <row r="293" spans="1:19" s="508" customFormat="1" ht="15">
      <c r="B293" s="504" t="s">
        <v>398</v>
      </c>
      <c r="C293" s="504">
        <v>0</v>
      </c>
      <c r="D293" s="495"/>
      <c r="E293" s="584">
        <v>400547645</v>
      </c>
      <c r="F293" s="510"/>
      <c r="G293" s="509">
        <v>15000000</v>
      </c>
      <c r="H293" s="510"/>
      <c r="I293" s="1113">
        <v>0</v>
      </c>
      <c r="J293" s="516"/>
      <c r="K293" s="1113">
        <v>171250000</v>
      </c>
      <c r="L293" s="510"/>
      <c r="M293" s="472">
        <v>0</v>
      </c>
      <c r="N293" s="510"/>
      <c r="O293" s="510">
        <v>105251515</v>
      </c>
      <c r="P293" s="510"/>
      <c r="Q293" s="510">
        <f t="shared" si="12"/>
        <v>481546130</v>
      </c>
      <c r="R293" s="2186"/>
      <c r="S293" s="1113">
        <v>105251515</v>
      </c>
    </row>
    <row r="294" spans="1:19" s="508" customFormat="1" ht="15">
      <c r="B294" s="504" t="s">
        <v>399</v>
      </c>
      <c r="C294" s="504">
        <v>0</v>
      </c>
      <c r="D294" s="505"/>
      <c r="E294" s="509">
        <v>353517020</v>
      </c>
      <c r="F294" s="511"/>
      <c r="G294" s="582">
        <v>91200000</v>
      </c>
      <c r="H294" s="511"/>
      <c r="I294" s="517">
        <v>0</v>
      </c>
      <c r="J294" s="516"/>
      <c r="K294" s="509">
        <v>0</v>
      </c>
      <c r="L294" s="511"/>
      <c r="M294" s="472">
        <v>0</v>
      </c>
      <c r="N294" s="510"/>
      <c r="O294" s="510">
        <v>84358458</v>
      </c>
      <c r="P294" s="511"/>
      <c r="Q294" s="510">
        <f t="shared" si="12"/>
        <v>360358562</v>
      </c>
      <c r="R294" s="2193"/>
      <c r="S294" s="1113">
        <v>84358458</v>
      </c>
    </row>
    <row r="295" spans="1:19" s="486" customFormat="1" ht="15">
      <c r="B295" s="504" t="s">
        <v>345</v>
      </c>
      <c r="C295" s="504">
        <v>0</v>
      </c>
      <c r="D295" s="485"/>
      <c r="E295" s="472">
        <v>151841446</v>
      </c>
      <c r="F295" s="535"/>
      <c r="G295" s="509">
        <v>85700000</v>
      </c>
      <c r="H295" s="535"/>
      <c r="I295" s="511">
        <v>0</v>
      </c>
      <c r="J295" s="516"/>
      <c r="K295" s="1113">
        <v>-13132909</v>
      </c>
      <c r="L295" s="535"/>
      <c r="M295" s="472">
        <v>-7000000</v>
      </c>
      <c r="N295" s="510"/>
      <c r="O295" s="510">
        <v>81899538</v>
      </c>
      <c r="P295" s="535"/>
      <c r="Q295" s="510">
        <f t="shared" si="12"/>
        <v>135508999</v>
      </c>
      <c r="R295" s="2192"/>
      <c r="S295" s="1113">
        <v>81899538</v>
      </c>
    </row>
    <row r="296" spans="1:19" s="508" customFormat="1" ht="15">
      <c r="A296" s="585"/>
      <c r="B296" s="504" t="s">
        <v>437</v>
      </c>
      <c r="C296" s="504">
        <v>0</v>
      </c>
      <c r="D296" s="495"/>
      <c r="E296" s="586">
        <v>2655</v>
      </c>
      <c r="F296" s="510"/>
      <c r="G296" s="586">
        <v>0</v>
      </c>
      <c r="H296" s="510"/>
      <c r="I296" s="517">
        <v>0</v>
      </c>
      <c r="J296" s="516"/>
      <c r="K296" s="1113">
        <v>175000</v>
      </c>
      <c r="L296" s="510"/>
      <c r="M296" s="472">
        <v>0</v>
      </c>
      <c r="N296" s="510"/>
      <c r="O296" s="510">
        <v>175000</v>
      </c>
      <c r="P296" s="510"/>
      <c r="Q296" s="510">
        <f t="shared" si="12"/>
        <v>2655</v>
      </c>
      <c r="R296" s="2186"/>
      <c r="S296" s="1113">
        <v>175000</v>
      </c>
    </row>
    <row r="297" spans="1:19" s="508" customFormat="1" ht="15">
      <c r="B297" s="504" t="s">
        <v>402</v>
      </c>
      <c r="C297" s="504">
        <v>0</v>
      </c>
      <c r="D297" s="505"/>
      <c r="E297" s="509">
        <v>108717</v>
      </c>
      <c r="F297" s="511"/>
      <c r="G297" s="586">
        <v>0</v>
      </c>
      <c r="H297" s="511"/>
      <c r="I297" s="517">
        <v>0</v>
      </c>
      <c r="J297" s="516"/>
      <c r="K297" s="1113">
        <v>450000</v>
      </c>
      <c r="L297" s="511"/>
      <c r="M297" s="472">
        <v>0</v>
      </c>
      <c r="N297" s="510"/>
      <c r="O297" s="510">
        <v>454008</v>
      </c>
      <c r="P297" s="511"/>
      <c r="Q297" s="510">
        <f t="shared" si="12"/>
        <v>104709</v>
      </c>
      <c r="R297" s="2193"/>
      <c r="S297" s="1113">
        <v>454008</v>
      </c>
    </row>
    <row r="298" spans="1:19" s="486" customFormat="1" ht="15">
      <c r="B298" s="504" t="s">
        <v>403</v>
      </c>
      <c r="C298" s="504">
        <v>0</v>
      </c>
      <c r="D298" s="485"/>
      <c r="E298" s="536">
        <v>8811538</v>
      </c>
      <c r="F298" s="535"/>
      <c r="G298" s="586">
        <v>1000000</v>
      </c>
      <c r="H298" s="535"/>
      <c r="I298" s="517">
        <v>0</v>
      </c>
      <c r="J298" s="516"/>
      <c r="K298" s="1113">
        <v>804458</v>
      </c>
      <c r="L298" s="535"/>
      <c r="M298" s="472">
        <v>0</v>
      </c>
      <c r="N298" s="510"/>
      <c r="O298" s="510">
        <v>2247353</v>
      </c>
      <c r="P298" s="535"/>
      <c r="Q298" s="510">
        <f t="shared" si="12"/>
        <v>8368643</v>
      </c>
      <c r="R298" s="2192"/>
      <c r="S298" s="1113">
        <v>2247353</v>
      </c>
    </row>
    <row r="299" spans="1:19" s="486" customFormat="1" ht="15">
      <c r="B299" s="504" t="s">
        <v>474</v>
      </c>
      <c r="C299" s="504">
        <v>0</v>
      </c>
      <c r="D299" s="505"/>
      <c r="E299" s="536">
        <v>2121816719</v>
      </c>
      <c r="F299" s="511"/>
      <c r="G299" s="582">
        <v>312472000</v>
      </c>
      <c r="H299" s="511"/>
      <c r="I299" s="474">
        <v>288986</v>
      </c>
      <c r="J299" s="516"/>
      <c r="K299" s="517">
        <v>10000000</v>
      </c>
      <c r="L299" s="511"/>
      <c r="M299" s="472">
        <v>0</v>
      </c>
      <c r="N299" s="510"/>
      <c r="O299" s="510">
        <v>168468782</v>
      </c>
      <c r="P299" s="511"/>
      <c r="Q299" s="510">
        <f t="shared" si="12"/>
        <v>2275530951</v>
      </c>
      <c r="R299" s="2193"/>
      <c r="S299" s="1113">
        <v>168049228</v>
      </c>
    </row>
    <row r="300" spans="1:19" s="508" customFormat="1" ht="15">
      <c r="B300" s="504"/>
      <c r="C300" s="504"/>
      <c r="D300" s="495"/>
      <c r="E300" s="584"/>
      <c r="F300" s="510"/>
      <c r="G300" s="509"/>
      <c r="H300" s="510"/>
      <c r="I300" s="517"/>
      <c r="J300" s="510"/>
      <c r="K300" s="517"/>
      <c r="L300" s="510"/>
      <c r="M300" s="472"/>
      <c r="N300" s="472"/>
      <c r="O300" s="472"/>
      <c r="P300" s="510"/>
      <c r="Q300" s="510"/>
      <c r="R300" s="510"/>
      <c r="S300" s="516"/>
    </row>
    <row r="301" spans="1:19" s="508" customFormat="1" ht="15">
      <c r="B301" s="504"/>
      <c r="C301" s="504"/>
      <c r="D301" s="495"/>
      <c r="E301" s="584"/>
      <c r="F301" s="510"/>
      <c r="G301" s="509"/>
      <c r="H301" s="510"/>
      <c r="I301" s="517"/>
      <c r="J301" s="510"/>
      <c r="K301" s="517"/>
      <c r="L301" s="510"/>
      <c r="M301" s="472"/>
      <c r="N301" s="472"/>
      <c r="O301" s="472"/>
      <c r="P301" s="510"/>
      <c r="Q301" s="510"/>
      <c r="R301" s="510"/>
      <c r="S301" s="516"/>
    </row>
    <row r="302" spans="1:19">
      <c r="G302" s="587"/>
    </row>
    <row r="303" spans="1:19">
      <c r="A303" s="2356" t="s">
        <v>275</v>
      </c>
      <c r="B303" s="2404" t="s">
        <v>310</v>
      </c>
      <c r="C303" s="2404"/>
      <c r="D303" s="2404"/>
      <c r="E303" s="2404"/>
      <c r="F303" s="2404"/>
      <c r="G303" s="2404"/>
      <c r="H303" s="2404"/>
      <c r="I303" s="2404"/>
      <c r="J303" s="2404"/>
      <c r="K303" s="2404"/>
      <c r="L303" s="2404"/>
      <c r="M303" s="2404"/>
      <c r="N303" s="2404"/>
      <c r="O303" s="2404"/>
      <c r="P303" s="2404"/>
      <c r="Q303" s="2404"/>
      <c r="R303" s="2404"/>
      <c r="S303" s="2404"/>
    </row>
    <row r="304" spans="1:19">
      <c r="A304" s="2356" t="s">
        <v>309</v>
      </c>
      <c r="B304" s="2404" t="s">
        <v>312</v>
      </c>
      <c r="C304" s="2404"/>
      <c r="D304" s="2404"/>
      <c r="E304" s="2404"/>
      <c r="F304" s="2404"/>
      <c r="G304" s="2404"/>
      <c r="H304" s="2404"/>
      <c r="I304" s="2404"/>
      <c r="J304" s="2404"/>
      <c r="K304" s="2404"/>
      <c r="L304" s="2404"/>
      <c r="M304" s="2404"/>
      <c r="N304" s="2404"/>
      <c r="O304" s="2404"/>
      <c r="P304" s="2404"/>
      <c r="Q304" s="2404"/>
      <c r="R304" s="2404"/>
      <c r="S304" s="2404"/>
    </row>
    <row r="305" spans="1:19" ht="18">
      <c r="A305" s="2409" t="s">
        <v>0</v>
      </c>
      <c r="B305" s="2409"/>
      <c r="C305" s="2409"/>
      <c r="D305" s="2409"/>
      <c r="E305" s="2409"/>
      <c r="F305" s="2409"/>
      <c r="G305" s="2409"/>
      <c r="H305" s="2409"/>
      <c r="I305" s="2175"/>
      <c r="J305" s="480"/>
      <c r="K305" s="2175"/>
      <c r="L305" s="480"/>
      <c r="M305" s="2175"/>
      <c r="N305" s="2175"/>
      <c r="O305" s="2175"/>
      <c r="P305" s="480"/>
      <c r="Q305" s="480"/>
      <c r="R305" s="480"/>
      <c r="S305" s="482" t="s">
        <v>313</v>
      </c>
    </row>
    <row r="306" spans="1:19" ht="18">
      <c r="A306" s="2410" t="s">
        <v>314</v>
      </c>
      <c r="B306" s="2410"/>
      <c r="C306" s="2410"/>
      <c r="D306" s="2410"/>
      <c r="E306" s="2410"/>
      <c r="F306" s="2410"/>
      <c r="G306" s="2410"/>
      <c r="H306" s="2410"/>
      <c r="I306" s="2175"/>
      <c r="J306" s="480"/>
      <c r="K306" s="2175"/>
      <c r="L306" s="480"/>
      <c r="M306" s="2175"/>
      <c r="N306" s="2175"/>
      <c r="O306" s="2175"/>
      <c r="P306" s="480"/>
      <c r="Q306" s="480"/>
      <c r="R306" s="480"/>
      <c r="S306" s="480" t="s">
        <v>131</v>
      </c>
    </row>
    <row r="307" spans="1:19" ht="18">
      <c r="A307" s="2410" t="s">
        <v>2540</v>
      </c>
      <c r="B307" s="2410"/>
      <c r="C307" s="2410"/>
      <c r="D307" s="2410"/>
      <c r="E307" s="2410"/>
      <c r="F307" s="2410"/>
      <c r="G307" s="2410"/>
      <c r="H307" s="2410"/>
      <c r="I307" s="2175"/>
      <c r="J307" s="480"/>
      <c r="K307" s="2175"/>
      <c r="L307" s="480"/>
      <c r="M307" s="2175"/>
      <c r="N307" s="2175"/>
      <c r="O307" s="2175"/>
      <c r="P307" s="480"/>
      <c r="Q307" s="480"/>
      <c r="R307" s="480"/>
      <c r="S307" s="481"/>
    </row>
    <row r="308" spans="1:19" ht="18">
      <c r="A308" s="2409" t="s">
        <v>2648</v>
      </c>
      <c r="B308" s="2409"/>
      <c r="C308" s="2409"/>
      <c r="D308" s="2409"/>
      <c r="E308" s="2409"/>
      <c r="F308" s="2409"/>
      <c r="G308" s="2409"/>
      <c r="H308" s="2409"/>
      <c r="I308" s="2175"/>
      <c r="J308" s="2175"/>
      <c r="K308" s="2175"/>
      <c r="L308" s="2175"/>
      <c r="M308" s="2175"/>
      <c r="N308" s="2175"/>
      <c r="O308" s="2175"/>
      <c r="P308" s="2175"/>
      <c r="Q308" s="2175"/>
      <c r="R308" s="2175"/>
      <c r="S308" s="2175"/>
    </row>
    <row r="309" spans="1:19">
      <c r="A309" s="484"/>
      <c r="B309" s="484"/>
      <c r="C309" s="484"/>
      <c r="D309" s="485"/>
      <c r="E309" s="486"/>
      <c r="F309" s="485"/>
      <c r="G309" s="485"/>
      <c r="H309" s="485"/>
      <c r="I309" s="486"/>
      <c r="J309" s="485"/>
      <c r="K309" s="486"/>
      <c r="L309" s="485"/>
      <c r="M309" s="486"/>
      <c r="N309" s="486"/>
      <c r="O309" s="486"/>
      <c r="P309" s="485"/>
      <c r="Q309" s="486"/>
      <c r="R309" s="485"/>
      <c r="S309" s="486"/>
    </row>
    <row r="310" spans="1:19">
      <c r="A310" s="486"/>
      <c r="B310" s="486"/>
      <c r="C310" s="486"/>
      <c r="D310" s="485"/>
      <c r="E310" s="486"/>
      <c r="F310" s="485"/>
      <c r="G310" s="485"/>
      <c r="H310" s="485"/>
      <c r="I310" s="486"/>
      <c r="J310" s="485"/>
      <c r="K310" s="486"/>
      <c r="L310" s="485"/>
      <c r="M310" s="486"/>
      <c r="N310" s="486"/>
      <c r="O310" s="486"/>
      <c r="P310" s="485"/>
      <c r="Q310" s="486"/>
      <c r="R310" s="485"/>
      <c r="S310" s="486"/>
    </row>
    <row r="311" spans="1:19">
      <c r="A311" s="486"/>
      <c r="B311" s="486"/>
      <c r="C311" s="486"/>
      <c r="D311" s="485"/>
      <c r="E311" s="486"/>
      <c r="F311" s="485"/>
      <c r="G311" s="485"/>
      <c r="H311" s="485"/>
      <c r="I311" s="487"/>
      <c r="J311" s="485"/>
      <c r="K311" s="486"/>
      <c r="L311" s="485"/>
      <c r="M311" s="488" t="s">
        <v>280</v>
      </c>
      <c r="N311" s="488"/>
      <c r="O311" s="488"/>
      <c r="P311" s="488"/>
      <c r="Q311" s="489"/>
      <c r="R311" s="485"/>
      <c r="S311" s="486"/>
    </row>
    <row r="312" spans="1:19">
      <c r="A312" s="486"/>
      <c r="B312" s="486"/>
      <c r="C312" s="486"/>
      <c r="D312" s="485"/>
      <c r="E312" s="486"/>
      <c r="F312" s="485"/>
      <c r="G312"/>
      <c r="H312" s="485"/>
      <c r="I312" s="489"/>
      <c r="J312" s="485"/>
      <c r="K312" s="486"/>
      <c r="L312" s="485"/>
      <c r="M312" s="486"/>
      <c r="N312" s="2180"/>
      <c r="O312"/>
      <c r="P312" s="485"/>
      <c r="Q312" s="489" t="s">
        <v>2541</v>
      </c>
      <c r="R312" s="2179"/>
      <c r="S312" s="486"/>
    </row>
    <row r="313" spans="1:19">
      <c r="A313" s="490"/>
      <c r="B313" s="490"/>
      <c r="C313" s="490"/>
      <c r="D313" s="485"/>
      <c r="E313" s="489" t="s">
        <v>282</v>
      </c>
      <c r="F313" s="485"/>
      <c r="G313" s="489" t="s">
        <v>281</v>
      </c>
      <c r="H313" s="485"/>
      <c r="I313" s="489" t="s">
        <v>284</v>
      </c>
      <c r="J313" s="485"/>
      <c r="K313" s="489" t="s">
        <v>285</v>
      </c>
      <c r="L313" s="491"/>
      <c r="M313" s="492" t="s">
        <v>286</v>
      </c>
      <c r="N313" s="2180"/>
      <c r="O313" s="2180" t="s">
        <v>2542</v>
      </c>
      <c r="P313" s="485"/>
      <c r="Q313" s="489" t="s">
        <v>282</v>
      </c>
      <c r="R313" s="2179"/>
      <c r="S313" s="489" t="s">
        <v>2542</v>
      </c>
    </row>
    <row r="314" spans="1:19">
      <c r="A314" s="490"/>
      <c r="B314" s="490"/>
      <c r="C314" s="490"/>
      <c r="D314" s="485"/>
      <c r="E314" s="489" t="s">
        <v>287</v>
      </c>
      <c r="F314" s="485"/>
      <c r="G314" s="489" t="s">
        <v>283</v>
      </c>
      <c r="H314" s="485"/>
      <c r="I314" s="489" t="s">
        <v>282</v>
      </c>
      <c r="J314" s="485"/>
      <c r="K314" s="489" t="s">
        <v>288</v>
      </c>
      <c r="L314" s="491"/>
      <c r="M314" s="492" t="s">
        <v>2649</v>
      </c>
      <c r="N314" s="2180"/>
      <c r="O314" s="2181" t="s">
        <v>2584</v>
      </c>
      <c r="P314" s="485"/>
      <c r="Q314" s="489" t="s">
        <v>287</v>
      </c>
      <c r="R314" s="2179"/>
      <c r="S314" s="493" t="s">
        <v>2584</v>
      </c>
    </row>
    <row r="315" spans="1:19">
      <c r="A315" s="494"/>
      <c r="B315" s="494"/>
      <c r="C315" s="494"/>
      <c r="D315" s="495"/>
      <c r="E315" s="1971" t="s">
        <v>2593</v>
      </c>
      <c r="F315" s="495"/>
      <c r="G315" s="1971" t="s">
        <v>2650</v>
      </c>
      <c r="H315" s="495"/>
      <c r="I315" s="2182" t="s">
        <v>289</v>
      </c>
      <c r="J315" s="495"/>
      <c r="K315" s="2182" t="s">
        <v>2651</v>
      </c>
      <c r="L315" s="496"/>
      <c r="M315" s="2185" t="s">
        <v>2652</v>
      </c>
      <c r="N315" s="2368"/>
      <c r="O315" s="2183" t="s">
        <v>2543</v>
      </c>
      <c r="P315" s="485"/>
      <c r="Q315" s="1971" t="s">
        <v>2592</v>
      </c>
      <c r="R315" s="2179"/>
      <c r="S315" s="2182" t="s">
        <v>290</v>
      </c>
    </row>
    <row r="316" spans="1:19">
      <c r="A316" s="497"/>
      <c r="B316" s="497"/>
      <c r="C316" s="497"/>
      <c r="D316" s="485"/>
      <c r="E316" s="498"/>
      <c r="F316" s="485"/>
      <c r="G316" s="485"/>
      <c r="H316" s="485"/>
      <c r="I316" s="498"/>
      <c r="J316" s="485"/>
      <c r="K316" s="498"/>
      <c r="L316" s="495"/>
      <c r="M316" s="498"/>
      <c r="N316" s="508"/>
      <c r="O316" s="508"/>
      <c r="P316" s="485"/>
      <c r="Q316" s="498"/>
      <c r="R316" s="2192"/>
      <c r="S316" s="498"/>
    </row>
    <row r="317" spans="1:19">
      <c r="A317" s="499" t="s">
        <v>475</v>
      </c>
      <c r="R317" s="2192"/>
    </row>
    <row r="318" spans="1:19">
      <c r="R318" s="2192"/>
    </row>
    <row r="319" spans="1:19" s="486" customFormat="1" ht="15">
      <c r="B319" s="504" t="s">
        <v>445</v>
      </c>
      <c r="C319" s="504">
        <v>0</v>
      </c>
      <c r="D319" s="485"/>
      <c r="E319" s="536">
        <v>53504217</v>
      </c>
      <c r="F319" s="535"/>
      <c r="G319" s="582">
        <v>13200000</v>
      </c>
      <c r="H319" s="535"/>
      <c r="I319" s="517">
        <v>0</v>
      </c>
      <c r="J319" s="516"/>
      <c r="K319" s="517">
        <v>19000000</v>
      </c>
      <c r="L319" s="535"/>
      <c r="M319" s="472">
        <v>0</v>
      </c>
      <c r="N319" s="510"/>
      <c r="O319" s="510">
        <v>36006431</v>
      </c>
      <c r="P319" s="535"/>
      <c r="Q319" s="510">
        <f t="shared" ref="Q319:Q333" si="13">ROUND(+SUM(E319)+SUM(G319)-SUM(I319)+SUM(K319) +SUM(M319)-SUM(O319),0)</f>
        <v>49697786</v>
      </c>
      <c r="R319" s="2192"/>
      <c r="S319" s="1113">
        <v>36006431</v>
      </c>
    </row>
    <row r="320" spans="1:19" s="508" customFormat="1" ht="15">
      <c r="B320" s="504" t="s">
        <v>407</v>
      </c>
      <c r="C320" s="504">
        <v>0</v>
      </c>
      <c r="D320" s="505"/>
      <c r="E320" s="474">
        <v>4982406282</v>
      </c>
      <c r="F320" s="505"/>
      <c r="G320" s="582">
        <v>4265300000</v>
      </c>
      <c r="H320" s="505"/>
      <c r="I320" s="1113">
        <v>142527630</v>
      </c>
      <c r="J320" s="516"/>
      <c r="K320" s="1113">
        <v>-1691469967</v>
      </c>
      <c r="L320" s="505"/>
      <c r="M320" s="472">
        <v>0</v>
      </c>
      <c r="N320" s="510"/>
      <c r="O320" s="510">
        <v>581882990</v>
      </c>
      <c r="P320" s="505"/>
      <c r="Q320" s="510">
        <f t="shared" si="13"/>
        <v>6831825695</v>
      </c>
      <c r="R320" s="2184"/>
      <c r="S320" s="1113">
        <v>581882990</v>
      </c>
    </row>
    <row r="321" spans="1:19" s="486" customFormat="1" ht="15">
      <c r="B321" s="504" t="s">
        <v>408</v>
      </c>
      <c r="C321" s="504">
        <v>0</v>
      </c>
      <c r="D321" s="485"/>
      <c r="E321" s="536">
        <v>26225707</v>
      </c>
      <c r="F321" s="535"/>
      <c r="G321" s="582">
        <v>199255000</v>
      </c>
      <c r="H321" s="535"/>
      <c r="I321" s="1113">
        <v>3707437</v>
      </c>
      <c r="J321" s="516"/>
      <c r="K321" s="1113">
        <v>0</v>
      </c>
      <c r="L321" s="535"/>
      <c r="M321" s="472">
        <v>0</v>
      </c>
      <c r="N321" s="510"/>
      <c r="O321" s="510">
        <v>189796273</v>
      </c>
      <c r="P321" s="535"/>
      <c r="Q321" s="510">
        <f t="shared" si="13"/>
        <v>31976997</v>
      </c>
      <c r="R321" s="2192"/>
      <c r="S321" s="1113">
        <v>189879243</v>
      </c>
    </row>
    <row r="322" spans="1:19" s="486" customFormat="1" ht="15">
      <c r="B322" s="504" t="s">
        <v>362</v>
      </c>
      <c r="C322" s="504">
        <v>0</v>
      </c>
      <c r="D322" s="505"/>
      <c r="E322" s="510">
        <v>0</v>
      </c>
      <c r="F322" s="511"/>
      <c r="G322" s="535">
        <v>0</v>
      </c>
      <c r="H322" s="511"/>
      <c r="I322" s="1113">
        <v>0</v>
      </c>
      <c r="J322" s="516"/>
      <c r="K322" s="517">
        <v>600000</v>
      </c>
      <c r="L322" s="511"/>
      <c r="M322" s="472">
        <v>0</v>
      </c>
      <c r="N322" s="510"/>
      <c r="O322" s="510">
        <v>0</v>
      </c>
      <c r="P322" s="511"/>
      <c r="Q322" s="510">
        <f t="shared" si="13"/>
        <v>600000</v>
      </c>
      <c r="R322" s="2193"/>
      <c r="S322" s="1113">
        <v>0</v>
      </c>
    </row>
    <row r="323" spans="1:19">
      <c r="A323" s="499"/>
      <c r="B323" s="2298" t="s">
        <v>363</v>
      </c>
      <c r="C323" s="538">
        <v>0</v>
      </c>
      <c r="E323" s="2303">
        <v>560825555</v>
      </c>
      <c r="F323" s="540"/>
      <c r="G323" s="582">
        <v>169700000</v>
      </c>
      <c r="H323" s="540"/>
      <c r="I323" s="511">
        <v>120446</v>
      </c>
      <c r="J323" s="516"/>
      <c r="K323" s="1113">
        <v>39810853</v>
      </c>
      <c r="L323" s="540"/>
      <c r="M323" s="472">
        <v>0</v>
      </c>
      <c r="N323" s="510"/>
      <c r="O323" s="510">
        <v>183763182</v>
      </c>
      <c r="P323" s="540"/>
      <c r="Q323" s="510">
        <f t="shared" si="13"/>
        <v>586452780</v>
      </c>
      <c r="R323" s="2194"/>
      <c r="S323" s="1113">
        <v>183720409</v>
      </c>
    </row>
    <row r="324" spans="1:19" s="486" customFormat="1" ht="15">
      <c r="B324" s="504" t="s">
        <v>364</v>
      </c>
      <c r="C324" s="504">
        <v>0</v>
      </c>
      <c r="D324" s="485"/>
      <c r="E324" s="536">
        <v>646727294</v>
      </c>
      <c r="F324" s="535"/>
      <c r="G324" s="582">
        <v>18000000</v>
      </c>
      <c r="H324" s="535"/>
      <c r="I324" s="1113">
        <v>1323</v>
      </c>
      <c r="J324" s="516"/>
      <c r="K324" s="517">
        <v>0</v>
      </c>
      <c r="L324" s="535"/>
      <c r="M324" s="472">
        <v>0</v>
      </c>
      <c r="N324" s="510"/>
      <c r="O324" s="510">
        <v>39094207</v>
      </c>
      <c r="P324" s="535"/>
      <c r="Q324" s="510">
        <f t="shared" si="13"/>
        <v>625631764</v>
      </c>
      <c r="R324" s="2192"/>
      <c r="S324" s="1113">
        <v>39094207</v>
      </c>
    </row>
    <row r="325" spans="1:19" s="486" customFormat="1" ht="15">
      <c r="B325" s="504" t="s">
        <v>2667</v>
      </c>
      <c r="C325" s="504">
        <v>0</v>
      </c>
      <c r="D325" s="485"/>
      <c r="E325" s="536">
        <v>4308261977</v>
      </c>
      <c r="F325" s="535"/>
      <c r="G325" s="582">
        <v>3089723000</v>
      </c>
      <c r="H325" s="535"/>
      <c r="I325" s="1113">
        <v>0</v>
      </c>
      <c r="J325" s="516"/>
      <c r="K325" s="1113">
        <v>1362602876</v>
      </c>
      <c r="L325" s="535"/>
      <c r="M325" s="472">
        <v>0</v>
      </c>
      <c r="N325" s="510"/>
      <c r="O325" s="510">
        <v>1487988097</v>
      </c>
      <c r="P325" s="535"/>
      <c r="Q325" s="510">
        <f t="shared" si="13"/>
        <v>7272599756</v>
      </c>
      <c r="R325" s="2192"/>
      <c r="S325" s="1113">
        <v>1492890733</v>
      </c>
    </row>
    <row r="326" spans="1:19" s="486" customFormat="1" ht="15">
      <c r="B326" s="504" t="s">
        <v>410</v>
      </c>
      <c r="C326" s="504">
        <v>0</v>
      </c>
      <c r="D326" s="485"/>
      <c r="E326" s="534">
        <v>55266064</v>
      </c>
      <c r="F326" s="535"/>
      <c r="G326" s="582">
        <v>31500000</v>
      </c>
      <c r="H326" s="535"/>
      <c r="I326" s="542">
        <v>-12434415</v>
      </c>
      <c r="J326" s="516"/>
      <c r="K326" s="517">
        <v>26000000</v>
      </c>
      <c r="L326" s="535"/>
      <c r="M326" s="472">
        <v>0</v>
      </c>
      <c r="N326" s="510"/>
      <c r="O326" s="510">
        <v>44544845</v>
      </c>
      <c r="P326" s="535"/>
      <c r="Q326" s="510">
        <f t="shared" si="13"/>
        <v>80655634</v>
      </c>
      <c r="R326" s="2192"/>
      <c r="S326" s="1113">
        <v>44544845</v>
      </c>
    </row>
    <row r="327" spans="1:19" s="486" customFormat="1" ht="15">
      <c r="B327" s="504" t="s">
        <v>476</v>
      </c>
      <c r="C327" s="504">
        <v>0</v>
      </c>
      <c r="D327" s="485"/>
      <c r="E327" s="534">
        <v>5507975827</v>
      </c>
      <c r="F327" s="535"/>
      <c r="G327" s="582">
        <v>462427000</v>
      </c>
      <c r="H327" s="535"/>
      <c r="I327" s="1113">
        <v>332525036</v>
      </c>
      <c r="J327" s="516"/>
      <c r="K327" s="1113">
        <v>74822048</v>
      </c>
      <c r="L327" s="535"/>
      <c r="M327" s="472">
        <v>0</v>
      </c>
      <c r="N327" s="510"/>
      <c r="O327" s="510">
        <v>904984951</v>
      </c>
      <c r="P327" s="535"/>
      <c r="Q327" s="510">
        <f t="shared" si="13"/>
        <v>4807714888</v>
      </c>
      <c r="R327" s="2192"/>
      <c r="S327" s="1113">
        <v>904187153</v>
      </c>
    </row>
    <row r="328" spans="1:19" s="486" customFormat="1" ht="15">
      <c r="B328" s="504" t="s">
        <v>2670</v>
      </c>
      <c r="C328" s="504">
        <v>0</v>
      </c>
      <c r="D328" s="485"/>
      <c r="E328" s="534">
        <v>106092434</v>
      </c>
      <c r="F328" s="535"/>
      <c r="G328" s="586">
        <v>0</v>
      </c>
      <c r="H328" s="535"/>
      <c r="I328" s="517">
        <v>0</v>
      </c>
      <c r="J328" s="516"/>
      <c r="K328" s="1113">
        <v>30977952</v>
      </c>
      <c r="L328" s="535"/>
      <c r="M328" s="472">
        <v>0</v>
      </c>
      <c r="N328" s="510"/>
      <c r="O328" s="510">
        <v>42628605</v>
      </c>
      <c r="P328" s="535"/>
      <c r="Q328" s="510">
        <f t="shared" si="13"/>
        <v>94441781</v>
      </c>
      <c r="R328" s="2192"/>
      <c r="S328" s="1113">
        <v>42628605</v>
      </c>
    </row>
    <row r="329" spans="1:19" s="486" customFormat="1" ht="15">
      <c r="B329" s="504" t="s">
        <v>477</v>
      </c>
      <c r="C329" s="504">
        <v>0</v>
      </c>
      <c r="D329" s="485"/>
      <c r="E329" s="534">
        <v>136412997</v>
      </c>
      <c r="F329" s="535"/>
      <c r="G329" s="509">
        <v>0</v>
      </c>
      <c r="H329" s="535"/>
      <c r="I329" s="578">
        <v>0</v>
      </c>
      <c r="J329" s="516"/>
      <c r="K329" s="1113">
        <v>5186314</v>
      </c>
      <c r="L329" s="535"/>
      <c r="M329" s="472">
        <v>0</v>
      </c>
      <c r="N329" s="510"/>
      <c r="O329" s="510">
        <v>24614413</v>
      </c>
      <c r="P329" s="535"/>
      <c r="Q329" s="510">
        <f t="shared" si="13"/>
        <v>116984898</v>
      </c>
      <c r="R329" s="2192"/>
      <c r="S329" s="1113">
        <v>24614413</v>
      </c>
    </row>
    <row r="330" spans="1:19" s="486" customFormat="1" ht="15">
      <c r="B330" s="504" t="s">
        <v>375</v>
      </c>
      <c r="C330" s="504">
        <v>0</v>
      </c>
      <c r="D330" s="485"/>
      <c r="E330" s="534">
        <v>99389775</v>
      </c>
      <c r="F330" s="535"/>
      <c r="G330" s="582">
        <v>63500000</v>
      </c>
      <c r="H330" s="535"/>
      <c r="I330" s="517">
        <v>0</v>
      </c>
      <c r="J330" s="516"/>
      <c r="K330" s="517">
        <v>0</v>
      </c>
      <c r="L330" s="535"/>
      <c r="M330" s="472">
        <v>0</v>
      </c>
      <c r="N330" s="510"/>
      <c r="O330" s="510">
        <v>45876369</v>
      </c>
      <c r="P330" s="535"/>
      <c r="Q330" s="510">
        <f t="shared" si="13"/>
        <v>117013406</v>
      </c>
      <c r="R330" s="2192"/>
      <c r="S330" s="1113">
        <v>45876369</v>
      </c>
    </row>
    <row r="331" spans="1:19" s="486" customFormat="1" ht="15">
      <c r="B331" s="504" t="s">
        <v>376</v>
      </c>
      <c r="C331" s="504">
        <v>0</v>
      </c>
      <c r="D331" s="485"/>
      <c r="E331" s="473">
        <v>3826854517</v>
      </c>
      <c r="F331" s="510"/>
      <c r="G331" s="582">
        <f>2876029000+121547600</f>
        <v>2997576600</v>
      </c>
      <c r="H331" s="510"/>
      <c r="I331" s="542">
        <v>799</v>
      </c>
      <c r="J331" s="516"/>
      <c r="K331" s="1113">
        <v>75905449</v>
      </c>
      <c r="L331" s="510"/>
      <c r="M331" s="472">
        <v>-69977000</v>
      </c>
      <c r="N331" s="510"/>
      <c r="O331" s="510">
        <v>2567587409</v>
      </c>
      <c r="P331" s="510"/>
      <c r="Q331" s="510">
        <f t="shared" si="13"/>
        <v>4262771358</v>
      </c>
      <c r="R331" s="2186"/>
      <c r="S331" s="1113">
        <v>2567589216</v>
      </c>
    </row>
    <row r="332" spans="1:19" s="508" customFormat="1" ht="15">
      <c r="B332" s="504" t="s">
        <v>478</v>
      </c>
      <c r="C332" s="504">
        <v>0</v>
      </c>
      <c r="E332" s="509">
        <v>56805546</v>
      </c>
      <c r="F332" s="516"/>
      <c r="G332" s="586">
        <v>0</v>
      </c>
      <c r="H332" s="516"/>
      <c r="I332" s="511">
        <v>0</v>
      </c>
      <c r="J332" s="516"/>
      <c r="K332" s="517">
        <v>0</v>
      </c>
      <c r="L332" s="516"/>
      <c r="M332" s="472">
        <v>0</v>
      </c>
      <c r="N332" s="510"/>
      <c r="O332" s="510">
        <v>0</v>
      </c>
      <c r="P332" s="516"/>
      <c r="Q332" s="510">
        <f t="shared" si="13"/>
        <v>56805546</v>
      </c>
      <c r="R332" s="2199"/>
      <c r="S332" s="510">
        <v>0</v>
      </c>
    </row>
    <row r="333" spans="1:19" s="508" customFormat="1" ht="15">
      <c r="B333" s="504" t="s">
        <v>414</v>
      </c>
      <c r="C333" s="504">
        <v>0</v>
      </c>
      <c r="D333" s="485"/>
      <c r="E333" s="2197">
        <v>0</v>
      </c>
      <c r="F333" s="535"/>
      <c r="G333" s="2195">
        <v>60000000</v>
      </c>
      <c r="H333" s="535"/>
      <c r="I333" s="1113">
        <v>0</v>
      </c>
      <c r="J333" s="516"/>
      <c r="K333" s="2198">
        <v>0</v>
      </c>
      <c r="L333" s="535"/>
      <c r="M333" s="472">
        <v>0</v>
      </c>
      <c r="N333" s="510"/>
      <c r="O333" s="510">
        <v>3117267</v>
      </c>
      <c r="P333" s="535"/>
      <c r="Q333" s="510">
        <f t="shared" si="13"/>
        <v>56882733</v>
      </c>
      <c r="R333" s="2192"/>
      <c r="S333" s="1113">
        <v>3117267</v>
      </c>
    </row>
    <row r="334" spans="1:19" s="486" customFormat="1" ht="15">
      <c r="B334" s="548" t="s">
        <v>479</v>
      </c>
      <c r="C334" s="504" t="s">
        <v>6</v>
      </c>
      <c r="D334" s="505"/>
      <c r="E334" s="549">
        <f>ROUND(SUM(E278:E299,E319:E333),0)</f>
        <v>35698116078</v>
      </c>
      <c r="F334" s="511"/>
      <c r="G334" s="549">
        <f>ROUND(SUM(G278:G299,G319:G333),0)</f>
        <v>14146036600</v>
      </c>
      <c r="H334" s="511"/>
      <c r="I334" s="549">
        <f>ROUND(SUM(I278:I299,I319:I333),0)</f>
        <v>544275656</v>
      </c>
      <c r="J334" s="511"/>
      <c r="K334" s="549">
        <f>ROUND(SUM(K278:K299,K319:K333),0)</f>
        <v>180000000</v>
      </c>
      <c r="L334" s="511"/>
      <c r="M334" s="549">
        <f>ROUND(SUM(M278:M299,M319:M333),0)</f>
        <v>-76977000</v>
      </c>
      <c r="N334" s="510"/>
      <c r="O334" s="549">
        <f>ROUND(SUM(O278:O299,O319:O333),0)</f>
        <v>7498696753</v>
      </c>
      <c r="P334" s="511"/>
      <c r="Q334" s="549">
        <f>ROUND(SUM(Q278:Q299,Q319:Q333),0)</f>
        <v>41904203269</v>
      </c>
      <c r="R334" s="2199"/>
      <c r="S334" s="549">
        <f>ROUND(SUM(S278:S299,S319:S333),0)</f>
        <v>7503135215</v>
      </c>
    </row>
    <row r="335" spans="1:19">
      <c r="E335" s="588"/>
      <c r="F335" s="540"/>
      <c r="G335" s="540"/>
      <c r="H335" s="540"/>
      <c r="I335" s="588"/>
      <c r="J335" s="540"/>
      <c r="K335" s="588"/>
      <c r="L335" s="540"/>
      <c r="M335" s="588"/>
      <c r="N335" s="588"/>
      <c r="O335" s="588"/>
      <c r="P335" s="540"/>
      <c r="Q335" s="588"/>
      <c r="R335" s="2199"/>
      <c r="S335" s="588"/>
    </row>
    <row r="336" spans="1:19" s="486" customFormat="1">
      <c r="A336" s="499" t="s">
        <v>480</v>
      </c>
      <c r="B336" s="490"/>
      <c r="C336" s="490"/>
      <c r="D336" s="485"/>
      <c r="E336" s="551"/>
      <c r="F336" s="510"/>
      <c r="G336" s="510"/>
      <c r="H336" s="535"/>
      <c r="I336" s="236"/>
      <c r="J336" s="535"/>
      <c r="K336" s="589"/>
      <c r="L336" s="535"/>
      <c r="M336" s="236"/>
      <c r="N336" s="2176"/>
      <c r="O336" s="2176"/>
      <c r="P336" s="535"/>
      <c r="Q336" s="236"/>
      <c r="R336" s="2199"/>
      <c r="S336" s="236"/>
    </row>
    <row r="337" spans="1:19" s="486" customFormat="1" ht="15">
      <c r="A337" s="490"/>
      <c r="B337" s="490"/>
      <c r="C337" s="490"/>
      <c r="D337" s="485"/>
      <c r="E337" s="236"/>
      <c r="F337" s="535"/>
      <c r="G337" s="535"/>
      <c r="H337" s="535"/>
      <c r="I337" s="236"/>
      <c r="J337" s="535"/>
      <c r="K337" s="236"/>
      <c r="L337" s="535"/>
      <c r="M337" s="553"/>
      <c r="N337" s="553"/>
      <c r="O337" s="553"/>
      <c r="P337" s="535"/>
      <c r="Q337" s="553"/>
      <c r="R337" s="2199"/>
      <c r="S337" s="553"/>
    </row>
    <row r="338" spans="1:19" s="508" customFormat="1" ht="15">
      <c r="B338" s="504" t="s">
        <v>457</v>
      </c>
      <c r="C338" s="504">
        <v>0</v>
      </c>
      <c r="D338" s="515"/>
      <c r="E338" s="510">
        <v>1250000000</v>
      </c>
      <c r="F338" s="518"/>
      <c r="G338" s="2200">
        <v>1250000000</v>
      </c>
      <c r="H338" s="518"/>
      <c r="I338" s="511">
        <v>0</v>
      </c>
      <c r="J338" s="518"/>
      <c r="K338" s="517">
        <v>0</v>
      </c>
      <c r="L338" s="510"/>
      <c r="M338" s="472">
        <v>0</v>
      </c>
      <c r="N338" s="510"/>
      <c r="O338" s="510">
        <v>0</v>
      </c>
      <c r="P338" s="510"/>
      <c r="Q338" s="510">
        <f>ROUND(+SUM(E338)+SUM(G338)-SUM(I338)+SUM(K338) +SUM(M338)-SUM(O338),0)</f>
        <v>2500000000</v>
      </c>
      <c r="R338" s="2186"/>
      <c r="S338" s="517">
        <v>0</v>
      </c>
    </row>
    <row r="339" spans="1:19" s="508" customFormat="1" ht="15">
      <c r="A339" s="494"/>
      <c r="B339" s="548" t="s">
        <v>2266</v>
      </c>
      <c r="C339" s="504" t="s">
        <v>6</v>
      </c>
      <c r="D339" s="515"/>
      <c r="E339" s="581">
        <f>ROUND(SUM(E338:E338),0)</f>
        <v>1250000000</v>
      </c>
      <c r="F339" s="518"/>
      <c r="G339" s="581">
        <f>ROUND(SUM(G338:G338),0)</f>
        <v>1250000000</v>
      </c>
      <c r="H339" s="518"/>
      <c r="I339" s="581">
        <f>ROUND(SUM(I338:I338),0)</f>
        <v>0</v>
      </c>
      <c r="J339" s="518"/>
      <c r="K339" s="581">
        <f>ROUND(SUM(K338:K338),0)</f>
        <v>0</v>
      </c>
      <c r="L339" s="518"/>
      <c r="M339" s="581">
        <f>ROUND(SUM(M338:M338),0)</f>
        <v>0</v>
      </c>
      <c r="N339" s="510"/>
      <c r="O339" s="581">
        <f t="shared" ref="O339" si="14">ROUND(SUM(O338:O338),0)</f>
        <v>0</v>
      </c>
      <c r="P339" s="518"/>
      <c r="Q339" s="581">
        <f>ROUND(SUM(Q338:Q338),0)</f>
        <v>2500000000</v>
      </c>
      <c r="R339" s="2199"/>
      <c r="S339" s="581">
        <f>ROUND(SUM(S338:S338),0)</f>
        <v>0</v>
      </c>
    </row>
    <row r="340" spans="1:19">
      <c r="E340" s="588"/>
      <c r="F340" s="540"/>
      <c r="G340" s="540"/>
      <c r="H340" s="540"/>
      <c r="I340" s="588"/>
      <c r="J340" s="540"/>
      <c r="K340" s="588"/>
      <c r="L340" s="540"/>
      <c r="M340" s="588"/>
      <c r="N340" s="588"/>
      <c r="O340" s="588"/>
      <c r="P340" s="540"/>
      <c r="Q340" s="588"/>
      <c r="R340" s="2199"/>
      <c r="S340" s="588"/>
    </row>
    <row r="341" spans="1:19" s="486" customFormat="1" ht="18" thickBot="1">
      <c r="B341" s="548" t="s">
        <v>481</v>
      </c>
      <c r="C341" s="1987" t="s">
        <v>6</v>
      </c>
      <c r="D341" s="505"/>
      <c r="E341" s="590">
        <f>ROUND(SUM(E106+E157+E255+E260+E274+E334+E339),0)</f>
        <v>314241065123</v>
      </c>
      <c r="F341" s="511"/>
      <c r="G341" s="590">
        <f>ROUND(SUM(G106+G157+G255+G260+G274+G334+G339),0)</f>
        <v>277224600091</v>
      </c>
      <c r="H341" s="511"/>
      <c r="I341" s="590">
        <f>ROUND(SUM(I106+I157+I255+I260+I274+I334+I339),0)</f>
        <v>81195155393</v>
      </c>
      <c r="J341" s="511"/>
      <c r="K341" s="590">
        <f>ROUND(SUM(K106+K157+K255+K260+K274+K334+K339),0)</f>
        <v>0</v>
      </c>
      <c r="L341" s="511"/>
      <c r="M341" s="590">
        <f>ROUND(SUM(M106+M157+M255+M260+M274+M334+M339),0)</f>
        <v>210441969</v>
      </c>
      <c r="N341" s="588"/>
      <c r="O341" s="590">
        <f>ROUND(SUM(O106+O157+O255+O260+O274+O334+O339),0)</f>
        <v>155248978688</v>
      </c>
      <c r="P341" s="511"/>
      <c r="Q341" s="591">
        <f>ROUND(+SUM(Q106)+SUM(Q157)+SUM(Q255)+SUM(Q260) +SUM(Q274)+SUM(Q334)+SUM(Q339),0)</f>
        <v>355231973102</v>
      </c>
      <c r="R341" s="2199"/>
      <c r="S341" s="590">
        <f>ROUND(SUM(S106+S157+S255+S260+S274+S334+S339),0)</f>
        <v>155070953642</v>
      </c>
    </row>
    <row r="342" spans="1:19" ht="18" thickTop="1">
      <c r="E342" s="588"/>
      <c r="F342" s="540"/>
      <c r="G342" s="540"/>
      <c r="H342" s="540"/>
      <c r="I342" s="588"/>
      <c r="J342" s="540"/>
      <c r="K342" s="588"/>
      <c r="L342" s="540"/>
      <c r="M342" s="588"/>
      <c r="N342" s="588"/>
      <c r="O342" s="588"/>
      <c r="P342" s="540"/>
      <c r="Q342" s="588"/>
      <c r="R342" s="2199"/>
      <c r="S342" s="588"/>
    </row>
    <row r="343" spans="1:19" s="486" customFormat="1">
      <c r="A343" s="592" t="s">
        <v>482</v>
      </c>
      <c r="B343" s="490"/>
      <c r="C343" s="490"/>
      <c r="D343" s="485"/>
      <c r="E343" s="551"/>
      <c r="F343" s="510"/>
      <c r="G343" s="510"/>
      <c r="H343" s="535"/>
      <c r="I343" s="236"/>
      <c r="J343" s="535"/>
      <c r="K343" s="236"/>
      <c r="L343" s="535"/>
      <c r="M343" s="236"/>
      <c r="N343" s="2176"/>
      <c r="O343" s="2176"/>
      <c r="P343" s="535"/>
      <c r="Q343" s="236"/>
      <c r="R343" s="2199"/>
      <c r="S343" s="236"/>
    </row>
    <row r="344" spans="1:19" s="486" customFormat="1" ht="15">
      <c r="A344" s="490"/>
      <c r="B344" s="490"/>
      <c r="C344" s="490"/>
      <c r="D344" s="485"/>
      <c r="E344" s="236"/>
      <c r="F344" s="535"/>
      <c r="G344" s="535"/>
      <c r="H344" s="535"/>
      <c r="I344" s="236"/>
      <c r="J344" s="535"/>
      <c r="K344" s="236"/>
      <c r="L344" s="535"/>
      <c r="M344" s="553"/>
      <c r="N344" s="553"/>
      <c r="O344" s="553"/>
      <c r="P344" s="535"/>
      <c r="Q344" s="553"/>
      <c r="R344" s="2199"/>
      <c r="S344" s="553"/>
    </row>
    <row r="345" spans="1:19" s="508" customFormat="1" ht="15">
      <c r="A345" s="503"/>
      <c r="B345" s="504" t="s">
        <v>418</v>
      </c>
      <c r="C345" s="504">
        <v>0</v>
      </c>
      <c r="D345" s="505"/>
      <c r="E345" s="509">
        <v>100000</v>
      </c>
      <c r="F345" s="511"/>
      <c r="G345" s="510">
        <v>100000</v>
      </c>
      <c r="H345" s="511"/>
      <c r="I345" s="1113">
        <v>100000</v>
      </c>
      <c r="J345" s="516"/>
      <c r="K345" s="517">
        <v>0</v>
      </c>
      <c r="L345" s="511"/>
      <c r="M345" s="472">
        <v>0</v>
      </c>
      <c r="N345" s="510"/>
      <c r="O345" s="510">
        <v>0</v>
      </c>
      <c r="P345" s="511"/>
      <c r="Q345" s="510">
        <f>ROUND(+SUM(E345)+SUM(G345)-SUM(I345)+SUM(K345) +SUM(M345)-SUM(O345),0)</f>
        <v>100000</v>
      </c>
      <c r="R345" s="2193"/>
      <c r="S345" s="593">
        <v>0</v>
      </c>
    </row>
    <row r="346" spans="1:19" s="508" customFormat="1" ht="15">
      <c r="A346" s="497"/>
      <c r="B346" s="504" t="s">
        <v>384</v>
      </c>
      <c r="C346" s="504">
        <v>0</v>
      </c>
      <c r="D346" s="513"/>
      <c r="E346" s="509">
        <v>3599673</v>
      </c>
      <c r="F346" s="514"/>
      <c r="G346" s="511">
        <v>21261000</v>
      </c>
      <c r="H346" s="514"/>
      <c r="I346" s="1113">
        <v>1303898</v>
      </c>
      <c r="J346" s="516"/>
      <c r="K346" s="517">
        <v>0</v>
      </c>
      <c r="L346" s="512"/>
      <c r="M346" s="472">
        <v>0</v>
      </c>
      <c r="N346" s="510"/>
      <c r="O346" s="510">
        <v>14216389</v>
      </c>
      <c r="P346" s="512"/>
      <c r="Q346" s="510">
        <f t="shared" ref="Q346:Q351" si="15">ROUND(+SUM(E346)+SUM(G346)-SUM(I346)+SUM(K346) +SUM(M346)-SUM(O346),0)</f>
        <v>9340386</v>
      </c>
      <c r="R346" s="2187"/>
      <c r="S346" s="1113">
        <v>14216389</v>
      </c>
    </row>
    <row r="347" spans="1:19" s="508" customFormat="1" ht="15">
      <c r="A347" s="494"/>
      <c r="B347" s="504" t="s">
        <v>423</v>
      </c>
      <c r="C347" s="504">
        <v>0</v>
      </c>
      <c r="D347" s="495"/>
      <c r="E347" s="509">
        <v>628905</v>
      </c>
      <c r="F347" s="510"/>
      <c r="G347" s="510">
        <v>475000</v>
      </c>
      <c r="H347" s="510"/>
      <c r="I347" s="542">
        <v>419378</v>
      </c>
      <c r="J347" s="516"/>
      <c r="K347" s="517">
        <v>0</v>
      </c>
      <c r="L347" s="510"/>
      <c r="M347" s="472">
        <v>0</v>
      </c>
      <c r="N347" s="510"/>
      <c r="O347" s="510">
        <v>87399</v>
      </c>
      <c r="P347" s="510"/>
      <c r="Q347" s="510">
        <f t="shared" si="15"/>
        <v>597128</v>
      </c>
      <c r="R347" s="2186"/>
      <c r="S347" s="1113">
        <v>87399</v>
      </c>
    </row>
    <row r="348" spans="1:19" s="508" customFormat="1" ht="15">
      <c r="B348" s="504" t="s">
        <v>483</v>
      </c>
      <c r="C348" s="504">
        <v>0</v>
      </c>
      <c r="D348" s="495"/>
      <c r="E348" s="509">
        <v>98220</v>
      </c>
      <c r="F348" s="510"/>
      <c r="G348" s="509">
        <v>742000</v>
      </c>
      <c r="H348" s="510"/>
      <c r="I348" s="1113">
        <v>52581</v>
      </c>
      <c r="J348" s="516"/>
      <c r="K348" s="517">
        <v>0</v>
      </c>
      <c r="L348" s="510"/>
      <c r="M348" s="472">
        <v>0</v>
      </c>
      <c r="N348" s="510"/>
      <c r="O348" s="510">
        <v>530408</v>
      </c>
      <c r="P348" s="510"/>
      <c r="Q348" s="510">
        <f t="shared" si="15"/>
        <v>257231</v>
      </c>
      <c r="R348" s="2186"/>
      <c r="S348" s="1113">
        <v>530408</v>
      </c>
    </row>
    <row r="349" spans="1:19" s="508" customFormat="1" ht="15">
      <c r="A349" s="497"/>
      <c r="B349" s="504" t="s">
        <v>326</v>
      </c>
      <c r="C349" s="504">
        <v>0</v>
      </c>
      <c r="D349" s="515"/>
      <c r="E349" s="509">
        <v>8481108</v>
      </c>
      <c r="F349" s="510"/>
      <c r="G349" s="510">
        <v>42601000</v>
      </c>
      <c r="H349" s="510"/>
      <c r="I349" s="1113">
        <v>5871066</v>
      </c>
      <c r="J349" s="516"/>
      <c r="K349" s="517">
        <v>0</v>
      </c>
      <c r="L349" s="510"/>
      <c r="M349" s="472">
        <v>0</v>
      </c>
      <c r="N349" s="510"/>
      <c r="O349" s="510">
        <v>36884996</v>
      </c>
      <c r="P349" s="510"/>
      <c r="Q349" s="510">
        <f t="shared" si="15"/>
        <v>8326046</v>
      </c>
      <c r="R349" s="2186"/>
      <c r="S349" s="1113">
        <v>37029624</v>
      </c>
    </row>
    <row r="350" spans="1:19" s="508" customFormat="1" ht="15">
      <c r="A350" s="554"/>
      <c r="B350" s="504" t="s">
        <v>484</v>
      </c>
      <c r="C350" s="504">
        <v>0</v>
      </c>
      <c r="D350" s="495"/>
      <c r="E350" s="509">
        <v>10000</v>
      </c>
      <c r="F350" s="510"/>
      <c r="G350" s="535">
        <v>10000</v>
      </c>
      <c r="H350" s="510"/>
      <c r="I350" s="1113">
        <v>10000</v>
      </c>
      <c r="J350" s="516"/>
      <c r="K350" s="517">
        <v>0</v>
      </c>
      <c r="L350" s="510"/>
      <c r="M350" s="472">
        <v>0</v>
      </c>
      <c r="N350" s="510"/>
      <c r="O350" s="510">
        <v>0</v>
      </c>
      <c r="P350" s="510"/>
      <c r="Q350" s="510">
        <f t="shared" si="15"/>
        <v>10000</v>
      </c>
      <c r="R350" s="2186"/>
      <c r="S350" s="593">
        <v>0</v>
      </c>
    </row>
    <row r="351" spans="1:19" s="525" customFormat="1" ht="15">
      <c r="A351" s="530"/>
      <c r="B351" s="504" t="s">
        <v>485</v>
      </c>
      <c r="C351" s="504">
        <v>0</v>
      </c>
      <c r="D351" s="531"/>
      <c r="E351" s="527">
        <v>171315</v>
      </c>
      <c r="F351" s="523"/>
      <c r="G351" s="564">
        <v>1766000</v>
      </c>
      <c r="H351" s="523"/>
      <c r="I351" s="1113">
        <v>33428</v>
      </c>
      <c r="J351" s="516"/>
      <c r="K351" s="517">
        <v>0</v>
      </c>
      <c r="L351" s="523"/>
      <c r="M351" s="472">
        <v>0</v>
      </c>
      <c r="N351" s="510"/>
      <c r="O351" s="510">
        <v>1392331</v>
      </c>
      <c r="P351" s="520"/>
      <c r="Q351" s="510">
        <f t="shared" si="15"/>
        <v>511556</v>
      </c>
      <c r="R351" s="2191"/>
      <c r="S351" s="1113">
        <v>1392383</v>
      </c>
    </row>
    <row r="352" spans="1:19" s="486" customFormat="1" ht="15">
      <c r="B352" s="504" t="s">
        <v>345</v>
      </c>
      <c r="C352" s="504">
        <v>0</v>
      </c>
      <c r="D352" s="485"/>
      <c r="E352" s="472">
        <v>4000000</v>
      </c>
      <c r="F352" s="535"/>
      <c r="G352" s="535">
        <v>4000000</v>
      </c>
      <c r="H352" s="535"/>
      <c r="I352" s="1113">
        <v>4000000</v>
      </c>
      <c r="J352" s="516"/>
      <c r="K352" s="517">
        <v>0</v>
      </c>
      <c r="L352" s="535"/>
      <c r="M352" s="472">
        <v>0</v>
      </c>
      <c r="N352" s="510"/>
      <c r="O352" s="510">
        <v>0</v>
      </c>
      <c r="P352" s="535"/>
      <c r="Q352" s="510">
        <f t="shared" ref="Q352:Q356" si="16">ROUND(+SUM(E352)+SUM(G352)-SUM(I352)+SUM(K352) +SUM(M352)-SUM(O352),0)</f>
        <v>4000000</v>
      </c>
      <c r="R352" s="2192"/>
      <c r="S352" s="517">
        <v>0</v>
      </c>
    </row>
    <row r="353" spans="1:19" s="508" customFormat="1" ht="15">
      <c r="B353" s="504" t="s">
        <v>351</v>
      </c>
      <c r="C353" s="504">
        <v>0</v>
      </c>
      <c r="D353" s="495"/>
      <c r="E353" s="517">
        <v>527000</v>
      </c>
      <c r="F353" s="510"/>
      <c r="G353" s="535">
        <v>500000</v>
      </c>
      <c r="H353" s="510"/>
      <c r="I353" s="1113">
        <v>527000</v>
      </c>
      <c r="J353" s="516"/>
      <c r="K353" s="517">
        <v>0</v>
      </c>
      <c r="L353" s="510"/>
      <c r="M353" s="472">
        <v>0</v>
      </c>
      <c r="N353" s="510"/>
      <c r="O353" s="510">
        <v>0</v>
      </c>
      <c r="P353" s="510"/>
      <c r="Q353" s="510">
        <f t="shared" si="16"/>
        <v>500000</v>
      </c>
      <c r="R353" s="2186"/>
      <c r="S353" s="593">
        <v>0</v>
      </c>
    </row>
    <row r="354" spans="1:19" s="486" customFormat="1" ht="15">
      <c r="B354" s="504" t="s">
        <v>486</v>
      </c>
      <c r="C354" s="504">
        <v>0</v>
      </c>
      <c r="D354" s="485"/>
      <c r="E354" s="536">
        <v>4580426938</v>
      </c>
      <c r="F354" s="535"/>
      <c r="G354" s="535">
        <v>3280000000</v>
      </c>
      <c r="H354" s="535"/>
      <c r="I354" s="1113">
        <v>46495304</v>
      </c>
      <c r="J354" s="516"/>
      <c r="K354" s="517">
        <v>0</v>
      </c>
      <c r="L354" s="535"/>
      <c r="M354" s="472">
        <v>0</v>
      </c>
      <c r="N354" s="510"/>
      <c r="O354" s="510">
        <v>2366682999</v>
      </c>
      <c r="P354" s="535"/>
      <c r="Q354" s="510">
        <f t="shared" si="16"/>
        <v>5447248635</v>
      </c>
      <c r="R354" s="2192"/>
      <c r="S354" s="1113">
        <v>2366682999</v>
      </c>
    </row>
    <row r="355" spans="1:19" s="486" customFormat="1" ht="15">
      <c r="B355" s="504" t="s">
        <v>487</v>
      </c>
      <c r="C355" s="504">
        <v>0</v>
      </c>
      <c r="D355" s="485"/>
      <c r="E355" s="536">
        <v>6779453</v>
      </c>
      <c r="F355" s="535"/>
      <c r="G355" s="535">
        <v>8606000</v>
      </c>
      <c r="H355" s="535"/>
      <c r="I355" s="1113">
        <v>6599517</v>
      </c>
      <c r="J355" s="516"/>
      <c r="K355" s="517">
        <v>0</v>
      </c>
      <c r="L355" s="535"/>
      <c r="M355" s="472">
        <v>0</v>
      </c>
      <c r="N355" s="510"/>
      <c r="O355" s="510">
        <v>2307398</v>
      </c>
      <c r="P355" s="535"/>
      <c r="Q355" s="510">
        <f t="shared" si="16"/>
        <v>6478538</v>
      </c>
      <c r="R355" s="2192"/>
      <c r="S355" s="1113">
        <v>2316913</v>
      </c>
    </row>
    <row r="356" spans="1:19" s="486" customFormat="1" ht="15">
      <c r="B356" s="504" t="s">
        <v>364</v>
      </c>
      <c r="C356" s="504">
        <v>0</v>
      </c>
      <c r="D356" s="485"/>
      <c r="E356" s="536">
        <v>1924963</v>
      </c>
      <c r="F356" s="535"/>
      <c r="G356" s="535">
        <v>2657000</v>
      </c>
      <c r="H356" s="535"/>
      <c r="I356" s="1113">
        <v>1869390</v>
      </c>
      <c r="J356" s="516"/>
      <c r="K356" s="517">
        <v>0</v>
      </c>
      <c r="L356" s="535"/>
      <c r="M356" s="472">
        <v>0</v>
      </c>
      <c r="N356" s="510"/>
      <c r="O356" s="510">
        <v>576264</v>
      </c>
      <c r="P356" s="535"/>
      <c r="Q356" s="510">
        <f t="shared" si="16"/>
        <v>2136309</v>
      </c>
      <c r="R356" s="2192"/>
      <c r="S356" s="1113">
        <v>576335</v>
      </c>
    </row>
    <row r="357" spans="1:19" s="486" customFormat="1" ht="15">
      <c r="B357" s="595" t="s">
        <v>2267</v>
      </c>
      <c r="C357" s="504" t="s">
        <v>6</v>
      </c>
      <c r="D357" s="505"/>
      <c r="E357" s="581">
        <f>ROUND(SUM(E345:E356),0)</f>
        <v>4606747575</v>
      </c>
      <c r="F357" s="511"/>
      <c r="G357" s="581">
        <f>ROUND(SUM(G345:G356),0)</f>
        <v>3362718000</v>
      </c>
      <c r="H357" s="511"/>
      <c r="I357" s="581">
        <f>ROUND(SUM(I345:I356),0)</f>
        <v>67281562</v>
      </c>
      <c r="J357" s="511"/>
      <c r="K357" s="581">
        <f>ROUND(SUM(K345:K356),0)</f>
        <v>0</v>
      </c>
      <c r="L357" s="511"/>
      <c r="M357" s="581">
        <f>ROUND(SUM(M345:M356),0)</f>
        <v>0</v>
      </c>
      <c r="N357" s="510"/>
      <c r="O357" s="581">
        <f>ROUND(SUM(O345:O356),0)</f>
        <v>2422678184</v>
      </c>
      <c r="P357" s="581">
        <f>ROUND(SUM(P345:P356),0)</f>
        <v>0</v>
      </c>
      <c r="Q357" s="550">
        <f>ROUND(+SUM(E357)+SUM(G357)-SUM(I357)+SUM(K357) +SUM(M357)-SUM(O357),0)</f>
        <v>5479505829</v>
      </c>
      <c r="R357" s="2192"/>
      <c r="S357" s="581">
        <f>ROUND(SUM(S345:S356),0)</f>
        <v>2422832450</v>
      </c>
    </row>
    <row r="358" spans="1:19">
      <c r="E358" s="588"/>
      <c r="F358" s="540"/>
      <c r="G358" s="540"/>
      <c r="H358" s="540"/>
      <c r="I358" s="588"/>
      <c r="J358" s="540"/>
      <c r="K358" s="588"/>
      <c r="L358" s="540"/>
      <c r="M358" s="588"/>
      <c r="N358" s="588"/>
      <c r="O358" s="588"/>
      <c r="P358" s="540"/>
      <c r="Q358" s="588"/>
      <c r="R358" s="2192"/>
      <c r="S358" s="588"/>
    </row>
    <row r="359" spans="1:19" s="486" customFormat="1">
      <c r="A359" s="592" t="s">
        <v>488</v>
      </c>
      <c r="B359" s="504"/>
      <c r="C359" s="504"/>
      <c r="D359" s="485"/>
      <c r="E359" s="596"/>
      <c r="F359" s="535"/>
      <c r="G359" s="510"/>
      <c r="H359" s="535"/>
      <c r="I359" s="516"/>
      <c r="J359" s="535"/>
      <c r="K359" s="516"/>
      <c r="L359" s="535"/>
      <c r="M359" s="516"/>
      <c r="N359" s="516"/>
      <c r="O359" s="516"/>
      <c r="P359" s="535"/>
      <c r="Q359" s="510"/>
      <c r="R359" s="2192"/>
      <c r="S359" s="516"/>
    </row>
    <row r="360" spans="1:19" s="486" customFormat="1" ht="15">
      <c r="B360" s="504"/>
      <c r="C360" s="504">
        <v>0</v>
      </c>
      <c r="D360" s="485"/>
      <c r="E360" s="473"/>
      <c r="F360" s="535"/>
      <c r="G360" s="510"/>
      <c r="H360" s="535"/>
      <c r="I360" s="516"/>
      <c r="J360" s="535"/>
      <c r="K360" s="516"/>
      <c r="L360" s="535"/>
      <c r="M360" s="516"/>
      <c r="N360" s="516"/>
      <c r="O360" s="516"/>
      <c r="P360" s="535"/>
      <c r="Q360" s="510"/>
      <c r="R360" s="2192"/>
      <c r="S360" s="516"/>
    </row>
    <row r="361" spans="1:19" s="508" customFormat="1" ht="15">
      <c r="A361" s="497"/>
      <c r="B361" s="504" t="s">
        <v>422</v>
      </c>
      <c r="C361" s="504">
        <v>0</v>
      </c>
      <c r="D361" s="505"/>
      <c r="E361" s="509">
        <v>581812</v>
      </c>
      <c r="F361" s="511"/>
      <c r="G361" s="510">
        <v>1650000</v>
      </c>
      <c r="H361" s="511"/>
      <c r="I361" s="1113">
        <v>537456</v>
      </c>
      <c r="J361" s="516"/>
      <c r="K361" s="517">
        <v>0</v>
      </c>
      <c r="L361" s="511"/>
      <c r="M361" s="472">
        <v>0</v>
      </c>
      <c r="N361" s="510"/>
      <c r="O361" s="510">
        <v>1123095</v>
      </c>
      <c r="P361" s="511"/>
      <c r="Q361" s="510">
        <f>ROUND(+SUM(E361)+SUM(G361)-SUM(I361)+SUM(K361) +SUM(M361)-SUM(O361),0)</f>
        <v>571261</v>
      </c>
      <c r="R361" s="2193"/>
      <c r="S361" s="1113">
        <v>1123095</v>
      </c>
    </row>
    <row r="362" spans="1:19" s="508" customFormat="1" ht="15">
      <c r="A362" s="494"/>
      <c r="B362" s="504" t="s">
        <v>423</v>
      </c>
      <c r="C362" s="504">
        <v>0</v>
      </c>
      <c r="D362" s="495"/>
      <c r="E362" s="509">
        <v>10537158</v>
      </c>
      <c r="F362" s="510"/>
      <c r="G362" s="510">
        <v>13577000</v>
      </c>
      <c r="H362" s="510"/>
      <c r="I362" s="1113">
        <v>9981131</v>
      </c>
      <c r="J362" s="516"/>
      <c r="K362" s="517">
        <v>0</v>
      </c>
      <c r="L362" s="510"/>
      <c r="M362" s="472">
        <v>0</v>
      </c>
      <c r="N362" s="510"/>
      <c r="O362" s="510">
        <v>6358845</v>
      </c>
      <c r="P362" s="510"/>
      <c r="Q362" s="510">
        <f t="shared" ref="Q362:Q372" si="17">ROUND(+SUM(E362)+SUM(G362)-SUM(I362)+SUM(K362) +SUM(M362)-SUM(O362),0)</f>
        <v>7774182</v>
      </c>
      <c r="R362" s="2186"/>
      <c r="S362" s="1113">
        <v>6358845</v>
      </c>
    </row>
    <row r="363" spans="1:19" s="508" customFormat="1" ht="15">
      <c r="B363" s="504" t="s">
        <v>489</v>
      </c>
      <c r="C363" s="504">
        <v>0</v>
      </c>
      <c r="D363" s="515"/>
      <c r="E363" s="474">
        <v>16354423</v>
      </c>
      <c r="F363" s="518"/>
      <c r="G363" s="518">
        <v>34445000</v>
      </c>
      <c r="H363" s="518"/>
      <c r="I363" s="1113">
        <v>15032362</v>
      </c>
      <c r="J363" s="516"/>
      <c r="K363" s="1113">
        <v>-998000</v>
      </c>
      <c r="L363" s="518"/>
      <c r="M363" s="472">
        <v>0</v>
      </c>
      <c r="N363" s="510"/>
      <c r="O363" s="510">
        <v>17527076</v>
      </c>
      <c r="P363" s="518"/>
      <c r="Q363" s="510">
        <f t="shared" si="17"/>
        <v>17241985</v>
      </c>
      <c r="R363" s="2188"/>
      <c r="S363" s="1113">
        <v>17527076</v>
      </c>
    </row>
    <row r="364" spans="1:19" s="508" customFormat="1" ht="15">
      <c r="B364" s="504" t="s">
        <v>2671</v>
      </c>
      <c r="C364" s="504">
        <v>0</v>
      </c>
      <c r="D364" s="515"/>
      <c r="E364" s="474">
        <v>11611594</v>
      </c>
      <c r="F364" s="518"/>
      <c r="G364" s="518">
        <v>64122000</v>
      </c>
      <c r="H364" s="518"/>
      <c r="I364" s="1113">
        <v>6730895</v>
      </c>
      <c r="J364" s="516"/>
      <c r="K364" s="517">
        <v>0</v>
      </c>
      <c r="L364" s="518"/>
      <c r="M364" s="472">
        <v>0</v>
      </c>
      <c r="N364" s="510"/>
      <c r="O364" s="510">
        <v>59166546</v>
      </c>
      <c r="P364" s="518"/>
      <c r="Q364" s="510">
        <f t="shared" si="17"/>
        <v>9836153</v>
      </c>
      <c r="R364" s="2188"/>
      <c r="S364" s="1113">
        <v>59182984</v>
      </c>
    </row>
    <row r="365" spans="1:19" s="508" customFormat="1" ht="15">
      <c r="A365" s="497"/>
      <c r="B365" s="504" t="s">
        <v>326</v>
      </c>
      <c r="C365" s="504">
        <v>0</v>
      </c>
      <c r="D365" s="515"/>
      <c r="E365" s="509">
        <v>32946187</v>
      </c>
      <c r="F365" s="510"/>
      <c r="G365" s="510">
        <v>8000000</v>
      </c>
      <c r="H365" s="510"/>
      <c r="I365" s="517">
        <v>0</v>
      </c>
      <c r="J365" s="516"/>
      <c r="K365" s="517">
        <v>0</v>
      </c>
      <c r="L365" s="510"/>
      <c r="M365" s="472">
        <v>0</v>
      </c>
      <c r="N365" s="510"/>
      <c r="O365" s="510">
        <v>6857560</v>
      </c>
      <c r="P365" s="510"/>
      <c r="Q365" s="510">
        <f t="shared" si="17"/>
        <v>34088627</v>
      </c>
      <c r="R365" s="2186"/>
      <c r="S365" s="1113">
        <v>6857560</v>
      </c>
    </row>
    <row r="366" spans="1:19" s="525" customFormat="1" ht="15">
      <c r="A366" s="521"/>
      <c r="B366" s="504" t="s">
        <v>490</v>
      </c>
      <c r="C366" s="504">
        <v>0</v>
      </c>
      <c r="D366" s="522"/>
      <c r="E366" s="509">
        <v>12892866</v>
      </c>
      <c r="F366" s="523"/>
      <c r="G366" s="524">
        <v>33663000</v>
      </c>
      <c r="H366" s="523"/>
      <c r="I366" s="1113">
        <v>10789886</v>
      </c>
      <c r="J366" s="516"/>
      <c r="K366" s="517">
        <v>0</v>
      </c>
      <c r="L366" s="523"/>
      <c r="M366" s="472">
        <v>0</v>
      </c>
      <c r="N366" s="510"/>
      <c r="O366" s="510">
        <v>22537336</v>
      </c>
      <c r="P366" s="523"/>
      <c r="Q366" s="510">
        <f t="shared" si="17"/>
        <v>13228644</v>
      </c>
      <c r="R366" s="2189"/>
      <c r="S366" s="1113">
        <v>22537336</v>
      </c>
    </row>
    <row r="367" spans="1:19" s="525" customFormat="1" ht="15">
      <c r="A367" s="530"/>
      <c r="B367" s="504" t="s">
        <v>491</v>
      </c>
      <c r="C367" s="504">
        <v>0</v>
      </c>
      <c r="D367" s="497"/>
      <c r="E367" s="527">
        <v>1293059</v>
      </c>
      <c r="F367" s="523"/>
      <c r="G367" s="524">
        <v>1947000</v>
      </c>
      <c r="H367" s="523"/>
      <c r="I367" s="1113">
        <v>1228811</v>
      </c>
      <c r="J367" s="516"/>
      <c r="K367" s="517">
        <v>0</v>
      </c>
      <c r="L367" s="523"/>
      <c r="M367" s="472">
        <v>0</v>
      </c>
      <c r="N367" s="510"/>
      <c r="O367" s="510">
        <v>739231</v>
      </c>
      <c r="P367" s="520"/>
      <c r="Q367" s="510">
        <f t="shared" si="17"/>
        <v>1272017</v>
      </c>
      <c r="R367" s="2191"/>
      <c r="S367" s="1113">
        <v>739231</v>
      </c>
    </row>
    <row r="368" spans="1:19" s="525" customFormat="1" ht="15">
      <c r="A368" s="530"/>
      <c r="B368" s="504" t="s">
        <v>492</v>
      </c>
      <c r="C368" s="504">
        <v>0</v>
      </c>
      <c r="D368" s="531"/>
      <c r="E368" s="527">
        <v>95000</v>
      </c>
      <c r="F368" s="523"/>
      <c r="G368" s="524">
        <v>95000</v>
      </c>
      <c r="H368" s="523"/>
      <c r="I368" s="1113">
        <v>95000</v>
      </c>
      <c r="J368" s="516"/>
      <c r="K368" s="517">
        <v>0</v>
      </c>
      <c r="L368" s="523"/>
      <c r="M368" s="472">
        <v>0</v>
      </c>
      <c r="N368" s="510"/>
      <c r="O368" s="510">
        <v>68033</v>
      </c>
      <c r="P368" s="520"/>
      <c r="Q368" s="510">
        <f t="shared" si="17"/>
        <v>26967</v>
      </c>
      <c r="R368" s="2191"/>
      <c r="S368" s="517">
        <v>68033</v>
      </c>
    </row>
    <row r="369" spans="1:19" s="525" customFormat="1" ht="15">
      <c r="A369" s="530"/>
      <c r="B369" s="504" t="s">
        <v>485</v>
      </c>
      <c r="C369" s="504">
        <v>0</v>
      </c>
      <c r="D369" s="505"/>
      <c r="E369" s="527">
        <v>468413476</v>
      </c>
      <c r="F369" s="511"/>
      <c r="G369" s="564">
        <v>830186000</v>
      </c>
      <c r="H369" s="511"/>
      <c r="I369" s="1113">
        <v>438479296</v>
      </c>
      <c r="J369" s="516"/>
      <c r="K369" s="511">
        <v>0</v>
      </c>
      <c r="L369" s="511"/>
      <c r="M369" s="472">
        <v>0</v>
      </c>
      <c r="N369" s="510"/>
      <c r="O369" s="510">
        <v>336738667</v>
      </c>
      <c r="P369" s="511"/>
      <c r="Q369" s="510">
        <f t="shared" si="17"/>
        <v>523381513</v>
      </c>
      <c r="R369" s="2193"/>
      <c r="S369" s="1113">
        <v>336699825</v>
      </c>
    </row>
    <row r="370" spans="1:19" s="508" customFormat="1" ht="15">
      <c r="B370" s="504" t="s">
        <v>398</v>
      </c>
      <c r="C370" s="504">
        <v>0</v>
      </c>
      <c r="D370" s="495"/>
      <c r="E370" s="509">
        <v>1402675</v>
      </c>
      <c r="F370" s="510"/>
      <c r="G370" s="510">
        <v>0</v>
      </c>
      <c r="H370" s="510"/>
      <c r="I370" s="1113">
        <v>1402675</v>
      </c>
      <c r="J370" s="516"/>
      <c r="K370" s="517">
        <v>0</v>
      </c>
      <c r="L370" s="510"/>
      <c r="M370" s="472">
        <v>0</v>
      </c>
      <c r="N370" s="510"/>
      <c r="O370" s="510">
        <v>0</v>
      </c>
      <c r="P370" s="510"/>
      <c r="Q370" s="510">
        <f t="shared" si="17"/>
        <v>0</v>
      </c>
      <c r="R370" s="2186"/>
      <c r="S370" s="1113">
        <v>0</v>
      </c>
    </row>
    <row r="371" spans="1:19" s="486" customFormat="1" ht="15">
      <c r="B371" s="504" t="s">
        <v>345</v>
      </c>
      <c r="C371" s="504">
        <v>0</v>
      </c>
      <c r="D371" s="485"/>
      <c r="E371" s="534">
        <v>531297904</v>
      </c>
      <c r="F371" s="535"/>
      <c r="G371" s="535">
        <v>301064000</v>
      </c>
      <c r="H371" s="535"/>
      <c r="I371" s="1113">
        <v>389810491</v>
      </c>
      <c r="J371" s="516"/>
      <c r="K371" s="517">
        <v>0</v>
      </c>
      <c r="L371" s="535"/>
      <c r="M371" s="472">
        <v>0</v>
      </c>
      <c r="N371" s="510"/>
      <c r="O371" s="510">
        <v>25440475</v>
      </c>
      <c r="P371" s="535"/>
      <c r="Q371" s="510">
        <f t="shared" si="17"/>
        <v>417110938</v>
      </c>
      <c r="R371" s="2192"/>
      <c r="S371" s="1113">
        <v>25490452</v>
      </c>
    </row>
    <row r="372" spans="1:19" s="508" customFormat="1" ht="15">
      <c r="A372" s="486"/>
      <c r="B372" s="504" t="s">
        <v>2672</v>
      </c>
      <c r="C372" s="504">
        <v>0</v>
      </c>
      <c r="D372" s="495"/>
      <c r="E372" s="594">
        <v>12181032</v>
      </c>
      <c r="F372" s="510"/>
      <c r="G372" s="510">
        <v>4338000</v>
      </c>
      <c r="H372" s="510"/>
      <c r="I372" s="516">
        <v>8370086</v>
      </c>
      <c r="J372" s="516"/>
      <c r="K372" s="517">
        <v>0</v>
      </c>
      <c r="L372" s="510"/>
      <c r="M372" s="472">
        <v>0</v>
      </c>
      <c r="N372" s="510"/>
      <c r="O372" s="510">
        <v>1924625</v>
      </c>
      <c r="P372" s="510"/>
      <c r="Q372" s="510">
        <f t="shared" si="17"/>
        <v>6224321</v>
      </c>
      <c r="R372" s="2186"/>
      <c r="S372" s="1113">
        <v>1924625</v>
      </c>
    </row>
    <row r="373" spans="1:19" s="525" customFormat="1" ht="15">
      <c r="A373" s="530"/>
      <c r="B373" s="504"/>
      <c r="C373" s="504"/>
      <c r="D373" s="531"/>
      <c r="E373" s="527"/>
      <c r="F373" s="523"/>
      <c r="G373" s="524"/>
      <c r="H373" s="523"/>
      <c r="I373" s="529"/>
      <c r="J373" s="532"/>
      <c r="K373" s="517"/>
      <c r="L373" s="523"/>
      <c r="M373" s="472"/>
      <c r="N373" s="472"/>
      <c r="O373" s="472"/>
      <c r="P373" s="510"/>
      <c r="Q373" s="510"/>
      <c r="R373" s="520"/>
      <c r="S373" s="517"/>
    </row>
    <row r="374" spans="1:19" s="525" customFormat="1" ht="15">
      <c r="A374" s="530"/>
      <c r="B374" s="504"/>
      <c r="C374" s="504"/>
      <c r="D374" s="531"/>
      <c r="E374" s="527"/>
      <c r="F374" s="523"/>
      <c r="G374" s="524"/>
      <c r="H374" s="523"/>
      <c r="I374" s="529"/>
      <c r="J374" s="532"/>
      <c r="K374" s="517"/>
      <c r="L374" s="523"/>
      <c r="M374" s="472"/>
      <c r="N374" s="472"/>
      <c r="O374" s="472"/>
      <c r="P374" s="510"/>
      <c r="Q374" s="510"/>
      <c r="R374" s="520"/>
      <c r="S374" s="517"/>
    </row>
    <row r="376" spans="1:19">
      <c r="A376" s="2356" t="s">
        <v>275</v>
      </c>
      <c r="B376" s="2404" t="s">
        <v>310</v>
      </c>
      <c r="C376" s="2404"/>
      <c r="D376" s="2404"/>
      <c r="E376" s="2404"/>
      <c r="F376" s="2404"/>
      <c r="G376" s="2404"/>
      <c r="H376" s="2404"/>
      <c r="I376" s="2404"/>
      <c r="J376" s="2404"/>
      <c r="K376" s="2404"/>
      <c r="L376" s="2404"/>
      <c r="M376" s="2404"/>
      <c r="N376" s="2404"/>
      <c r="O376" s="2404"/>
      <c r="P376" s="2404"/>
      <c r="Q376" s="2404"/>
      <c r="R376" s="2404"/>
      <c r="S376" s="2404"/>
    </row>
    <row r="377" spans="1:19">
      <c r="A377" s="2356" t="s">
        <v>309</v>
      </c>
      <c r="B377" s="2404" t="s">
        <v>312</v>
      </c>
      <c r="C377" s="2404"/>
      <c r="D377" s="2404"/>
      <c r="E377" s="2404"/>
      <c r="F377" s="2404"/>
      <c r="G377" s="2404"/>
      <c r="H377" s="2404"/>
      <c r="I377" s="2404"/>
      <c r="J377" s="2404"/>
      <c r="K377" s="2404"/>
      <c r="L377" s="2404"/>
      <c r="M377" s="2404"/>
      <c r="N377" s="2404"/>
      <c r="O377" s="2404"/>
      <c r="P377" s="2404"/>
      <c r="Q377" s="2404"/>
      <c r="R377" s="2404"/>
      <c r="S377" s="2404"/>
    </row>
    <row r="378" spans="1:19" ht="18">
      <c r="A378" s="2409" t="s">
        <v>0</v>
      </c>
      <c r="B378" s="2409"/>
      <c r="C378" s="2409"/>
      <c r="D378" s="2409"/>
      <c r="E378" s="2409"/>
      <c r="F378" s="2409"/>
      <c r="G378" s="2409"/>
      <c r="H378" s="2409"/>
      <c r="I378" s="2175"/>
      <c r="J378" s="480"/>
      <c r="K378" s="2175"/>
      <c r="L378" s="480"/>
      <c r="M378" s="2175"/>
      <c r="N378" s="2175"/>
      <c r="O378" s="2175"/>
      <c r="P378" s="480"/>
      <c r="Q378" s="480"/>
      <c r="R378" s="480"/>
      <c r="S378" s="482" t="s">
        <v>313</v>
      </c>
    </row>
    <row r="379" spans="1:19" ht="18">
      <c r="A379" s="2410" t="s">
        <v>314</v>
      </c>
      <c r="B379" s="2410"/>
      <c r="C379" s="2410"/>
      <c r="D379" s="2410"/>
      <c r="E379" s="2410"/>
      <c r="F379" s="2410"/>
      <c r="G379" s="2410"/>
      <c r="H379" s="2410"/>
      <c r="I379" s="2175"/>
      <c r="J379" s="480"/>
      <c r="K379" s="2175"/>
      <c r="L379" s="480"/>
      <c r="M379" s="2175"/>
      <c r="N379" s="2175"/>
      <c r="O379" s="2175"/>
      <c r="P379" s="480"/>
      <c r="Q379" s="480"/>
      <c r="R379" s="480"/>
      <c r="S379" s="480" t="s">
        <v>131</v>
      </c>
    </row>
    <row r="380" spans="1:19" ht="18">
      <c r="A380" s="2410" t="s">
        <v>2540</v>
      </c>
      <c r="B380" s="2410"/>
      <c r="C380" s="2410"/>
      <c r="D380" s="2410"/>
      <c r="E380" s="2410"/>
      <c r="F380" s="2410"/>
      <c r="G380" s="2410"/>
      <c r="H380" s="2410"/>
      <c r="I380" s="2175"/>
      <c r="J380" s="480"/>
      <c r="K380" s="2175"/>
      <c r="L380" s="480"/>
      <c r="M380" s="2175"/>
      <c r="N380" s="2175"/>
      <c r="O380" s="2175"/>
      <c r="P380" s="480"/>
      <c r="Q380" s="480"/>
      <c r="R380" s="480"/>
      <c r="S380" s="481"/>
    </row>
    <row r="381" spans="1:19" ht="18">
      <c r="A381" s="2409" t="s">
        <v>2648</v>
      </c>
      <c r="B381" s="2409"/>
      <c r="C381" s="2409"/>
      <c r="D381" s="2409"/>
      <c r="E381" s="2409"/>
      <c r="F381" s="2409"/>
      <c r="G381" s="2409"/>
      <c r="H381" s="2409"/>
      <c r="I381" s="2175"/>
      <c r="J381" s="2175"/>
      <c r="K381" s="2175"/>
      <c r="L381" s="2175"/>
      <c r="M381" s="2175"/>
      <c r="N381" s="2175"/>
      <c r="O381" s="2175"/>
      <c r="P381" s="2175"/>
      <c r="Q381" s="2175"/>
      <c r="R381" s="2175"/>
      <c r="S381" s="2175"/>
    </row>
    <row r="382" spans="1:19">
      <c r="A382" s="484"/>
      <c r="B382" s="484"/>
      <c r="C382" s="484"/>
      <c r="D382" s="485"/>
      <c r="E382" s="486"/>
      <c r="F382" s="485"/>
      <c r="G382" s="485"/>
      <c r="H382" s="485"/>
      <c r="I382" s="486"/>
      <c r="J382" s="485"/>
      <c r="K382" s="486"/>
      <c r="L382" s="485"/>
      <c r="M382" s="486"/>
      <c r="N382" s="486"/>
      <c r="O382" s="486"/>
      <c r="P382" s="485"/>
      <c r="Q382" s="486"/>
      <c r="R382" s="485"/>
      <c r="S382" s="486"/>
    </row>
    <row r="383" spans="1:19">
      <c r="A383" s="486"/>
      <c r="B383" s="486"/>
      <c r="C383" s="486"/>
      <c r="D383" s="485"/>
      <c r="E383" s="486"/>
      <c r="F383" s="485"/>
      <c r="G383" s="485"/>
      <c r="H383" s="485"/>
      <c r="I383" s="486"/>
      <c r="J383" s="485"/>
      <c r="K383" s="486"/>
      <c r="L383" s="485"/>
      <c r="M383" s="486"/>
      <c r="N383" s="486"/>
      <c r="O383" s="486"/>
      <c r="P383" s="485"/>
      <c r="Q383" s="486"/>
      <c r="R383" s="485"/>
      <c r="S383" s="486"/>
    </row>
    <row r="384" spans="1:19">
      <c r="A384" s="486"/>
      <c r="B384" s="486"/>
      <c r="C384" s="486"/>
      <c r="D384" s="485"/>
      <c r="E384" s="486"/>
      <c r="F384" s="485"/>
      <c r="G384" s="485"/>
      <c r="H384" s="485"/>
      <c r="I384" s="487"/>
      <c r="J384" s="485"/>
      <c r="K384" s="486"/>
      <c r="L384" s="485"/>
      <c r="M384" s="488" t="s">
        <v>280</v>
      </c>
      <c r="N384" s="488"/>
      <c r="O384" s="488"/>
      <c r="P384" s="488"/>
      <c r="Q384" s="489"/>
      <c r="R384" s="485"/>
      <c r="S384" s="486"/>
    </row>
    <row r="385" spans="1:19">
      <c r="A385" s="486"/>
      <c r="B385" s="486"/>
      <c r="C385" s="486"/>
      <c r="D385" s="485"/>
      <c r="E385" s="486"/>
      <c r="F385" s="485"/>
      <c r="G385"/>
      <c r="H385" s="485"/>
      <c r="I385" s="489"/>
      <c r="J385" s="485"/>
      <c r="K385" s="486"/>
      <c r="L385" s="485"/>
      <c r="M385" s="486"/>
      <c r="N385" s="2180"/>
      <c r="O385"/>
      <c r="P385" s="485"/>
      <c r="Q385" s="489" t="s">
        <v>2541</v>
      </c>
      <c r="R385" s="2179"/>
      <c r="S385" s="486"/>
    </row>
    <row r="386" spans="1:19">
      <c r="A386" s="490"/>
      <c r="B386" s="490"/>
      <c r="C386" s="490"/>
      <c r="D386" s="485"/>
      <c r="E386" s="489" t="s">
        <v>282</v>
      </c>
      <c r="F386" s="485"/>
      <c r="G386" s="489" t="s">
        <v>281</v>
      </c>
      <c r="H386" s="485"/>
      <c r="I386" s="489" t="s">
        <v>284</v>
      </c>
      <c r="J386" s="485"/>
      <c r="K386" s="489" t="s">
        <v>285</v>
      </c>
      <c r="L386" s="491"/>
      <c r="M386" s="492" t="s">
        <v>286</v>
      </c>
      <c r="N386" s="2180"/>
      <c r="O386" s="2180" t="s">
        <v>2542</v>
      </c>
      <c r="P386" s="485"/>
      <c r="Q386" s="489" t="s">
        <v>282</v>
      </c>
      <c r="R386" s="2179"/>
      <c r="S386" s="489" t="s">
        <v>2542</v>
      </c>
    </row>
    <row r="387" spans="1:19">
      <c r="A387" s="490"/>
      <c r="B387" s="490"/>
      <c r="C387" s="490"/>
      <c r="D387" s="485"/>
      <c r="E387" s="489" t="s">
        <v>287</v>
      </c>
      <c r="F387" s="485"/>
      <c r="G387" s="489" t="s">
        <v>283</v>
      </c>
      <c r="H387" s="485"/>
      <c r="I387" s="489" t="s">
        <v>282</v>
      </c>
      <c r="J387" s="485"/>
      <c r="K387" s="489" t="s">
        <v>288</v>
      </c>
      <c r="L387" s="491"/>
      <c r="M387" s="492" t="s">
        <v>2649</v>
      </c>
      <c r="N387" s="2180"/>
      <c r="O387" s="2181" t="s">
        <v>2584</v>
      </c>
      <c r="P387" s="485"/>
      <c r="Q387" s="489" t="s">
        <v>287</v>
      </c>
      <c r="R387" s="2179"/>
      <c r="S387" s="493" t="s">
        <v>2584</v>
      </c>
    </row>
    <row r="388" spans="1:19">
      <c r="A388" s="494"/>
      <c r="B388" s="494"/>
      <c r="C388" s="494"/>
      <c r="D388" s="495"/>
      <c r="E388" s="1971" t="s">
        <v>2593</v>
      </c>
      <c r="F388" s="495"/>
      <c r="G388" s="1971" t="s">
        <v>2650</v>
      </c>
      <c r="H388" s="495"/>
      <c r="I388" s="2182" t="s">
        <v>289</v>
      </c>
      <c r="J388" s="495"/>
      <c r="K388" s="2182" t="s">
        <v>2651</v>
      </c>
      <c r="L388" s="496"/>
      <c r="M388" s="2185" t="s">
        <v>2652</v>
      </c>
      <c r="N388" s="2368"/>
      <c r="O388" s="2183" t="s">
        <v>2543</v>
      </c>
      <c r="P388" s="485"/>
      <c r="Q388" s="1971" t="s">
        <v>2592</v>
      </c>
      <c r="R388" s="2179"/>
      <c r="S388" s="2182" t="s">
        <v>290</v>
      </c>
    </row>
    <row r="389" spans="1:19">
      <c r="A389" s="497"/>
      <c r="B389" s="497"/>
      <c r="C389" s="497"/>
      <c r="D389" s="485"/>
      <c r="E389" s="498"/>
      <c r="F389" s="485"/>
      <c r="G389" s="485"/>
      <c r="H389" s="485"/>
      <c r="I389" s="498"/>
      <c r="J389" s="485"/>
      <c r="K389" s="498"/>
      <c r="L389" s="495"/>
      <c r="M389" s="498"/>
      <c r="N389" s="508"/>
      <c r="O389" s="508"/>
      <c r="P389" s="485"/>
      <c r="Q389" s="498"/>
      <c r="R389" s="2192"/>
      <c r="S389" s="498"/>
    </row>
    <row r="390" spans="1:19">
      <c r="A390" s="499" t="s">
        <v>493</v>
      </c>
      <c r="R390" s="2192"/>
    </row>
    <row r="391" spans="1:19">
      <c r="R391" s="2192"/>
    </row>
    <row r="392" spans="1:19" s="486" customFormat="1" ht="15">
      <c r="B392" s="504" t="s">
        <v>2673</v>
      </c>
      <c r="C392" s="504">
        <v>0</v>
      </c>
      <c r="D392" s="485"/>
      <c r="E392" s="536">
        <v>1284383</v>
      </c>
      <c r="F392" s="535"/>
      <c r="G392" s="474">
        <v>2597000</v>
      </c>
      <c r="H392" s="535"/>
      <c r="I392" s="1113">
        <v>1205681</v>
      </c>
      <c r="J392" s="516"/>
      <c r="K392" s="517">
        <v>0</v>
      </c>
      <c r="L392" s="535"/>
      <c r="M392" s="472">
        <v>0</v>
      </c>
      <c r="N392" s="510"/>
      <c r="O392" s="510">
        <v>866549</v>
      </c>
      <c r="P392" s="535"/>
      <c r="Q392" s="510">
        <f t="shared" ref="Q392:Q398" si="18">ROUND(+SUM(E392)+SUM(G392)-SUM(I392)+SUM(K392) +SUM(M392)-SUM(O392),0)</f>
        <v>1809153</v>
      </c>
      <c r="R392" s="2192"/>
      <c r="S392" s="1113">
        <v>866549</v>
      </c>
    </row>
    <row r="393" spans="1:19" s="486" customFormat="1" ht="15">
      <c r="B393" s="504" t="s">
        <v>495</v>
      </c>
      <c r="C393" s="504">
        <v>0</v>
      </c>
      <c r="D393" s="505"/>
      <c r="E393" s="536">
        <v>4901390</v>
      </c>
      <c r="F393" s="505"/>
      <c r="G393" s="535">
        <v>5300000</v>
      </c>
      <c r="H393" s="505"/>
      <c r="I393" s="1113">
        <v>4845954</v>
      </c>
      <c r="J393" s="516"/>
      <c r="K393" s="517">
        <v>0</v>
      </c>
      <c r="L393" s="505"/>
      <c r="M393" s="472">
        <v>0</v>
      </c>
      <c r="N393" s="510"/>
      <c r="O393" s="510">
        <v>534428</v>
      </c>
      <c r="P393" s="505"/>
      <c r="Q393" s="510">
        <f t="shared" si="18"/>
        <v>4821008</v>
      </c>
      <c r="R393" s="2184"/>
      <c r="S393" s="1113">
        <v>534428</v>
      </c>
    </row>
    <row r="394" spans="1:19" s="486" customFormat="1" ht="15">
      <c r="B394" s="504" t="s">
        <v>364</v>
      </c>
      <c r="C394" s="504">
        <v>0</v>
      </c>
      <c r="D394" s="485"/>
      <c r="E394" s="536">
        <v>320051</v>
      </c>
      <c r="F394" s="535"/>
      <c r="G394" s="474">
        <v>348000</v>
      </c>
      <c r="H394" s="535"/>
      <c r="I394" s="1113">
        <v>320050</v>
      </c>
      <c r="J394" s="516"/>
      <c r="K394" s="517">
        <v>0</v>
      </c>
      <c r="L394" s="535"/>
      <c r="M394" s="472">
        <v>0</v>
      </c>
      <c r="N394" s="510"/>
      <c r="O394" s="510">
        <v>0</v>
      </c>
      <c r="P394" s="535"/>
      <c r="Q394" s="510">
        <f t="shared" si="18"/>
        <v>348001</v>
      </c>
      <c r="R394" s="2192"/>
      <c r="S394" s="1113">
        <v>0</v>
      </c>
    </row>
    <row r="395" spans="1:19" s="486" customFormat="1" ht="15">
      <c r="B395" s="504" t="s">
        <v>365</v>
      </c>
      <c r="C395" s="504">
        <v>0</v>
      </c>
      <c r="D395" s="485"/>
      <c r="E395" s="534">
        <v>302362</v>
      </c>
      <c r="F395" s="535"/>
      <c r="G395" s="535">
        <v>890000</v>
      </c>
      <c r="H395" s="535"/>
      <c r="I395" s="1113">
        <v>285279</v>
      </c>
      <c r="J395" s="516"/>
      <c r="K395" s="517">
        <v>0</v>
      </c>
      <c r="L395" s="535"/>
      <c r="M395" s="472">
        <v>0</v>
      </c>
      <c r="N395" s="510"/>
      <c r="O395" s="510">
        <v>620088</v>
      </c>
      <c r="P395" s="535"/>
      <c r="Q395" s="510">
        <f t="shared" si="18"/>
        <v>286995</v>
      </c>
      <c r="R395" s="2192"/>
      <c r="S395" s="1113">
        <v>620088</v>
      </c>
    </row>
    <row r="396" spans="1:19" s="508" customFormat="1" ht="15">
      <c r="B396" s="504" t="s">
        <v>369</v>
      </c>
      <c r="C396" s="504">
        <v>0</v>
      </c>
      <c r="D396" s="505"/>
      <c r="E396" s="509">
        <v>2851283</v>
      </c>
      <c r="F396" s="511"/>
      <c r="G396" s="518">
        <v>31362500</v>
      </c>
      <c r="H396" s="511"/>
      <c r="I396" s="1113">
        <v>1036852</v>
      </c>
      <c r="J396" s="516"/>
      <c r="K396" s="1113">
        <v>998000</v>
      </c>
      <c r="L396" s="511"/>
      <c r="M396" s="472">
        <v>0</v>
      </c>
      <c r="N396" s="510"/>
      <c r="O396" s="510">
        <v>26176456</v>
      </c>
      <c r="P396" s="511"/>
      <c r="Q396" s="510">
        <f t="shared" si="18"/>
        <v>7998475</v>
      </c>
      <c r="R396" s="2193"/>
      <c r="S396" s="1113">
        <v>26271280</v>
      </c>
    </row>
    <row r="397" spans="1:19" s="486" customFormat="1" ht="15">
      <c r="B397" s="504" t="s">
        <v>496</v>
      </c>
      <c r="C397" s="504">
        <v>0</v>
      </c>
      <c r="D397" s="485"/>
      <c r="E397" s="534">
        <v>6022629</v>
      </c>
      <c r="F397" s="535"/>
      <c r="G397" s="535">
        <v>20600000</v>
      </c>
      <c r="H397" s="535"/>
      <c r="I397" s="1113">
        <v>405092</v>
      </c>
      <c r="J397" s="516"/>
      <c r="K397" s="517">
        <v>0</v>
      </c>
      <c r="L397" s="535"/>
      <c r="M397" s="472">
        <v>0</v>
      </c>
      <c r="N397" s="510"/>
      <c r="O397" s="510">
        <v>21534291</v>
      </c>
      <c r="P397" s="535"/>
      <c r="Q397" s="510">
        <f t="shared" si="18"/>
        <v>4683246</v>
      </c>
      <c r="R397" s="2192"/>
      <c r="S397" s="1113">
        <v>21534291</v>
      </c>
    </row>
    <row r="398" spans="1:19" s="486" customFormat="1" ht="15">
      <c r="B398" s="504" t="s">
        <v>374</v>
      </c>
      <c r="C398" s="504">
        <v>0</v>
      </c>
      <c r="D398" s="485"/>
      <c r="E398" s="534">
        <v>80129110</v>
      </c>
      <c r="F398" s="535"/>
      <c r="G398" s="535">
        <v>77442400</v>
      </c>
      <c r="H398" s="535"/>
      <c r="I398" s="1113">
        <v>59171951</v>
      </c>
      <c r="J398" s="516"/>
      <c r="K398" s="517">
        <v>0</v>
      </c>
      <c r="L398" s="535"/>
      <c r="M398" s="472">
        <v>0</v>
      </c>
      <c r="N398" s="510"/>
      <c r="O398" s="510">
        <v>27849245</v>
      </c>
      <c r="P398" s="535"/>
      <c r="Q398" s="510">
        <f t="shared" si="18"/>
        <v>70550314</v>
      </c>
      <c r="R398" s="2192"/>
      <c r="S398" s="1113">
        <v>27849245</v>
      </c>
    </row>
    <row r="399" spans="1:19" s="486" customFormat="1" ht="15">
      <c r="B399" s="548" t="s">
        <v>1964</v>
      </c>
      <c r="C399" s="504" t="s">
        <v>6</v>
      </c>
      <c r="D399" s="485"/>
      <c r="E399" s="581">
        <f>ROUND(SUM(E361:E372,E392:E398),0)</f>
        <v>1195418394</v>
      </c>
      <c r="F399" s="535"/>
      <c r="G399" s="581">
        <f>ROUND(SUM(G361:G372,G392:G398),0)</f>
        <v>1431626900</v>
      </c>
      <c r="H399" s="535"/>
      <c r="I399" s="581">
        <f>ROUND(SUM(I361:I372,I392:I398),0)</f>
        <v>949728948</v>
      </c>
      <c r="J399" s="535"/>
      <c r="K399" s="581">
        <f>SUM(K392:K398,K361:K372)</f>
        <v>0</v>
      </c>
      <c r="L399" s="535"/>
      <c r="M399" s="581">
        <f>ROUND(SUM(M361:M372,M392:M398),0)</f>
        <v>0</v>
      </c>
      <c r="N399" s="510"/>
      <c r="O399" s="581">
        <f>ROUND(SUM(O361:O372,O392:O398),0)</f>
        <v>556062546</v>
      </c>
      <c r="P399" s="535"/>
      <c r="Q399" s="550">
        <f>ROUND(+SUM(E399)+SUM(G399)-SUM(I399)+SUM(K399) +SUM(M399)-SUM(O399),0)</f>
        <v>1121253800</v>
      </c>
      <c r="R399" s="2192"/>
      <c r="S399" s="581">
        <f>ROUND(SUM(S361:S372,S392:S398),0)</f>
        <v>556184943</v>
      </c>
    </row>
    <row r="400" spans="1:19" s="486" customFormat="1" ht="15">
      <c r="B400" s="504"/>
      <c r="C400" s="504"/>
      <c r="D400" s="485"/>
      <c r="E400" s="473"/>
      <c r="F400" s="535"/>
      <c r="G400" s="510"/>
      <c r="H400" s="535"/>
      <c r="I400" s="516"/>
      <c r="J400" s="535"/>
      <c r="K400" s="516"/>
      <c r="L400" s="535"/>
      <c r="M400" s="516"/>
      <c r="N400" s="510"/>
      <c r="O400" s="516"/>
      <c r="P400" s="535"/>
      <c r="Q400" s="510"/>
      <c r="R400" s="2192"/>
      <c r="S400" s="516"/>
    </row>
    <row r="401" spans="1:19" ht="18" thickBot="1">
      <c r="A401" s="484"/>
      <c r="B401" s="548" t="s">
        <v>497</v>
      </c>
      <c r="C401" s="541" t="s">
        <v>6</v>
      </c>
      <c r="D401" s="505"/>
      <c r="E401" s="590">
        <f>ROUND(SUM(E357+E399),0)</f>
        <v>5802165969</v>
      </c>
      <c r="F401" s="511"/>
      <c r="G401" s="590">
        <f>ROUND(SUM(G357+G399),0)</f>
        <v>4794344900</v>
      </c>
      <c r="H401" s="511"/>
      <c r="I401" s="590">
        <f>ROUND(SUM(I357+I399),0)</f>
        <v>1017010510</v>
      </c>
      <c r="J401" s="511"/>
      <c r="K401" s="590">
        <f>ROUND(SUM(K357+K399),0)</f>
        <v>0</v>
      </c>
      <c r="L401" s="511"/>
      <c r="M401" s="590">
        <f>ROUND(SUM(M357+M399),0)</f>
        <v>0</v>
      </c>
      <c r="N401" s="510"/>
      <c r="O401" s="590">
        <f>ROUND(SUM(O357+O399),0)</f>
        <v>2978740730</v>
      </c>
      <c r="P401" s="511"/>
      <c r="Q401" s="591">
        <f>ROUND(+SUM(E401)+SUM(G401)-SUM(I401)+SUM(K401) +SUM(M401)-SUM(O401),0)</f>
        <v>6600759629</v>
      </c>
      <c r="R401" s="2192"/>
      <c r="S401" s="590">
        <f>ROUND(SUM(S357+S399),0)</f>
        <v>2979017393</v>
      </c>
    </row>
    <row r="402" spans="1:19" ht="18" thickTop="1">
      <c r="E402" s="588"/>
      <c r="F402" s="540"/>
      <c r="G402" s="540"/>
      <c r="H402" s="540"/>
      <c r="I402" s="588"/>
      <c r="J402" s="540"/>
      <c r="K402" s="588"/>
      <c r="L402" s="540"/>
      <c r="M402" s="588"/>
      <c r="N402" s="510"/>
      <c r="O402" s="588"/>
      <c r="P402" s="540"/>
      <c r="Q402" s="588"/>
      <c r="R402" s="2192"/>
      <c r="S402" s="588"/>
    </row>
    <row r="403" spans="1:19" s="486" customFormat="1">
      <c r="A403" s="597" t="s">
        <v>498</v>
      </c>
      <c r="B403" s="490"/>
      <c r="C403" s="490"/>
      <c r="D403" s="485"/>
      <c r="E403" s="236"/>
      <c r="F403" s="535"/>
      <c r="G403" s="535"/>
      <c r="H403" s="535"/>
      <c r="I403" s="236"/>
      <c r="J403" s="535"/>
      <c r="K403" s="236"/>
      <c r="L403" s="535"/>
      <c r="M403" s="236"/>
      <c r="N403" s="510"/>
      <c r="O403" s="2176"/>
      <c r="P403" s="535"/>
      <c r="Q403" s="236"/>
      <c r="R403" s="2192"/>
      <c r="S403" s="236"/>
    </row>
    <row r="404" spans="1:19" s="486" customFormat="1" ht="15">
      <c r="A404" s="490"/>
      <c r="B404" s="490"/>
      <c r="C404" s="490"/>
      <c r="D404" s="485"/>
      <c r="E404" s="236"/>
      <c r="F404" s="535"/>
      <c r="G404" s="535"/>
      <c r="H404" s="535"/>
      <c r="I404" s="236"/>
      <c r="J404" s="535"/>
      <c r="K404" s="236"/>
      <c r="L404" s="535"/>
      <c r="M404" s="553"/>
      <c r="N404" s="510"/>
      <c r="O404" s="553"/>
      <c r="P404" s="535"/>
      <c r="Q404" s="553"/>
      <c r="R404" s="2192"/>
      <c r="S404" s="553"/>
    </row>
    <row r="405" spans="1:19" s="508" customFormat="1" ht="15">
      <c r="A405" s="497"/>
      <c r="B405" s="504" t="s">
        <v>499</v>
      </c>
      <c r="C405" s="504">
        <v>0</v>
      </c>
      <c r="D405" s="505"/>
      <c r="E405" s="509">
        <v>1412840</v>
      </c>
      <c r="F405" s="511"/>
      <c r="G405" s="542">
        <v>1836000</v>
      </c>
      <c r="H405" s="511"/>
      <c r="I405" s="1113">
        <v>1390339</v>
      </c>
      <c r="J405" s="511"/>
      <c r="K405" s="517">
        <v>0</v>
      </c>
      <c r="L405" s="511"/>
      <c r="M405" s="472">
        <v>0</v>
      </c>
      <c r="N405" s="510"/>
      <c r="O405" s="542">
        <v>451596</v>
      </c>
      <c r="P405" s="511"/>
      <c r="Q405" s="510">
        <f>ROUND(+SUM(E405)+SUM(G405)-SUM(I405)+SUM(K405) +SUM(M405)-SUM(O405),0)</f>
        <v>1406905</v>
      </c>
      <c r="R405" s="2193"/>
      <c r="S405" s="1113">
        <v>451596</v>
      </c>
    </row>
    <row r="406" spans="1:19">
      <c r="A406" s="598"/>
      <c r="B406" s="598" t="s">
        <v>500</v>
      </c>
      <c r="C406" s="541" t="s">
        <v>6</v>
      </c>
      <c r="D406" s="505"/>
      <c r="E406" s="549">
        <f>ROUND(SUM(E405:E405),0)</f>
        <v>1412840</v>
      </c>
      <c r="F406" s="511"/>
      <c r="G406" s="549">
        <f>ROUND(SUM(G405:G405),0)</f>
        <v>1836000</v>
      </c>
      <c r="H406" s="511"/>
      <c r="I406" s="549">
        <f>ROUND(SUM(I405:I405),0)</f>
        <v>1390339</v>
      </c>
      <c r="J406" s="511"/>
      <c r="K406" s="549">
        <f>ROUND(SUM(K405:K405),0)</f>
        <v>0</v>
      </c>
      <c r="L406" s="511"/>
      <c r="M406" s="549">
        <f>ROUND(SUM(M405:M405),0)</f>
        <v>0</v>
      </c>
      <c r="N406" s="510"/>
      <c r="O406" s="549">
        <f t="shared" ref="O406" si="19">ROUND(SUM(O405:O405),0)</f>
        <v>451596</v>
      </c>
      <c r="P406" s="511"/>
      <c r="Q406" s="550">
        <f>ROUND(+SUM(E406)+SUM(G406)-SUM(I406)+SUM(K406) +SUM(M406)-SUM(O406),0)</f>
        <v>1406905</v>
      </c>
      <c r="R406" s="2192"/>
      <c r="S406" s="549">
        <f>ROUND(SUM(S405:S405),0)</f>
        <v>451596</v>
      </c>
    </row>
    <row r="407" spans="1:19">
      <c r="A407" s="598"/>
      <c r="C407" s="541">
        <v>0</v>
      </c>
      <c r="D407" s="505"/>
      <c r="E407" s="551"/>
      <c r="F407" s="511"/>
      <c r="G407" s="551"/>
      <c r="H407" s="511"/>
      <c r="I407" s="551"/>
      <c r="J407" s="511"/>
      <c r="K407" s="551"/>
      <c r="L407" s="511"/>
      <c r="M407" s="551"/>
      <c r="N407" s="510"/>
      <c r="O407" s="551"/>
      <c r="P407" s="511"/>
      <c r="Q407" s="551"/>
      <c r="R407" s="2192"/>
      <c r="S407" s="551"/>
    </row>
    <row r="408" spans="1:19">
      <c r="A408" s="597" t="s">
        <v>501</v>
      </c>
      <c r="C408" s="541">
        <v>0</v>
      </c>
      <c r="D408" s="505"/>
      <c r="E408" s="551"/>
      <c r="F408" s="511"/>
      <c r="G408" s="551"/>
      <c r="H408" s="511"/>
      <c r="I408" s="551"/>
      <c r="J408" s="511"/>
      <c r="K408" s="551"/>
      <c r="L408" s="511"/>
      <c r="M408" s="551"/>
      <c r="N408" s="510"/>
      <c r="O408" s="551"/>
      <c r="P408" s="511"/>
      <c r="Q408" s="551"/>
      <c r="R408" s="2192"/>
      <c r="S408" s="551"/>
    </row>
    <row r="409" spans="1:19">
      <c r="A409" s="598"/>
      <c r="C409" s="541">
        <v>0</v>
      </c>
      <c r="D409" s="505"/>
      <c r="E409" s="551"/>
      <c r="F409" s="511"/>
      <c r="G409" s="551"/>
      <c r="H409" s="511"/>
      <c r="I409" s="551"/>
      <c r="J409" s="511"/>
      <c r="K409" s="551"/>
      <c r="L409" s="511"/>
      <c r="M409" s="551"/>
      <c r="N409" s="510"/>
      <c r="O409" s="551"/>
      <c r="P409" s="511"/>
      <c r="Q409" s="551"/>
      <c r="R409" s="2192"/>
      <c r="S409" s="551"/>
    </row>
    <row r="410" spans="1:19" s="508" customFormat="1" ht="15">
      <c r="B410" s="504" t="s">
        <v>369</v>
      </c>
      <c r="C410" s="504">
        <v>0</v>
      </c>
      <c r="D410" s="515"/>
      <c r="E410" s="510">
        <v>8597987</v>
      </c>
      <c r="F410" s="518"/>
      <c r="G410" s="518">
        <v>106729000</v>
      </c>
      <c r="H410" s="518"/>
      <c r="I410" s="1113">
        <v>417014</v>
      </c>
      <c r="J410" s="510"/>
      <c r="K410" s="517">
        <v>0</v>
      </c>
      <c r="L410" s="510"/>
      <c r="M410" s="472">
        <v>0</v>
      </c>
      <c r="N410" s="510"/>
      <c r="O410" s="1113">
        <v>110265217</v>
      </c>
      <c r="P410" s="510"/>
      <c r="Q410" s="510">
        <f>ROUND(+SUM(E410)+SUM(G410)-SUM(I410)+SUM(K410) +SUM(M410)-SUM(O410),0)</f>
        <v>4644756</v>
      </c>
      <c r="R410" s="2186"/>
      <c r="S410" s="1113">
        <v>110399806</v>
      </c>
    </row>
    <row r="411" spans="1:19">
      <c r="A411" s="598"/>
      <c r="B411" s="598" t="s">
        <v>502</v>
      </c>
      <c r="C411" s="541" t="s">
        <v>6</v>
      </c>
      <c r="D411" s="505"/>
      <c r="E411" s="549">
        <f>ROUND(SUM(E410:E410),0)</f>
        <v>8597987</v>
      </c>
      <c r="F411" s="511"/>
      <c r="G411" s="549">
        <f>ROUND(SUM(G410:G410),0)</f>
        <v>106729000</v>
      </c>
      <c r="H411" s="511"/>
      <c r="I411" s="549">
        <f>ROUND(SUM(I410:I410),0)</f>
        <v>417014</v>
      </c>
      <c r="J411" s="511"/>
      <c r="K411" s="549">
        <f>ROUND(SUM(K410:K410),0)</f>
        <v>0</v>
      </c>
      <c r="L411" s="511"/>
      <c r="M411" s="549">
        <f>ROUND(SUM(M410:M410),0)</f>
        <v>0</v>
      </c>
      <c r="N411" s="510"/>
      <c r="O411" s="549">
        <f t="shared" ref="O411" si="20">ROUND(SUM(O410:O410),0)</f>
        <v>110265217</v>
      </c>
      <c r="P411" s="511"/>
      <c r="Q411" s="550">
        <f>ROUND(+SUM(E411)+SUM(G411)-SUM(I411)+SUM(K411) +SUM(M411)-SUM(O411),0)</f>
        <v>4644756</v>
      </c>
      <c r="R411" s="2192"/>
      <c r="S411" s="549">
        <f>ROUND(SUM(S410:S410),0)</f>
        <v>110399806</v>
      </c>
    </row>
    <row r="412" spans="1:19">
      <c r="A412" s="598"/>
      <c r="B412" s="598"/>
      <c r="C412" s="541">
        <v>0</v>
      </c>
      <c r="D412" s="505"/>
      <c r="E412" s="551"/>
      <c r="F412" s="511"/>
      <c r="G412" s="551"/>
      <c r="H412" s="511"/>
      <c r="I412" s="551"/>
      <c r="J412" s="511"/>
      <c r="K412" s="551"/>
      <c r="L412" s="511"/>
      <c r="M412" s="551"/>
      <c r="N412" s="510"/>
      <c r="O412" s="551"/>
      <c r="P412" s="511"/>
      <c r="Q412" s="551"/>
      <c r="R412" s="2192"/>
      <c r="S412" s="551"/>
    </row>
    <row r="413" spans="1:19">
      <c r="A413" s="597" t="s">
        <v>503</v>
      </c>
      <c r="B413" s="598"/>
      <c r="C413" s="541">
        <v>0</v>
      </c>
      <c r="D413" s="505"/>
      <c r="E413" s="551"/>
      <c r="F413" s="511"/>
      <c r="G413" s="551"/>
      <c r="H413" s="511"/>
      <c r="I413" s="551"/>
      <c r="J413" s="511"/>
      <c r="K413" s="551"/>
      <c r="L413" s="511"/>
      <c r="M413" s="551"/>
      <c r="N413" s="510"/>
      <c r="O413" s="551"/>
      <c r="P413" s="511"/>
      <c r="Q413" s="551"/>
      <c r="R413" s="2192"/>
      <c r="S413" s="551"/>
    </row>
    <row r="414" spans="1:19">
      <c r="A414" s="598"/>
      <c r="B414" s="598"/>
      <c r="C414" s="541">
        <v>0</v>
      </c>
      <c r="D414" s="505"/>
      <c r="E414" s="551"/>
      <c r="F414" s="511"/>
      <c r="G414" s="551"/>
      <c r="H414" s="511"/>
      <c r="I414" s="551"/>
      <c r="J414" s="511"/>
      <c r="K414" s="551"/>
      <c r="L414" s="511"/>
      <c r="M414" s="551"/>
      <c r="N414" s="510"/>
      <c r="O414" s="551"/>
      <c r="P414" s="511"/>
      <c r="Q414" s="551"/>
      <c r="R414" s="2192"/>
      <c r="S414" s="551"/>
    </row>
    <row r="415" spans="1:19" s="508" customFormat="1" ht="15">
      <c r="B415" s="504" t="s">
        <v>504</v>
      </c>
      <c r="C415" s="504">
        <v>0</v>
      </c>
      <c r="D415" s="515"/>
      <c r="E415" s="509">
        <v>849311054</v>
      </c>
      <c r="F415" s="518"/>
      <c r="G415" s="518">
        <v>2335889900</v>
      </c>
      <c r="H415" s="518"/>
      <c r="I415" s="1113">
        <v>67819700</v>
      </c>
      <c r="J415" s="516">
        <f>ROUND(I415,0)</f>
        <v>67819700</v>
      </c>
      <c r="K415" s="517">
        <v>0</v>
      </c>
      <c r="L415" s="518"/>
      <c r="M415" s="472">
        <v>0</v>
      </c>
      <c r="N415" s="510"/>
      <c r="O415" s="510">
        <v>2259999730</v>
      </c>
      <c r="P415" s="518"/>
      <c r="Q415" s="510">
        <f>ROUND(+SUM(E415)+SUM(G415)-SUM(I415)+SUM(K415) +SUM(M415)-SUM(O415),0)</f>
        <v>857381524</v>
      </c>
      <c r="R415" s="2188"/>
      <c r="S415" s="1113">
        <v>2259999809</v>
      </c>
    </row>
    <row r="416" spans="1:19" s="525" customFormat="1" ht="15">
      <c r="A416" s="530"/>
      <c r="B416" s="504" t="s">
        <v>485</v>
      </c>
      <c r="C416" s="504">
        <v>0</v>
      </c>
      <c r="D416" s="531"/>
      <c r="E416" s="527">
        <v>750000</v>
      </c>
      <c r="F416" s="523"/>
      <c r="G416" s="594">
        <v>750000</v>
      </c>
      <c r="H416" s="523"/>
      <c r="I416" s="517">
        <v>750000</v>
      </c>
      <c r="J416" s="516">
        <f t="shared" ref="J416:J423" si="21">ROUND(I416,0)</f>
        <v>750000</v>
      </c>
      <c r="K416" s="517">
        <v>0</v>
      </c>
      <c r="L416" s="523"/>
      <c r="M416" s="472">
        <v>0</v>
      </c>
      <c r="N416" s="510"/>
      <c r="O416" s="510">
        <v>0</v>
      </c>
      <c r="P416" s="520"/>
      <c r="Q416" s="510">
        <f t="shared" ref="Q416:Q423" si="22">ROUND(+SUM(E416)+SUM(G416)-SUM(I416)+SUM(K416) +SUM(M416)-SUM(O416),0)</f>
        <v>750000</v>
      </c>
      <c r="R416" s="2191"/>
      <c r="S416" s="517">
        <v>0</v>
      </c>
    </row>
    <row r="417" spans="1:19" s="525" customFormat="1" ht="15">
      <c r="A417" s="530"/>
      <c r="B417" s="504" t="s">
        <v>399</v>
      </c>
      <c r="C417" s="504">
        <v>0</v>
      </c>
      <c r="D417" s="505"/>
      <c r="E417" s="509">
        <v>312366643</v>
      </c>
      <c r="F417" s="511"/>
      <c r="G417" s="582">
        <v>439549965</v>
      </c>
      <c r="H417" s="511"/>
      <c r="I417" s="517">
        <v>312366643</v>
      </c>
      <c r="J417" s="516">
        <f t="shared" si="21"/>
        <v>312366643</v>
      </c>
      <c r="K417" s="509">
        <v>-37620000</v>
      </c>
      <c r="L417" s="511"/>
      <c r="M417" s="472">
        <v>0</v>
      </c>
      <c r="N417" s="510"/>
      <c r="O417" s="510">
        <v>16301269</v>
      </c>
      <c r="P417" s="511"/>
      <c r="Q417" s="510">
        <f t="shared" si="22"/>
        <v>385628696</v>
      </c>
      <c r="R417" s="2193"/>
      <c r="S417" s="510">
        <v>16301269</v>
      </c>
    </row>
    <row r="418" spans="1:19" s="525" customFormat="1" ht="15">
      <c r="A418" s="530"/>
      <c r="B418" s="504" t="s">
        <v>403</v>
      </c>
      <c r="C418" s="504">
        <v>0</v>
      </c>
      <c r="D418" s="485"/>
      <c r="E418" s="536">
        <v>81500234</v>
      </c>
      <c r="F418" s="535"/>
      <c r="G418" s="586">
        <v>0</v>
      </c>
      <c r="H418" s="535"/>
      <c r="I418" s="517">
        <v>0</v>
      </c>
      <c r="J418" s="516">
        <f t="shared" si="21"/>
        <v>0</v>
      </c>
      <c r="K418" s="474">
        <v>0</v>
      </c>
      <c r="L418" s="535"/>
      <c r="M418" s="472">
        <v>0</v>
      </c>
      <c r="N418" s="510"/>
      <c r="O418" s="510">
        <v>4565989</v>
      </c>
      <c r="P418" s="535"/>
      <c r="Q418" s="510">
        <f t="shared" si="22"/>
        <v>76934245</v>
      </c>
      <c r="R418" s="2192"/>
      <c r="S418" s="535">
        <v>4565989</v>
      </c>
    </row>
    <row r="419" spans="1:19" s="525" customFormat="1" ht="15">
      <c r="A419" s="530"/>
      <c r="B419" s="504" t="s">
        <v>494</v>
      </c>
      <c r="C419" s="504">
        <v>0</v>
      </c>
      <c r="D419" s="485"/>
      <c r="E419" s="536">
        <v>0</v>
      </c>
      <c r="F419" s="535"/>
      <c r="G419" s="474">
        <v>0</v>
      </c>
      <c r="H419" s="535"/>
      <c r="I419" s="1113">
        <v>0</v>
      </c>
      <c r="J419" s="516">
        <f t="shared" si="21"/>
        <v>0</v>
      </c>
      <c r="K419" s="517">
        <v>10000000</v>
      </c>
      <c r="L419" s="535"/>
      <c r="M419" s="472">
        <v>0</v>
      </c>
      <c r="N419" s="510"/>
      <c r="O419" s="510">
        <v>10000000</v>
      </c>
      <c r="P419" s="535"/>
      <c r="Q419" s="510">
        <f t="shared" si="22"/>
        <v>0</v>
      </c>
      <c r="R419" s="2192"/>
      <c r="S419" s="1113">
        <v>10000000</v>
      </c>
    </row>
    <row r="420" spans="1:19" s="508" customFormat="1" ht="15">
      <c r="B420" s="504" t="s">
        <v>407</v>
      </c>
      <c r="C420" s="504">
        <v>0</v>
      </c>
      <c r="D420" s="515"/>
      <c r="E420" s="474">
        <v>542240060</v>
      </c>
      <c r="F420" s="518"/>
      <c r="G420" s="518">
        <v>517900000</v>
      </c>
      <c r="H420" s="518"/>
      <c r="I420" s="1113">
        <v>542240060</v>
      </c>
      <c r="J420" s="516">
        <f t="shared" si="21"/>
        <v>542240060</v>
      </c>
      <c r="K420" s="517">
        <v>0</v>
      </c>
      <c r="L420" s="518"/>
      <c r="M420" s="472">
        <v>0</v>
      </c>
      <c r="N420" s="510"/>
      <c r="O420" s="510">
        <v>90688327</v>
      </c>
      <c r="P420" s="518"/>
      <c r="Q420" s="510">
        <f t="shared" si="22"/>
        <v>427211673</v>
      </c>
      <c r="R420" s="2188"/>
      <c r="S420" s="1113">
        <v>90688327</v>
      </c>
    </row>
    <row r="421" spans="1:19" s="508" customFormat="1" ht="15">
      <c r="B421" s="504" t="s">
        <v>366</v>
      </c>
      <c r="C421" s="504">
        <v>0</v>
      </c>
      <c r="D421" s="485"/>
      <c r="E421" s="536">
        <v>0</v>
      </c>
      <c r="F421" s="535"/>
      <c r="G421" s="582">
        <v>0</v>
      </c>
      <c r="H421" s="535"/>
      <c r="I421" s="1113">
        <v>0</v>
      </c>
      <c r="J421" s="516">
        <f t="shared" si="21"/>
        <v>0</v>
      </c>
      <c r="K421" s="1113">
        <v>7620000</v>
      </c>
      <c r="L421" s="535"/>
      <c r="M421" s="472">
        <v>0</v>
      </c>
      <c r="N421" s="510"/>
      <c r="O421" s="510">
        <v>2185000</v>
      </c>
      <c r="P421" s="535"/>
      <c r="Q421" s="510">
        <f t="shared" si="22"/>
        <v>5435000</v>
      </c>
      <c r="R421" s="2192"/>
      <c r="S421" s="1113">
        <v>2185000</v>
      </c>
    </row>
    <row r="422" spans="1:19" s="486" customFormat="1" ht="15">
      <c r="B422" s="504" t="s">
        <v>375</v>
      </c>
      <c r="C422" s="504">
        <v>0</v>
      </c>
      <c r="D422" s="485"/>
      <c r="E422" s="534">
        <f>9636871</f>
        <v>9636871</v>
      </c>
      <c r="F422" s="535"/>
      <c r="G422" s="535">
        <v>10000000</v>
      </c>
      <c r="H422" s="535"/>
      <c r="I422" s="1113">
        <v>7113642</v>
      </c>
      <c r="J422" s="516">
        <f t="shared" si="21"/>
        <v>7113642</v>
      </c>
      <c r="K422" s="517">
        <v>20000000</v>
      </c>
      <c r="L422" s="535"/>
      <c r="M422" s="472">
        <v>0</v>
      </c>
      <c r="N422" s="510"/>
      <c r="O422" s="510">
        <v>14792539</v>
      </c>
      <c r="P422" s="535"/>
      <c r="Q422" s="510">
        <f t="shared" si="22"/>
        <v>17730690</v>
      </c>
      <c r="R422" s="2192"/>
      <c r="S422" s="1113">
        <v>14792539</v>
      </c>
    </row>
    <row r="423" spans="1:19" s="486" customFormat="1" ht="15">
      <c r="B423" s="504" t="s">
        <v>505</v>
      </c>
      <c r="C423" s="504">
        <v>0</v>
      </c>
      <c r="D423" s="485"/>
      <c r="E423" s="2197">
        <v>399206373</v>
      </c>
      <c r="F423" s="535"/>
      <c r="G423" s="2195">
        <v>50000000</v>
      </c>
      <c r="H423" s="535"/>
      <c r="I423" s="517">
        <v>-2000000</v>
      </c>
      <c r="J423" s="516">
        <f t="shared" si="21"/>
        <v>-2000000</v>
      </c>
      <c r="K423" s="517">
        <v>0</v>
      </c>
      <c r="L423" s="535"/>
      <c r="M423" s="472">
        <v>0</v>
      </c>
      <c r="N423" s="510"/>
      <c r="O423" s="510">
        <v>31730251</v>
      </c>
      <c r="P423" s="535"/>
      <c r="Q423" s="510">
        <f t="shared" si="22"/>
        <v>419476122</v>
      </c>
      <c r="R423" s="2192"/>
      <c r="S423" s="1113">
        <v>31730251</v>
      </c>
    </row>
    <row r="424" spans="1:19">
      <c r="A424" s="598"/>
      <c r="B424" s="598" t="s">
        <v>506</v>
      </c>
      <c r="C424" s="541" t="s">
        <v>6</v>
      </c>
      <c r="D424" s="505"/>
      <c r="E424" s="549">
        <f>ROUND(SUM(E415:E423),0)</f>
        <v>2195011235</v>
      </c>
      <c r="F424" s="511"/>
      <c r="G424" s="549">
        <f>ROUND(SUM(G415:G423),0)</f>
        <v>3354089865</v>
      </c>
      <c r="H424" s="511"/>
      <c r="I424" s="549">
        <f>ROUND(SUM(I415:I423),0)</f>
        <v>928290045</v>
      </c>
      <c r="J424" s="511"/>
      <c r="K424" s="549">
        <f>ROUND(SUM(K415:K423),0)</f>
        <v>0</v>
      </c>
      <c r="L424" s="511"/>
      <c r="M424" s="549">
        <f>ROUND(SUM(M415:M423),0)</f>
        <v>0</v>
      </c>
      <c r="N424" s="510"/>
      <c r="O424" s="549">
        <f t="shared" ref="O424" si="23">ROUND(SUM(O415:O423),0)</f>
        <v>2430263105</v>
      </c>
      <c r="P424" s="511"/>
      <c r="Q424" s="550">
        <f>ROUND(+SUM(E424)+SUM(G424)-SUM(I424)+SUM(K424) +SUM(M424)-SUM(O424),0)</f>
        <v>2190547950</v>
      </c>
      <c r="R424" s="2192"/>
      <c r="S424" s="549">
        <f>ROUND(SUM(S415:S423),0)</f>
        <v>2430263184</v>
      </c>
    </row>
    <row r="425" spans="1:19">
      <c r="A425" s="598"/>
      <c r="B425" s="598"/>
      <c r="C425" s="541">
        <v>0</v>
      </c>
      <c r="D425" s="505"/>
      <c r="E425" s="551"/>
      <c r="F425" s="511"/>
      <c r="G425" s="551"/>
      <c r="H425" s="511"/>
      <c r="I425" s="551"/>
      <c r="J425" s="511"/>
      <c r="K425" s="551"/>
      <c r="L425" s="511"/>
      <c r="M425" s="551"/>
      <c r="N425" s="510"/>
      <c r="O425" s="551"/>
      <c r="P425" s="511"/>
      <c r="Q425" s="551"/>
      <c r="R425" s="2192"/>
      <c r="S425" s="551"/>
    </row>
    <row r="426" spans="1:19" s="486" customFormat="1" ht="16" thickBot="1">
      <c r="A426" s="548"/>
      <c r="B426" s="548" t="s">
        <v>2268</v>
      </c>
      <c r="C426" s="504" t="s">
        <v>6</v>
      </c>
      <c r="D426" s="505"/>
      <c r="E426" s="599">
        <f>ROUND(SUM(E406+E411+E424),0)</f>
        <v>2205022062</v>
      </c>
      <c r="F426" s="511"/>
      <c r="G426" s="599">
        <f>ROUND(SUM(G406+G411+G424),0)</f>
        <v>3462654865</v>
      </c>
      <c r="H426" s="511"/>
      <c r="I426" s="599">
        <f>ROUND(SUM(I406+I411+I424),0)</f>
        <v>930097398</v>
      </c>
      <c r="J426" s="511"/>
      <c r="K426" s="599">
        <f>ROUND(SUM(K406+K411+K424),0)</f>
        <v>0</v>
      </c>
      <c r="L426" s="511"/>
      <c r="M426" s="599">
        <f>ROUND(SUM(M406+M411+M424),0)</f>
        <v>0</v>
      </c>
      <c r="N426" s="510"/>
      <c r="O426" s="599">
        <f t="shared" ref="O426" si="24">ROUND(SUM(O406+O411+O424),0)</f>
        <v>2540979918</v>
      </c>
      <c r="P426" s="511"/>
      <c r="Q426" s="591">
        <f>ROUND(+SUM(E426)+SUM(G426)-SUM(I426)+SUM(K426) +SUM(M426)-SUM(O426),0)</f>
        <v>2196599611</v>
      </c>
      <c r="R426" s="2192"/>
      <c r="S426" s="599">
        <f>ROUND(SUM(S406+S411+S424),0)</f>
        <v>2541114586</v>
      </c>
    </row>
    <row r="427" spans="1:19" s="486" customFormat="1" ht="16" thickTop="1">
      <c r="A427" s="548"/>
      <c r="B427" s="548"/>
      <c r="C427" s="504"/>
      <c r="D427" s="505"/>
      <c r="E427" s="600"/>
      <c r="F427" s="511"/>
      <c r="G427" s="600"/>
      <c r="H427" s="511"/>
      <c r="I427" s="600"/>
      <c r="J427" s="511"/>
      <c r="K427" s="601"/>
      <c r="L427" s="511"/>
      <c r="M427" s="600"/>
      <c r="N427" s="510"/>
      <c r="O427" s="600"/>
      <c r="P427" s="511"/>
      <c r="Q427" s="600"/>
      <c r="R427" s="2192"/>
      <c r="S427" s="600"/>
    </row>
    <row r="428" spans="1:19">
      <c r="E428" s="602"/>
      <c r="F428" s="540"/>
      <c r="G428" s="603"/>
      <c r="H428" s="540"/>
      <c r="I428" s="602"/>
      <c r="J428" s="540"/>
      <c r="K428" s="602"/>
      <c r="L428" s="540"/>
      <c r="M428" s="602"/>
      <c r="N428" s="510"/>
      <c r="O428" s="602"/>
      <c r="P428" s="540"/>
      <c r="Q428" s="602"/>
      <c r="R428" s="2192"/>
      <c r="S428" s="602"/>
    </row>
    <row r="429" spans="1:19" s="486" customFormat="1" ht="16" thickBot="1">
      <c r="A429" s="484" t="s">
        <v>308</v>
      </c>
      <c r="C429" s="1987" t="s">
        <v>6</v>
      </c>
      <c r="D429" s="505"/>
      <c r="E429" s="590">
        <f>ROUND(SUM(E426+E401+E341),0)</f>
        <v>322248253154</v>
      </c>
      <c r="F429" s="511"/>
      <c r="G429" s="590">
        <f>ROUND(SUM(G426+G401+G341),0)</f>
        <v>285481599856</v>
      </c>
      <c r="H429" s="511"/>
      <c r="I429" s="590">
        <f>ROUND(SUM(I426+I401+I341),0)</f>
        <v>83142263301</v>
      </c>
      <c r="J429" s="511"/>
      <c r="K429" s="590">
        <f>ROUND(SUM(K426+K401+K341),0)</f>
        <v>0</v>
      </c>
      <c r="L429" s="511"/>
      <c r="M429" s="590">
        <f>ROUND(SUM(M426+M401+M341),0)</f>
        <v>210441969</v>
      </c>
      <c r="N429" s="510"/>
      <c r="O429" s="590">
        <f>ROUND(SUM(O426+O401+O341),0)</f>
        <v>160768699336</v>
      </c>
      <c r="P429" s="511"/>
      <c r="Q429" s="591">
        <f>ROUND(SUM(Q341+Q401+Q426),0)</f>
        <v>364029332342</v>
      </c>
      <c r="R429" s="2192"/>
      <c r="S429" s="590">
        <f>ROUND(SUM(S426+S401+S341),0)</f>
        <v>160591085621</v>
      </c>
    </row>
    <row r="430" spans="1:19" ht="18" thickTop="1"/>
    <row r="446" spans="1:19">
      <c r="A446" s="2356" t="s">
        <v>275</v>
      </c>
      <c r="B446" s="2404" t="s">
        <v>310</v>
      </c>
      <c r="C446" s="2404"/>
      <c r="D446" s="2404"/>
      <c r="E446" s="2404"/>
      <c r="F446" s="2404"/>
      <c r="G446" s="2404"/>
      <c r="H446" s="2404"/>
      <c r="I446" s="2404"/>
      <c r="J446" s="2404"/>
      <c r="K446" s="2404"/>
      <c r="L446" s="2404"/>
      <c r="M446" s="2404"/>
      <c r="N446" s="2404"/>
      <c r="O446" s="2404"/>
      <c r="P446" s="2404"/>
      <c r="Q446" s="2404"/>
      <c r="R446" s="2404"/>
      <c r="S446" s="2404"/>
    </row>
    <row r="447" spans="1:19">
      <c r="A447" s="2356" t="s">
        <v>309</v>
      </c>
      <c r="B447" s="2404" t="s">
        <v>312</v>
      </c>
      <c r="C447" s="2404"/>
      <c r="D447" s="2404"/>
      <c r="E447" s="2404"/>
      <c r="F447" s="2404"/>
      <c r="G447" s="2404"/>
      <c r="H447" s="2404"/>
      <c r="I447" s="2404"/>
      <c r="J447" s="2404"/>
      <c r="K447" s="2404"/>
      <c r="L447" s="2404"/>
      <c r="M447" s="2404"/>
      <c r="N447" s="2404"/>
      <c r="O447" s="2404"/>
      <c r="P447" s="2404"/>
      <c r="Q447" s="2404"/>
      <c r="R447" s="2404"/>
      <c r="S447" s="2404"/>
    </row>
  </sheetData>
  <mergeCells count="38">
    <mergeCell ref="B162:S162"/>
    <mergeCell ref="A3:H3"/>
    <mergeCell ref="A4:H4"/>
    <mergeCell ref="A5:H5"/>
    <mergeCell ref="A6:H6"/>
    <mergeCell ref="B84:S84"/>
    <mergeCell ref="A85:H85"/>
    <mergeCell ref="A86:H86"/>
    <mergeCell ref="A87:H87"/>
    <mergeCell ref="A88:H88"/>
    <mergeCell ref="B82:W82"/>
    <mergeCell ref="B83:S83"/>
    <mergeCell ref="B160:W160"/>
    <mergeCell ref="B161:S161"/>
    <mergeCell ref="B304:S304"/>
    <mergeCell ref="A163:H163"/>
    <mergeCell ref="A164:H164"/>
    <mergeCell ref="A165:H165"/>
    <mergeCell ref="A166:H166"/>
    <mergeCell ref="B233:S233"/>
    <mergeCell ref="A234:H234"/>
    <mergeCell ref="A235:H235"/>
    <mergeCell ref="A236:H236"/>
    <mergeCell ref="A237:H237"/>
    <mergeCell ref="B232:S232"/>
    <mergeCell ref="B303:S303"/>
    <mergeCell ref="B447:S447"/>
    <mergeCell ref="A305:H305"/>
    <mergeCell ref="A306:H306"/>
    <mergeCell ref="A307:H307"/>
    <mergeCell ref="A308:H308"/>
    <mergeCell ref="B377:S377"/>
    <mergeCell ref="A378:H378"/>
    <mergeCell ref="A379:H379"/>
    <mergeCell ref="A380:H380"/>
    <mergeCell ref="A381:H381"/>
    <mergeCell ref="B376:S376"/>
    <mergeCell ref="B446:S446"/>
  </mergeCells>
  <printOptions horizontalCentered="1"/>
  <pageMargins left="0.4" right="0.5" top="0.95" bottom="0.25" header="0.3" footer="0.25"/>
  <pageSetup scale="41" firstPageNumber="80" fitToHeight="0" orientation="landscape" useFirstPageNumber="1"/>
  <headerFooter scaleWithDoc="0">
    <oddFooter>&amp;R&amp;8&amp;P</oddFooter>
  </headerFooter>
  <rowBreaks count="5" manualBreakCount="5">
    <brk id="84" max="18" man="1"/>
    <brk id="162" max="18" man="1"/>
    <brk id="233" max="18" man="1"/>
    <brk id="304" max="18" man="1"/>
    <brk id="377" max="18"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15"/>
  <sheetViews>
    <sheetView showGridLines="0" zoomScale="80" zoomScaleNormal="80" zoomScaleSheetLayoutView="70" zoomScalePageLayoutView="80" workbookViewId="0"/>
  </sheetViews>
  <sheetFormatPr baseColWidth="10" defaultColWidth="8.85546875" defaultRowHeight="15" x14ac:dyDescent="0"/>
  <cols>
    <col min="1" max="1" width="9.85546875" style="615" customWidth="1"/>
    <col min="2" max="2" width="0.5703125" style="615" customWidth="1"/>
    <col min="3" max="3" width="29.140625" style="605" customWidth="1"/>
    <col min="4" max="4" width="0.5703125" style="605" customWidth="1"/>
    <col min="5" max="5" width="76.5703125" style="605" customWidth="1"/>
    <col min="6" max="6" width="0.85546875" style="612" customWidth="1"/>
    <col min="7" max="7" width="15.42578125" style="611" customWidth="1"/>
    <col min="8" max="8" width="0.85546875" style="611" customWidth="1"/>
    <col min="9" max="9" width="15.5703125" style="611" customWidth="1"/>
    <col min="10" max="10" width="0.85546875" style="611" customWidth="1"/>
    <col min="11" max="11" width="15.5703125" style="611" customWidth="1"/>
    <col min="12" max="12" width="0.85546875" style="611" customWidth="1"/>
    <col min="13" max="13" width="14.5703125" style="611" customWidth="1"/>
    <col min="14" max="14" width="0.85546875" style="611" customWidth="1"/>
    <col min="15" max="15" width="15.42578125" style="611" customWidth="1"/>
    <col min="16" max="16" width="0.85546875" style="611" customWidth="1"/>
    <col min="17" max="17" width="16" style="611" customWidth="1"/>
    <col min="18" max="18" width="0.85546875" style="611" customWidth="1"/>
    <col min="19" max="19" width="16.140625" style="616" customWidth="1"/>
    <col min="20" max="20" width="1.5703125" style="605" customWidth="1"/>
    <col min="21" max="21" width="15.85546875" style="606" customWidth="1"/>
    <col min="22" max="22" width="1.140625" style="607" customWidth="1"/>
    <col min="23" max="23" width="16.140625" style="605" customWidth="1"/>
    <col min="24" max="27" width="7.140625" style="605" customWidth="1"/>
    <col min="28" max="16384" width="8.85546875" style="605"/>
  </cols>
  <sheetData>
    <row r="1" spans="1:23">
      <c r="A1" s="1582" t="s">
        <v>1443</v>
      </c>
    </row>
    <row r="3" spans="1:23" ht="17">
      <c r="A3" s="2417" t="s">
        <v>0</v>
      </c>
      <c r="B3" s="2417"/>
      <c r="C3" s="2417"/>
      <c r="D3" s="2417"/>
      <c r="E3" s="2417"/>
      <c r="F3" s="2417"/>
      <c r="G3" s="2417"/>
      <c r="H3" s="604"/>
      <c r="I3" s="604"/>
      <c r="J3" s="604"/>
      <c r="K3" s="604"/>
      <c r="L3" s="604"/>
      <c r="M3" s="604"/>
      <c r="N3" s="604"/>
      <c r="O3" s="604"/>
      <c r="P3" s="604"/>
      <c r="Q3" s="604"/>
      <c r="R3" s="604"/>
      <c r="S3" s="1856"/>
      <c r="W3" s="1985" t="s">
        <v>507</v>
      </c>
    </row>
    <row r="4" spans="1:23" ht="17">
      <c r="A4" s="2418" t="s">
        <v>1952</v>
      </c>
      <c r="B4" s="2418"/>
      <c r="C4" s="2418"/>
      <c r="D4" s="2418"/>
      <c r="E4" s="2418"/>
      <c r="F4" s="2418"/>
      <c r="G4" s="2418"/>
      <c r="H4" s="608"/>
      <c r="I4" s="608"/>
      <c r="J4" s="608"/>
      <c r="K4" s="608"/>
      <c r="L4" s="608"/>
      <c r="M4" s="608"/>
      <c r="N4" s="608"/>
      <c r="O4" s="608"/>
      <c r="P4" s="608"/>
      <c r="Q4" s="608"/>
      <c r="R4" s="608"/>
      <c r="S4" s="608"/>
    </row>
    <row r="5" spans="1:23" ht="17">
      <c r="A5" s="2418" t="s">
        <v>1953</v>
      </c>
      <c r="B5" s="2418"/>
      <c r="C5" s="2418"/>
      <c r="D5" s="2418"/>
      <c r="E5" s="2418"/>
      <c r="F5" s="2418"/>
      <c r="G5" s="2418"/>
      <c r="H5" s="608"/>
      <c r="I5" s="608"/>
      <c r="J5" s="608"/>
      <c r="K5" s="608"/>
      <c r="L5" s="608"/>
      <c r="M5" s="608"/>
      <c r="N5" s="608"/>
      <c r="O5" s="608"/>
      <c r="P5" s="608"/>
      <c r="Q5" s="608"/>
      <c r="R5" s="608"/>
      <c r="S5" s="608"/>
    </row>
    <row r="6" spans="1:23" ht="17">
      <c r="A6" s="2417" t="s">
        <v>2654</v>
      </c>
      <c r="B6" s="2417"/>
      <c r="C6" s="2417"/>
      <c r="D6" s="2417"/>
      <c r="E6" s="2417"/>
      <c r="F6" s="2417"/>
      <c r="G6" s="2417"/>
      <c r="H6" s="608"/>
      <c r="I6" s="608"/>
      <c r="J6" s="608"/>
      <c r="K6" s="608"/>
      <c r="L6" s="608"/>
      <c r="M6" s="608"/>
      <c r="N6" s="608"/>
      <c r="O6" s="608"/>
      <c r="P6" s="608"/>
      <c r="Q6" s="608"/>
      <c r="R6" s="608"/>
      <c r="S6" s="608"/>
    </row>
    <row r="7" spans="1:23" ht="28" customHeight="1">
      <c r="A7" s="609"/>
      <c r="B7" s="609"/>
      <c r="C7" s="609"/>
      <c r="D7" s="609"/>
      <c r="E7" s="609"/>
      <c r="F7" s="609"/>
      <c r="G7" s="610"/>
      <c r="H7" s="608"/>
      <c r="I7" s="608"/>
      <c r="J7" s="608"/>
      <c r="K7" s="608"/>
      <c r="L7" s="608"/>
      <c r="M7" s="608"/>
      <c r="N7" s="608"/>
      <c r="O7" s="608"/>
      <c r="P7" s="608"/>
      <c r="Q7" s="608"/>
      <c r="R7" s="608"/>
      <c r="S7" s="608"/>
    </row>
    <row r="8" spans="1:23">
      <c r="A8" s="1906" t="s">
        <v>261</v>
      </c>
      <c r="B8" s="1906"/>
      <c r="C8" s="1934"/>
      <c r="D8" s="1934"/>
      <c r="E8" s="1934"/>
      <c r="F8" s="1935"/>
      <c r="G8" s="1907"/>
      <c r="H8" s="1907"/>
      <c r="I8" s="1907"/>
      <c r="J8" s="1907"/>
      <c r="K8" s="1907"/>
      <c r="L8" s="1907"/>
      <c r="M8" s="1907"/>
      <c r="N8" s="1907"/>
      <c r="O8" s="1907"/>
      <c r="P8" s="1907"/>
      <c r="Q8" s="1907"/>
      <c r="R8" s="1931"/>
      <c r="S8" s="1907"/>
      <c r="T8" s="2357"/>
      <c r="U8" s="1907"/>
      <c r="V8" s="1931"/>
      <c r="W8" s="1907"/>
    </row>
    <row r="9" spans="1:23" ht="16" thickBot="1">
      <c r="A9" s="1909" t="s">
        <v>508</v>
      </c>
      <c r="B9" s="1910"/>
      <c r="C9" s="1936" t="s">
        <v>509</v>
      </c>
      <c r="D9" s="1937"/>
      <c r="E9" s="1936" t="s">
        <v>510</v>
      </c>
      <c r="F9" s="1938"/>
      <c r="G9" s="1939" t="s">
        <v>93</v>
      </c>
      <c r="H9" s="1931"/>
      <c r="I9" s="1939" t="s">
        <v>94</v>
      </c>
      <c r="J9" s="1940"/>
      <c r="K9" s="1939" t="s">
        <v>95</v>
      </c>
      <c r="L9" s="1940"/>
      <c r="M9" s="1939" t="s">
        <v>96</v>
      </c>
      <c r="N9" s="1940"/>
      <c r="O9" s="1939" t="s">
        <v>10</v>
      </c>
      <c r="P9" s="1940"/>
      <c r="Q9" s="1939" t="s">
        <v>9</v>
      </c>
      <c r="R9" s="1941"/>
      <c r="S9" s="1939" t="s">
        <v>1917</v>
      </c>
      <c r="T9" s="1941"/>
      <c r="U9" s="1939" t="s">
        <v>2584</v>
      </c>
      <c r="V9" s="1941"/>
      <c r="W9" s="1939" t="s">
        <v>511</v>
      </c>
    </row>
    <row r="10" spans="1:23">
      <c r="A10" s="2299" t="s">
        <v>512</v>
      </c>
      <c r="B10" s="2299"/>
      <c r="C10" s="2299"/>
      <c r="D10" s="1931"/>
      <c r="E10" s="1942"/>
      <c r="F10" s="1931"/>
      <c r="G10" s="1931"/>
      <c r="H10" s="1931"/>
      <c r="I10" s="1943"/>
      <c r="J10" s="1943"/>
      <c r="K10" s="1943"/>
      <c r="L10" s="1943"/>
      <c r="M10" s="1943"/>
      <c r="N10" s="1943"/>
      <c r="O10" s="1943"/>
      <c r="P10" s="1943"/>
      <c r="Q10" s="1943"/>
      <c r="R10" s="1943"/>
      <c r="S10" s="1943"/>
      <c r="T10" s="1943"/>
      <c r="U10" s="1943"/>
      <c r="V10" s="1943"/>
      <c r="W10" s="1943"/>
    </row>
    <row r="11" spans="1:23">
      <c r="A11" s="1951">
        <v>10.579000000000001</v>
      </c>
      <c r="B11" s="2300"/>
      <c r="C11" s="1638" t="s">
        <v>513</v>
      </c>
      <c r="D11" s="1931"/>
      <c r="E11" s="1911" t="s">
        <v>2191</v>
      </c>
      <c r="F11" s="1965" t="s">
        <v>6</v>
      </c>
      <c r="G11" s="1930">
        <v>0</v>
      </c>
      <c r="H11" s="1944"/>
      <c r="I11" s="1912">
        <v>3464644</v>
      </c>
      <c r="J11" s="1913"/>
      <c r="K11" s="1912">
        <v>2392823</v>
      </c>
      <c r="L11" s="1945"/>
      <c r="M11" s="1914">
        <v>-32706</v>
      </c>
      <c r="N11" s="1945"/>
      <c r="O11" s="1915">
        <v>0</v>
      </c>
      <c r="P11" s="1945"/>
      <c r="Q11" s="1916">
        <v>0</v>
      </c>
      <c r="R11" s="1917"/>
      <c r="S11" s="1916">
        <v>0</v>
      </c>
      <c r="T11" s="2358"/>
      <c r="U11" s="1916">
        <v>0</v>
      </c>
      <c r="V11" s="1917"/>
      <c r="W11" s="1918">
        <f>ROUND(SUM(G11:U11),0)</f>
        <v>5824761</v>
      </c>
    </row>
    <row r="12" spans="1:23">
      <c r="A12" s="1951">
        <v>11.557</v>
      </c>
      <c r="B12" s="2300"/>
      <c r="C12" s="1638" t="s">
        <v>514</v>
      </c>
      <c r="D12" s="1931"/>
      <c r="E12" s="1911" t="s">
        <v>2192</v>
      </c>
      <c r="F12" s="1965" t="s">
        <v>6</v>
      </c>
      <c r="G12" s="1946">
        <v>0</v>
      </c>
      <c r="H12" s="1944"/>
      <c r="I12" s="1947">
        <v>0</v>
      </c>
      <c r="J12" s="1944"/>
      <c r="K12" s="1946">
        <v>2171330</v>
      </c>
      <c r="L12" s="1946"/>
      <c r="M12" s="1919">
        <v>4463695</v>
      </c>
      <c r="N12" s="1946"/>
      <c r="O12" s="1946">
        <v>3421290</v>
      </c>
      <c r="P12" s="1946"/>
      <c r="Q12" s="1946">
        <v>1572</v>
      </c>
      <c r="R12" s="1948"/>
      <c r="S12" s="1950">
        <v>0</v>
      </c>
      <c r="T12" s="2359"/>
      <c r="U12" s="1950">
        <v>0</v>
      </c>
      <c r="V12" s="1948"/>
      <c r="W12" s="1943">
        <f t="shared" ref="W12:W31" si="0">ROUND(SUM(G12:U12),0)</f>
        <v>10057887</v>
      </c>
    </row>
    <row r="13" spans="1:23">
      <c r="A13" s="1951">
        <v>45.024999999999999</v>
      </c>
      <c r="B13" s="2300"/>
      <c r="C13" s="1638" t="s">
        <v>515</v>
      </c>
      <c r="D13" s="1931"/>
      <c r="E13" s="1911" t="s">
        <v>2193</v>
      </c>
      <c r="F13" s="1965" t="s">
        <v>6</v>
      </c>
      <c r="G13" s="1946">
        <v>0</v>
      </c>
      <c r="H13" s="1943"/>
      <c r="I13" s="1943">
        <v>370000</v>
      </c>
      <c r="J13" s="1943"/>
      <c r="K13" s="1943">
        <v>16464</v>
      </c>
      <c r="L13" s="1943"/>
      <c r="M13" s="1949">
        <v>13436</v>
      </c>
      <c r="N13" s="1943"/>
      <c r="O13" s="1950">
        <v>0</v>
      </c>
      <c r="P13" s="1950"/>
      <c r="Q13" s="1950">
        <v>0</v>
      </c>
      <c r="R13" s="1948"/>
      <c r="S13" s="1950">
        <v>0</v>
      </c>
      <c r="T13" s="2359"/>
      <c r="U13" s="1950">
        <v>0</v>
      </c>
      <c r="V13" s="1948"/>
      <c r="W13" s="1943">
        <f t="shared" si="0"/>
        <v>399900</v>
      </c>
    </row>
    <row r="14" spans="1:23">
      <c r="A14" s="1951">
        <v>84.033000000000001</v>
      </c>
      <c r="B14" s="2300"/>
      <c r="C14" s="1638" t="s">
        <v>516</v>
      </c>
      <c r="D14" s="1931"/>
      <c r="E14" s="1911" t="s">
        <v>2209</v>
      </c>
      <c r="F14" s="1965" t="s">
        <v>6</v>
      </c>
      <c r="G14" s="1946">
        <v>0</v>
      </c>
      <c r="H14" s="1943"/>
      <c r="I14" s="1943">
        <v>2102760</v>
      </c>
      <c r="J14" s="1943"/>
      <c r="K14" s="1947">
        <v>0</v>
      </c>
      <c r="L14" s="1947"/>
      <c r="M14" s="1947">
        <v>0</v>
      </c>
      <c r="N14" s="1947"/>
      <c r="O14" s="1950">
        <v>0</v>
      </c>
      <c r="P14" s="1950"/>
      <c r="Q14" s="1950">
        <v>0</v>
      </c>
      <c r="R14" s="1948"/>
      <c r="S14" s="1950">
        <v>0</v>
      </c>
      <c r="T14" s="2359"/>
      <c r="U14" s="1950">
        <v>0</v>
      </c>
      <c r="V14" s="1948"/>
      <c r="W14" s="1943">
        <f t="shared" si="0"/>
        <v>2102760</v>
      </c>
    </row>
    <row r="15" spans="1:23">
      <c r="A15" s="1951">
        <v>84.063000000000002</v>
      </c>
      <c r="B15" s="2300"/>
      <c r="C15" s="1638" t="s">
        <v>516</v>
      </c>
      <c r="D15" s="1931"/>
      <c r="E15" s="1911" t="s">
        <v>2210</v>
      </c>
      <c r="F15" s="1965" t="s">
        <v>6</v>
      </c>
      <c r="G15" s="1946">
        <v>0</v>
      </c>
      <c r="H15" s="1943"/>
      <c r="I15" s="1943">
        <v>88242844</v>
      </c>
      <c r="J15" s="1943"/>
      <c r="K15" s="1943">
        <v>58955747</v>
      </c>
      <c r="L15" s="1943"/>
      <c r="M15" s="1947">
        <v>0</v>
      </c>
      <c r="N15" s="1947"/>
      <c r="O15" s="1950">
        <v>0</v>
      </c>
      <c r="P15" s="1950"/>
      <c r="Q15" s="1950">
        <v>0</v>
      </c>
      <c r="R15" s="1948"/>
      <c r="S15" s="1950">
        <v>0</v>
      </c>
      <c r="T15" s="2359"/>
      <c r="U15" s="1950">
        <v>0</v>
      </c>
      <c r="V15" s="1948"/>
      <c r="W15" s="1943">
        <f t="shared" si="0"/>
        <v>147198591</v>
      </c>
    </row>
    <row r="16" spans="1:23">
      <c r="A16" s="1951">
        <v>84.384</v>
      </c>
      <c r="B16" s="2300"/>
      <c r="C16" s="1638" t="s">
        <v>516</v>
      </c>
      <c r="D16" s="1931"/>
      <c r="E16" s="1911" t="s">
        <v>2208</v>
      </c>
      <c r="F16" s="1965" t="s">
        <v>6</v>
      </c>
      <c r="G16" s="1946">
        <v>0</v>
      </c>
      <c r="H16" s="1943"/>
      <c r="I16" s="1947">
        <v>0</v>
      </c>
      <c r="J16" s="1943"/>
      <c r="K16" s="1943">
        <v>95579</v>
      </c>
      <c r="L16" s="1943"/>
      <c r="M16" s="1949">
        <v>2406044</v>
      </c>
      <c r="N16" s="1943"/>
      <c r="O16" s="1943">
        <v>2563174</v>
      </c>
      <c r="P16" s="1943"/>
      <c r="Q16" s="1943">
        <v>6584278</v>
      </c>
      <c r="R16" s="1948"/>
      <c r="S16" s="1943">
        <v>6387573</v>
      </c>
      <c r="T16" s="1943"/>
      <c r="U16" s="1943">
        <v>1542225</v>
      </c>
      <c r="V16" s="1948"/>
      <c r="W16" s="1943">
        <f t="shared" si="0"/>
        <v>19578873</v>
      </c>
    </row>
    <row r="17" spans="1:23">
      <c r="A17" s="1951">
        <v>84.385000000000005</v>
      </c>
      <c r="B17" s="2300"/>
      <c r="C17" s="1638" t="s">
        <v>516</v>
      </c>
      <c r="D17" s="1931"/>
      <c r="E17" s="1911" t="s">
        <v>2207</v>
      </c>
      <c r="F17" s="1965" t="s">
        <v>6</v>
      </c>
      <c r="G17" s="1946">
        <v>0</v>
      </c>
      <c r="H17" s="1943"/>
      <c r="I17" s="1947">
        <v>0</v>
      </c>
      <c r="J17" s="1943"/>
      <c r="K17" s="1943">
        <v>11914</v>
      </c>
      <c r="L17" s="1943"/>
      <c r="M17" s="1949">
        <v>109572</v>
      </c>
      <c r="N17" s="1943"/>
      <c r="O17" s="1943">
        <v>8274</v>
      </c>
      <c r="P17" s="1943"/>
      <c r="Q17" s="1943">
        <v>5311140</v>
      </c>
      <c r="R17" s="1948"/>
      <c r="S17" s="1943">
        <v>8090006</v>
      </c>
      <c r="T17" s="1943"/>
      <c r="U17" s="1943">
        <v>0</v>
      </c>
      <c r="V17" s="1948"/>
      <c r="W17" s="1943">
        <f t="shared" si="0"/>
        <v>13530906</v>
      </c>
    </row>
    <row r="18" spans="1:23">
      <c r="A18" s="1951">
        <v>84.385999999999996</v>
      </c>
      <c r="B18" s="2300"/>
      <c r="C18" s="1638" t="s">
        <v>516</v>
      </c>
      <c r="D18" s="1931"/>
      <c r="E18" s="1911" t="s">
        <v>2206</v>
      </c>
      <c r="F18" s="1965" t="s">
        <v>6</v>
      </c>
      <c r="G18" s="1946">
        <v>0</v>
      </c>
      <c r="H18" s="1943"/>
      <c r="I18" s="1947">
        <v>0</v>
      </c>
      <c r="J18" s="1943"/>
      <c r="K18" s="1943">
        <v>13736159</v>
      </c>
      <c r="L18" s="1943"/>
      <c r="M18" s="1949">
        <v>36547678</v>
      </c>
      <c r="N18" s="1943"/>
      <c r="O18" s="1943">
        <v>3267363</v>
      </c>
      <c r="P18" s="1943"/>
      <c r="Q18" s="1950">
        <v>0</v>
      </c>
      <c r="R18" s="1948"/>
      <c r="S18" s="1950">
        <v>0</v>
      </c>
      <c r="T18" s="2359"/>
      <c r="U18" s="1950">
        <v>0</v>
      </c>
      <c r="V18" s="1948"/>
      <c r="W18" s="1943">
        <f t="shared" si="0"/>
        <v>53551200</v>
      </c>
    </row>
    <row r="19" spans="1:23">
      <c r="A19" s="1951">
        <v>84.387</v>
      </c>
      <c r="B19" s="2300"/>
      <c r="C19" s="1638" t="s">
        <v>516</v>
      </c>
      <c r="D19" s="1931"/>
      <c r="E19" s="1911" t="s">
        <v>2205</v>
      </c>
      <c r="F19" s="1965" t="s">
        <v>6</v>
      </c>
      <c r="G19" s="1946">
        <v>0</v>
      </c>
      <c r="H19" s="1943"/>
      <c r="I19" s="1943">
        <v>455148</v>
      </c>
      <c r="J19" s="1943"/>
      <c r="K19" s="1943">
        <v>2301042</v>
      </c>
      <c r="L19" s="1943"/>
      <c r="M19" s="1949">
        <v>3283065</v>
      </c>
      <c r="N19" s="1943"/>
      <c r="O19" s="1947">
        <v>0</v>
      </c>
      <c r="P19" s="1947"/>
      <c r="Q19" s="1950">
        <v>0</v>
      </c>
      <c r="R19" s="1948"/>
      <c r="S19" s="1950">
        <v>0</v>
      </c>
      <c r="T19" s="2359"/>
      <c r="U19" s="1950">
        <v>0</v>
      </c>
      <c r="V19" s="1948"/>
      <c r="W19" s="1943">
        <f t="shared" si="0"/>
        <v>6039255</v>
      </c>
    </row>
    <row r="20" spans="1:23">
      <c r="A20" s="1951">
        <v>84.388000000000005</v>
      </c>
      <c r="B20" s="2300"/>
      <c r="C20" s="1638" t="s">
        <v>516</v>
      </c>
      <c r="D20" s="1931"/>
      <c r="E20" s="1911" t="s">
        <v>2204</v>
      </c>
      <c r="F20" s="1965" t="s">
        <v>6</v>
      </c>
      <c r="G20" s="1946">
        <v>0</v>
      </c>
      <c r="H20" s="1943"/>
      <c r="I20" s="1947">
        <v>0</v>
      </c>
      <c r="J20" s="1943"/>
      <c r="K20" s="1943">
        <v>17039894</v>
      </c>
      <c r="L20" s="1943"/>
      <c r="M20" s="1949">
        <v>30452936</v>
      </c>
      <c r="N20" s="1943"/>
      <c r="O20" s="1943">
        <v>64497432</v>
      </c>
      <c r="P20" s="1943"/>
      <c r="Q20" s="1943">
        <v>78100240</v>
      </c>
      <c r="R20" s="1948"/>
      <c r="S20" s="1943">
        <v>70775566</v>
      </c>
      <c r="T20" s="1943"/>
      <c r="U20" s="1943">
        <v>0</v>
      </c>
      <c r="V20" s="1948"/>
      <c r="W20" s="1943">
        <f t="shared" si="0"/>
        <v>260866068</v>
      </c>
    </row>
    <row r="21" spans="1:23">
      <c r="A21" s="1951">
        <v>84.388999999999996</v>
      </c>
      <c r="B21" s="2300"/>
      <c r="C21" s="1638" t="s">
        <v>516</v>
      </c>
      <c r="D21" s="1931"/>
      <c r="E21" s="1911" t="s">
        <v>2203</v>
      </c>
      <c r="F21" s="1965" t="s">
        <v>6</v>
      </c>
      <c r="G21" s="1946">
        <v>0</v>
      </c>
      <c r="H21" s="1943"/>
      <c r="I21" s="1943">
        <v>184093831</v>
      </c>
      <c r="J21" s="1943"/>
      <c r="K21" s="1943">
        <v>453940566</v>
      </c>
      <c r="L21" s="1943"/>
      <c r="M21" s="1949">
        <v>268086864</v>
      </c>
      <c r="N21" s="1943"/>
      <c r="O21" s="1943">
        <v>682435</v>
      </c>
      <c r="P21" s="1943"/>
      <c r="Q21" s="1950">
        <v>0</v>
      </c>
      <c r="R21" s="1948"/>
      <c r="S21" s="1950">
        <v>0</v>
      </c>
      <c r="T21" s="2359"/>
      <c r="U21" s="1950">
        <v>0</v>
      </c>
      <c r="V21" s="1948"/>
      <c r="W21" s="1943">
        <f t="shared" si="0"/>
        <v>906803696</v>
      </c>
    </row>
    <row r="22" spans="1:23">
      <c r="A22" s="1951">
        <v>84.39</v>
      </c>
      <c r="B22" s="1638"/>
      <c r="C22" s="1638" t="s">
        <v>516</v>
      </c>
      <c r="D22" s="1931"/>
      <c r="E22" s="1957" t="s">
        <v>2202</v>
      </c>
      <c r="F22" s="1965" t="s">
        <v>6</v>
      </c>
      <c r="G22" s="1946">
        <v>0</v>
      </c>
      <c r="H22" s="1943"/>
      <c r="I22" s="1943">
        <v>6866592</v>
      </c>
      <c r="J22" s="1943"/>
      <c r="K22" s="1943">
        <v>11123672</v>
      </c>
      <c r="L22" s="1943"/>
      <c r="M22" s="1949">
        <v>7703780</v>
      </c>
      <c r="N22" s="1943"/>
      <c r="O22" s="1947">
        <v>0</v>
      </c>
      <c r="P22" s="1947"/>
      <c r="Q22" s="1950">
        <v>0</v>
      </c>
      <c r="R22" s="1948"/>
      <c r="S22" s="1950">
        <v>0</v>
      </c>
      <c r="T22" s="2359"/>
      <c r="U22" s="1950">
        <v>0</v>
      </c>
      <c r="V22" s="1948"/>
      <c r="W22" s="1943">
        <f t="shared" si="0"/>
        <v>25694044</v>
      </c>
    </row>
    <row r="23" spans="1:23">
      <c r="A23" s="1951">
        <v>84.391000000000005</v>
      </c>
      <c r="B23" s="2300"/>
      <c r="C23" s="1638" t="s">
        <v>516</v>
      </c>
      <c r="D23" s="1931"/>
      <c r="E23" s="1911" t="s">
        <v>2201</v>
      </c>
      <c r="F23" s="1965" t="s">
        <v>6</v>
      </c>
      <c r="G23" s="1946">
        <v>0</v>
      </c>
      <c r="H23" s="1943"/>
      <c r="I23" s="1943">
        <v>133888517</v>
      </c>
      <c r="J23" s="1943"/>
      <c r="K23" s="1943">
        <v>285075997</v>
      </c>
      <c r="L23" s="1943"/>
      <c r="M23" s="1949">
        <v>336903466</v>
      </c>
      <c r="N23" s="1943"/>
      <c r="O23" s="1947">
        <v>0</v>
      </c>
      <c r="P23" s="1947"/>
      <c r="Q23" s="1950">
        <v>0</v>
      </c>
      <c r="R23" s="1943"/>
      <c r="S23" s="1950">
        <v>0</v>
      </c>
      <c r="T23" s="2359"/>
      <c r="U23" s="1950">
        <v>0</v>
      </c>
      <c r="V23" s="1943"/>
      <c r="W23" s="1943">
        <f t="shared" si="0"/>
        <v>755867980</v>
      </c>
    </row>
    <row r="24" spans="1:23">
      <c r="A24" s="1951">
        <v>84.391999999999996</v>
      </c>
      <c r="B24" s="2300"/>
      <c r="C24" s="1638" t="s">
        <v>516</v>
      </c>
      <c r="D24" s="1931"/>
      <c r="E24" s="1911" t="s">
        <v>2200</v>
      </c>
      <c r="F24" s="1965" t="s">
        <v>6</v>
      </c>
      <c r="G24" s="1946">
        <v>0</v>
      </c>
      <c r="H24" s="1943"/>
      <c r="I24" s="1943">
        <v>5558604</v>
      </c>
      <c r="J24" s="1943"/>
      <c r="K24" s="1943">
        <v>11363926</v>
      </c>
      <c r="L24" s="1943"/>
      <c r="M24" s="1949">
        <v>17379865</v>
      </c>
      <c r="N24" s="1943"/>
      <c r="O24" s="1947">
        <v>0</v>
      </c>
      <c r="P24" s="1947"/>
      <c r="Q24" s="1950">
        <v>0</v>
      </c>
      <c r="R24" s="1943"/>
      <c r="S24" s="1950">
        <v>0</v>
      </c>
      <c r="T24" s="2359"/>
      <c r="U24" s="1950">
        <v>0</v>
      </c>
      <c r="V24" s="1943"/>
      <c r="W24" s="1943">
        <f t="shared" si="0"/>
        <v>34302395</v>
      </c>
    </row>
    <row r="25" spans="1:23">
      <c r="A25" s="1951">
        <v>84.394000000000005</v>
      </c>
      <c r="B25" s="1638"/>
      <c r="C25" s="1638" t="s">
        <v>516</v>
      </c>
      <c r="D25" s="1931"/>
      <c r="E25" s="1911" t="s">
        <v>2199</v>
      </c>
      <c r="F25" s="1965" t="s">
        <v>6</v>
      </c>
      <c r="G25" s="1947">
        <v>0</v>
      </c>
      <c r="H25" s="1943"/>
      <c r="I25" s="1943">
        <v>572928971</v>
      </c>
      <c r="J25" s="1943"/>
      <c r="K25" s="1943">
        <v>1458987096</v>
      </c>
      <c r="L25" s="1943"/>
      <c r="M25" s="1949">
        <v>436641724</v>
      </c>
      <c r="N25" s="1943"/>
      <c r="O25" s="1947">
        <v>0</v>
      </c>
      <c r="P25" s="1947"/>
      <c r="Q25" s="1950">
        <v>0</v>
      </c>
      <c r="R25" s="1931"/>
      <c r="S25" s="1950">
        <v>0</v>
      </c>
      <c r="T25" s="2359"/>
      <c r="U25" s="1950">
        <v>0</v>
      </c>
      <c r="V25" s="1931"/>
      <c r="W25" s="1943">
        <f t="shared" si="0"/>
        <v>2468557791</v>
      </c>
    </row>
    <row r="26" spans="1:23" ht="16.5" customHeight="1">
      <c r="A26" s="1951">
        <v>84.394999999999996</v>
      </c>
      <c r="B26" s="1638"/>
      <c r="C26" s="1638" t="s">
        <v>516</v>
      </c>
      <c r="D26" s="1931"/>
      <c r="E26" s="1911" t="s">
        <v>2198</v>
      </c>
      <c r="F26" s="1965" t="s">
        <v>6</v>
      </c>
      <c r="G26" s="1947">
        <v>0</v>
      </c>
      <c r="H26" s="1961"/>
      <c r="I26" s="1947">
        <v>0</v>
      </c>
      <c r="J26" s="1961"/>
      <c r="K26" s="1961">
        <v>496710</v>
      </c>
      <c r="L26" s="1961"/>
      <c r="M26" s="1963">
        <v>26463972</v>
      </c>
      <c r="N26" s="1961"/>
      <c r="O26" s="1961">
        <v>88915178</v>
      </c>
      <c r="P26" s="1961"/>
      <c r="Q26" s="1961">
        <v>250196973</v>
      </c>
      <c r="R26" s="1946"/>
      <c r="S26" s="1961">
        <v>164200541</v>
      </c>
      <c r="T26" s="1961"/>
      <c r="U26" s="1961">
        <v>166302437</v>
      </c>
      <c r="V26" s="1946"/>
      <c r="W26" s="1943">
        <f t="shared" si="0"/>
        <v>696575811</v>
      </c>
    </row>
    <row r="27" spans="1:23">
      <c r="A27" s="1951">
        <v>84.397000000000006</v>
      </c>
      <c r="B27" s="1638"/>
      <c r="C27" s="1638" t="s">
        <v>516</v>
      </c>
      <c r="D27" s="1931"/>
      <c r="E27" s="1911" t="s">
        <v>2197</v>
      </c>
      <c r="F27" s="1965" t="s">
        <v>6</v>
      </c>
      <c r="G27" s="1947">
        <v>0</v>
      </c>
      <c r="H27" s="1943"/>
      <c r="I27" s="1943">
        <v>81983637</v>
      </c>
      <c r="J27" s="1943"/>
      <c r="K27" s="1943">
        <v>438172560</v>
      </c>
      <c r="L27" s="1943"/>
      <c r="M27" s="1949">
        <v>7207822</v>
      </c>
      <c r="N27" s="1943"/>
      <c r="O27" s="1947">
        <v>0</v>
      </c>
      <c r="P27" s="1947"/>
      <c r="Q27" s="1950">
        <v>0</v>
      </c>
      <c r="R27" s="1931"/>
      <c r="S27" s="1950">
        <v>0</v>
      </c>
      <c r="T27" s="2359"/>
      <c r="U27" s="1950">
        <v>0</v>
      </c>
      <c r="V27" s="1931"/>
      <c r="W27" s="1943">
        <f t="shared" si="0"/>
        <v>527364019</v>
      </c>
    </row>
    <row r="28" spans="1:23">
      <c r="A28" s="1951">
        <v>84.397999999999996</v>
      </c>
      <c r="B28" s="1638"/>
      <c r="C28" s="1638" t="s">
        <v>516</v>
      </c>
      <c r="D28" s="1931"/>
      <c r="E28" s="1911" t="s">
        <v>2211</v>
      </c>
      <c r="F28" s="1965" t="s">
        <v>6</v>
      </c>
      <c r="G28" s="1947">
        <v>0</v>
      </c>
      <c r="H28" s="1943"/>
      <c r="I28" s="1943">
        <v>62389</v>
      </c>
      <c r="J28" s="1943"/>
      <c r="K28" s="1943">
        <v>340763</v>
      </c>
      <c r="L28" s="1943"/>
      <c r="M28" s="1949">
        <v>453732</v>
      </c>
      <c r="N28" s="1943"/>
      <c r="O28" s="1947">
        <v>0</v>
      </c>
      <c r="P28" s="1947"/>
      <c r="Q28" s="1950">
        <v>0</v>
      </c>
      <c r="R28" s="1931"/>
      <c r="S28" s="1950">
        <v>0</v>
      </c>
      <c r="T28" s="2359"/>
      <c r="U28" s="1950">
        <v>0</v>
      </c>
      <c r="V28" s="1931"/>
      <c r="W28" s="1943">
        <f t="shared" si="0"/>
        <v>856884</v>
      </c>
    </row>
    <row r="29" spans="1:23">
      <c r="A29" s="1951">
        <v>84.399000000000001</v>
      </c>
      <c r="B29" s="1638"/>
      <c r="C29" s="1638" t="s">
        <v>516</v>
      </c>
      <c r="D29" s="1931"/>
      <c r="E29" s="1911" t="s">
        <v>2196</v>
      </c>
      <c r="F29" s="1965" t="s">
        <v>6</v>
      </c>
      <c r="G29" s="1947">
        <v>0</v>
      </c>
      <c r="H29" s="1943"/>
      <c r="I29" s="1947">
        <v>0</v>
      </c>
      <c r="J29" s="1943"/>
      <c r="K29" s="1943">
        <v>1119702</v>
      </c>
      <c r="L29" s="1943"/>
      <c r="M29" s="1949">
        <v>1178029</v>
      </c>
      <c r="N29" s="1943"/>
      <c r="O29" s="1947">
        <v>0</v>
      </c>
      <c r="P29" s="1947"/>
      <c r="Q29" s="1950">
        <v>0</v>
      </c>
      <c r="R29" s="1931"/>
      <c r="S29" s="1950">
        <v>0</v>
      </c>
      <c r="T29" s="2359"/>
      <c r="U29" s="1950">
        <v>0</v>
      </c>
      <c r="V29" s="1931"/>
      <c r="W29" s="1943">
        <f t="shared" si="0"/>
        <v>2297731</v>
      </c>
    </row>
    <row r="30" spans="1:23">
      <c r="A30" s="1951">
        <v>84.41</v>
      </c>
      <c r="B30" s="1638"/>
      <c r="C30" s="1638" t="s">
        <v>516</v>
      </c>
      <c r="D30" s="1931"/>
      <c r="E30" s="1911" t="s">
        <v>2194</v>
      </c>
      <c r="F30" s="1965" t="s">
        <v>6</v>
      </c>
      <c r="G30" s="1947">
        <v>0</v>
      </c>
      <c r="H30" s="1943"/>
      <c r="I30" s="1947">
        <v>0</v>
      </c>
      <c r="J30" s="1943"/>
      <c r="K30" s="1943">
        <v>111434789</v>
      </c>
      <c r="L30" s="1943"/>
      <c r="M30" s="1949">
        <v>267005336</v>
      </c>
      <c r="N30" s="1943"/>
      <c r="O30" s="1943">
        <v>238039495</v>
      </c>
      <c r="P30" s="1943"/>
      <c r="Q30" s="1950">
        <v>0</v>
      </c>
      <c r="R30" s="1931"/>
      <c r="S30" s="1950">
        <v>0</v>
      </c>
      <c r="T30" s="2359"/>
      <c r="U30" s="1950">
        <v>0</v>
      </c>
      <c r="V30" s="1931"/>
      <c r="W30" s="1943">
        <f t="shared" si="0"/>
        <v>616479620</v>
      </c>
    </row>
    <row r="31" spans="1:23">
      <c r="A31" s="1951">
        <v>93.406999999999996</v>
      </c>
      <c r="B31" s="1638"/>
      <c r="C31" s="1638" t="s">
        <v>517</v>
      </c>
      <c r="D31" s="1931"/>
      <c r="E31" s="1911" t="s">
        <v>2195</v>
      </c>
      <c r="F31" s="1965" t="s">
        <v>6</v>
      </c>
      <c r="G31" s="1969">
        <v>0</v>
      </c>
      <c r="H31" s="1943"/>
      <c r="I31" s="1953">
        <v>208710</v>
      </c>
      <c r="J31" s="1943"/>
      <c r="K31" s="1953">
        <v>202539</v>
      </c>
      <c r="L31" s="1943"/>
      <c r="M31" s="1947">
        <v>0</v>
      </c>
      <c r="N31" s="1947"/>
      <c r="O31" s="1947">
        <v>0</v>
      </c>
      <c r="P31" s="1947"/>
      <c r="Q31" s="1950">
        <v>0</v>
      </c>
      <c r="R31" s="1931"/>
      <c r="S31" s="1950">
        <v>0</v>
      </c>
      <c r="T31" s="2359"/>
      <c r="U31" s="1950">
        <v>0</v>
      </c>
      <c r="V31" s="1931"/>
      <c r="W31" s="1943">
        <f t="shared" si="0"/>
        <v>411249</v>
      </c>
    </row>
    <row r="32" spans="1:23" ht="15.75" customHeight="1">
      <c r="A32" s="1639"/>
      <c r="B32" s="1900"/>
      <c r="C32" s="1898"/>
      <c r="D32" s="1931"/>
      <c r="E32" s="1981" t="s">
        <v>2432</v>
      </c>
      <c r="F32" s="1965" t="s">
        <v>6</v>
      </c>
      <c r="G32" s="1955">
        <f>ROUND(SUM(G11:G31),0)</f>
        <v>0</v>
      </c>
      <c r="H32" s="1931"/>
      <c r="I32" s="1955">
        <f>ROUND(SUM(I11:I31),0)</f>
        <v>1080226647</v>
      </c>
      <c r="J32" s="1956"/>
      <c r="K32" s="1955">
        <f>ROUND(SUM(K11:K31),0)</f>
        <v>2868979272</v>
      </c>
      <c r="L32" s="1956"/>
      <c r="M32" s="1955">
        <f>ROUND(SUM(M11:M31),0)</f>
        <v>1446268310</v>
      </c>
      <c r="N32" s="1956"/>
      <c r="O32" s="1955">
        <f>ROUND(SUM(O11:O31),0)</f>
        <v>401394641</v>
      </c>
      <c r="P32" s="1956"/>
      <c r="Q32" s="1955">
        <f>ROUND(SUM(Q11:Q31),0)</f>
        <v>340194203</v>
      </c>
      <c r="R32" s="1943"/>
      <c r="S32" s="1955">
        <f>ROUND(SUM(S11:S31),0)</f>
        <v>249453686</v>
      </c>
      <c r="T32" s="1956"/>
      <c r="U32" s="1955">
        <f>ROUND(SUM(U11:U31),0)</f>
        <v>167844662</v>
      </c>
      <c r="V32" s="1943"/>
      <c r="W32" s="1955">
        <f>ROUND(SUM(W11:W31),0)</f>
        <v>6554361421</v>
      </c>
    </row>
    <row r="33" spans="1:23">
      <c r="A33" s="2301" t="s">
        <v>1957</v>
      </c>
      <c r="B33" s="2302"/>
      <c r="C33" s="2302"/>
      <c r="D33" s="1931"/>
      <c r="E33" s="1942"/>
      <c r="F33" s="1965" t="s">
        <v>6</v>
      </c>
      <c r="G33" s="1931"/>
      <c r="H33" s="1931"/>
      <c r="I33" s="1943"/>
      <c r="J33" s="1943"/>
      <c r="K33" s="1943"/>
      <c r="L33" s="1943"/>
      <c r="M33" s="1943"/>
      <c r="N33" s="1943"/>
      <c r="O33" s="1943"/>
      <c r="P33" s="1943"/>
      <c r="Q33" s="1943"/>
      <c r="R33" s="1943"/>
      <c r="S33" s="1943"/>
      <c r="T33" s="1943"/>
      <c r="U33" s="1943"/>
      <c r="V33" s="1943"/>
      <c r="W33" s="1943"/>
    </row>
    <row r="34" spans="1:23">
      <c r="A34" s="1639">
        <v>10.086</v>
      </c>
      <c r="B34" s="2302"/>
      <c r="C34" s="2302" t="s">
        <v>513</v>
      </c>
      <c r="D34" s="1931"/>
      <c r="E34" s="1957" t="s">
        <v>2249</v>
      </c>
      <c r="F34" s="1965" t="s">
        <v>6</v>
      </c>
      <c r="G34" s="1947">
        <v>0</v>
      </c>
      <c r="H34" s="1931"/>
      <c r="I34" s="1943">
        <v>7612</v>
      </c>
      <c r="J34" s="1943"/>
      <c r="K34" s="1947">
        <v>0</v>
      </c>
      <c r="L34" s="1947"/>
      <c r="M34" s="1947">
        <v>0</v>
      </c>
      <c r="N34" s="1947"/>
      <c r="O34" s="1947">
        <v>0</v>
      </c>
      <c r="P34" s="1947"/>
      <c r="Q34" s="1950">
        <v>0</v>
      </c>
      <c r="R34" s="1943"/>
      <c r="S34" s="1950">
        <v>0</v>
      </c>
      <c r="T34" s="2359"/>
      <c r="U34" s="1950">
        <v>0</v>
      </c>
      <c r="V34" s="1943"/>
      <c r="W34" s="1943">
        <f>ROUND(SUM(G34:U34),0)</f>
        <v>7612</v>
      </c>
    </row>
    <row r="35" spans="1:23">
      <c r="A35" s="1639">
        <v>10.688000000000001</v>
      </c>
      <c r="B35" s="2302"/>
      <c r="C35" s="2302" t="s">
        <v>513</v>
      </c>
      <c r="D35" s="1931"/>
      <c r="E35" s="1957" t="s">
        <v>2250</v>
      </c>
      <c r="F35" s="1965" t="s">
        <v>6</v>
      </c>
      <c r="G35" s="1947">
        <v>0</v>
      </c>
      <c r="H35" s="1931"/>
      <c r="I35" s="1943">
        <v>4559</v>
      </c>
      <c r="J35" s="1943"/>
      <c r="K35" s="1943">
        <v>323090</v>
      </c>
      <c r="L35" s="1943"/>
      <c r="M35" s="1958">
        <v>289515</v>
      </c>
      <c r="N35" s="1943"/>
      <c r="O35" s="1943">
        <v>145836</v>
      </c>
      <c r="P35" s="1943"/>
      <c r="Q35" s="1950">
        <v>0</v>
      </c>
      <c r="R35" s="1943"/>
      <c r="S35" s="1950">
        <v>0</v>
      </c>
      <c r="T35" s="2359"/>
      <c r="U35" s="1950">
        <v>0</v>
      </c>
      <c r="V35" s="1943"/>
      <c r="W35" s="1943">
        <f t="shared" ref="W35:W43" si="1">ROUND(SUM(G35:U35),0)</f>
        <v>763000</v>
      </c>
    </row>
    <row r="36" spans="1:23">
      <c r="A36" s="1639">
        <v>66.039000000000001</v>
      </c>
      <c r="B36" s="2302"/>
      <c r="C36" s="2302" t="s">
        <v>518</v>
      </c>
      <c r="D36" s="1931"/>
      <c r="E36" s="1957" t="s">
        <v>2251</v>
      </c>
      <c r="F36" s="1965" t="s">
        <v>6</v>
      </c>
      <c r="G36" s="1947">
        <v>0</v>
      </c>
      <c r="H36" s="1931"/>
      <c r="I36" s="1947">
        <v>0</v>
      </c>
      <c r="J36" s="1943"/>
      <c r="K36" s="1947">
        <v>0</v>
      </c>
      <c r="L36" s="1943"/>
      <c r="M36" s="1958">
        <v>1000000</v>
      </c>
      <c r="N36" s="1943"/>
      <c r="O36" s="1947">
        <v>0</v>
      </c>
      <c r="P36" s="1947"/>
      <c r="Q36" s="1950">
        <v>0</v>
      </c>
      <c r="R36" s="1943"/>
      <c r="S36" s="1950">
        <v>0</v>
      </c>
      <c r="T36" s="2359"/>
      <c r="U36" s="1950">
        <v>0</v>
      </c>
      <c r="V36" s="1943"/>
      <c r="W36" s="1943">
        <f t="shared" si="1"/>
        <v>1000000</v>
      </c>
    </row>
    <row r="37" spans="1:23">
      <c r="A37" s="1639">
        <v>66.040000000000006</v>
      </c>
      <c r="B37" s="2302"/>
      <c r="C37" s="2302" t="s">
        <v>518</v>
      </c>
      <c r="D37" s="1931"/>
      <c r="E37" s="1957" t="s">
        <v>2252</v>
      </c>
      <c r="F37" s="1965" t="s">
        <v>6</v>
      </c>
      <c r="G37" s="1947">
        <v>0</v>
      </c>
      <c r="H37" s="1931"/>
      <c r="I37" s="1943">
        <v>19591</v>
      </c>
      <c r="J37" s="1943"/>
      <c r="K37" s="1943">
        <v>1075257</v>
      </c>
      <c r="L37" s="1943"/>
      <c r="M37" s="1958">
        <v>540239</v>
      </c>
      <c r="N37" s="1943"/>
      <c r="O37" s="1947">
        <v>0</v>
      </c>
      <c r="P37" s="1947"/>
      <c r="Q37" s="1950">
        <v>0</v>
      </c>
      <c r="R37" s="1943"/>
      <c r="S37" s="1950">
        <v>0</v>
      </c>
      <c r="T37" s="2359"/>
      <c r="U37" s="1950">
        <v>81460</v>
      </c>
      <c r="V37" s="1943"/>
      <c r="W37" s="1943">
        <f t="shared" si="1"/>
        <v>1716547</v>
      </c>
    </row>
    <row r="38" spans="1:23">
      <c r="A38" s="1639">
        <v>66.453999999999994</v>
      </c>
      <c r="B38" s="2302"/>
      <c r="C38" s="2302" t="s">
        <v>518</v>
      </c>
      <c r="D38" s="1931"/>
      <c r="E38" s="1957" t="s">
        <v>2253</v>
      </c>
      <c r="F38" s="1965" t="s">
        <v>6</v>
      </c>
      <c r="G38" s="1947">
        <v>0</v>
      </c>
      <c r="H38" s="1931"/>
      <c r="I38" s="1943">
        <v>896179</v>
      </c>
      <c r="J38" s="1943"/>
      <c r="K38" s="1943">
        <v>1572681</v>
      </c>
      <c r="L38" s="1943"/>
      <c r="M38" s="1949">
        <v>1663871</v>
      </c>
      <c r="N38" s="1943"/>
      <c r="O38" s="1947">
        <v>0</v>
      </c>
      <c r="P38" s="1947"/>
      <c r="Q38" s="1950">
        <v>0</v>
      </c>
      <c r="R38" s="1943"/>
      <c r="S38" s="1950">
        <v>0</v>
      </c>
      <c r="T38" s="2359"/>
      <c r="U38" s="1950">
        <v>0</v>
      </c>
      <c r="V38" s="1943"/>
      <c r="W38" s="1943">
        <f t="shared" si="1"/>
        <v>4132731</v>
      </c>
    </row>
    <row r="39" spans="1:23">
      <c r="A39" s="1639">
        <v>66.457999999999998</v>
      </c>
      <c r="B39" s="1900"/>
      <c r="C39" s="1900" t="s">
        <v>518</v>
      </c>
      <c r="D39" s="1931"/>
      <c r="E39" s="1957" t="s">
        <v>2254</v>
      </c>
      <c r="F39" s="1965" t="s">
        <v>6</v>
      </c>
      <c r="G39" s="1947">
        <v>0</v>
      </c>
      <c r="H39" s="1931"/>
      <c r="I39" s="1943">
        <v>36941050</v>
      </c>
      <c r="J39" s="1943"/>
      <c r="K39" s="1943">
        <v>146549965</v>
      </c>
      <c r="L39" s="1943"/>
      <c r="M39" s="1958">
        <v>110588886</v>
      </c>
      <c r="N39" s="1943"/>
      <c r="O39" s="1943">
        <v>106916497</v>
      </c>
      <c r="P39" s="1943"/>
      <c r="Q39" s="1943">
        <v>31567802</v>
      </c>
      <c r="R39" s="1931"/>
      <c r="S39" s="1950">
        <v>0</v>
      </c>
      <c r="T39" s="2359"/>
      <c r="U39" s="1950">
        <v>0</v>
      </c>
      <c r="V39" s="1931"/>
      <c r="W39" s="1943">
        <f t="shared" si="1"/>
        <v>432564200</v>
      </c>
    </row>
    <row r="40" spans="1:23">
      <c r="A40" s="1639">
        <v>66.468000000000004</v>
      </c>
      <c r="B40" s="1900"/>
      <c r="C40" s="1900" t="s">
        <v>518</v>
      </c>
      <c r="D40" s="1931"/>
      <c r="E40" s="1957" t="s">
        <v>2255</v>
      </c>
      <c r="F40" s="1965" t="s">
        <v>6</v>
      </c>
      <c r="G40" s="1947">
        <v>0</v>
      </c>
      <c r="H40" s="1931"/>
      <c r="I40" s="1943">
        <v>29397804</v>
      </c>
      <c r="J40" s="1943"/>
      <c r="K40" s="1943">
        <v>40852733</v>
      </c>
      <c r="L40" s="1943"/>
      <c r="M40" s="1958">
        <v>11968461</v>
      </c>
      <c r="N40" s="1943"/>
      <c r="O40" s="1943">
        <v>2643124</v>
      </c>
      <c r="P40" s="1943"/>
      <c r="Q40" s="1943">
        <v>1948878</v>
      </c>
      <c r="R40" s="1931"/>
      <c r="S40" s="1950">
        <v>0</v>
      </c>
      <c r="T40" s="2359"/>
      <c r="U40" s="1950">
        <v>0</v>
      </c>
      <c r="V40" s="1931"/>
      <c r="W40" s="1943">
        <f t="shared" si="1"/>
        <v>86811000</v>
      </c>
    </row>
    <row r="41" spans="1:23">
      <c r="A41" s="1639">
        <v>66.805000000000007</v>
      </c>
      <c r="B41" s="1900"/>
      <c r="C41" s="1900" t="s">
        <v>518</v>
      </c>
      <c r="D41" s="1931"/>
      <c r="E41" s="1957" t="s">
        <v>2256</v>
      </c>
      <c r="F41" s="1965" t="s">
        <v>6</v>
      </c>
      <c r="G41" s="1947">
        <v>0</v>
      </c>
      <c r="H41" s="1931"/>
      <c r="I41" s="1943">
        <v>1434907</v>
      </c>
      <c r="J41" s="1943"/>
      <c r="K41" s="1943">
        <v>4597165</v>
      </c>
      <c r="L41" s="1943"/>
      <c r="M41" s="1958">
        <v>3179928</v>
      </c>
      <c r="N41" s="1943"/>
      <c r="O41" s="1947">
        <v>0</v>
      </c>
      <c r="P41" s="1947"/>
      <c r="Q41" s="1950">
        <v>0</v>
      </c>
      <c r="R41" s="1931"/>
      <c r="S41" s="1950">
        <v>0</v>
      </c>
      <c r="T41" s="2359"/>
      <c r="U41" s="1950">
        <v>0</v>
      </c>
      <c r="V41" s="1931"/>
      <c r="W41" s="1943">
        <f t="shared" si="1"/>
        <v>9212000</v>
      </c>
    </row>
    <row r="42" spans="1:23">
      <c r="A42" s="1639">
        <v>81.042000000000002</v>
      </c>
      <c r="B42" s="1900"/>
      <c r="C42" s="1900" t="s">
        <v>519</v>
      </c>
      <c r="D42" s="1931"/>
      <c r="E42" s="1957" t="s">
        <v>2257</v>
      </c>
      <c r="F42" s="1965" t="s">
        <v>6</v>
      </c>
      <c r="G42" s="1947">
        <v>0</v>
      </c>
      <c r="H42" s="1931"/>
      <c r="I42" s="1908">
        <v>60932024</v>
      </c>
      <c r="J42" s="1931"/>
      <c r="K42" s="1908">
        <v>123541350</v>
      </c>
      <c r="L42" s="1931"/>
      <c r="M42" s="1921">
        <v>193519372</v>
      </c>
      <c r="N42" s="1931"/>
      <c r="O42" s="1908">
        <v>15010301</v>
      </c>
      <c r="P42" s="1931"/>
      <c r="Q42" s="1908">
        <v>2601747</v>
      </c>
      <c r="R42" s="1931"/>
      <c r="S42" s="1908">
        <v>125570</v>
      </c>
      <c r="T42" s="1959"/>
      <c r="U42" s="1908">
        <v>0</v>
      </c>
      <c r="V42" s="1931"/>
      <c r="W42" s="1943">
        <f t="shared" si="1"/>
        <v>395730364</v>
      </c>
    </row>
    <row r="43" spans="1:23">
      <c r="A43" s="1639">
        <v>81.122</v>
      </c>
      <c r="B43" s="1900"/>
      <c r="C43" s="1900" t="s">
        <v>519</v>
      </c>
      <c r="D43" s="1931"/>
      <c r="E43" s="1957" t="s">
        <v>2258</v>
      </c>
      <c r="F43" s="1965" t="s">
        <v>6</v>
      </c>
      <c r="G43" s="1969">
        <v>0</v>
      </c>
      <c r="H43" s="1931"/>
      <c r="I43" s="1920">
        <v>0</v>
      </c>
      <c r="J43" s="1931"/>
      <c r="K43" s="1922">
        <v>134185</v>
      </c>
      <c r="L43" s="1959"/>
      <c r="M43" s="1923">
        <v>186771</v>
      </c>
      <c r="N43" s="1959"/>
      <c r="O43" s="1922">
        <v>313785</v>
      </c>
      <c r="P43" s="1959"/>
      <c r="Q43" s="1922">
        <v>382781</v>
      </c>
      <c r="R43" s="1931"/>
      <c r="S43" s="1922">
        <v>217962</v>
      </c>
      <c r="T43" s="1959"/>
      <c r="U43" s="1922">
        <v>-285</v>
      </c>
      <c r="V43" s="1931"/>
      <c r="W43" s="1943">
        <f t="shared" si="1"/>
        <v>1235199</v>
      </c>
    </row>
    <row r="44" spans="1:23">
      <c r="A44" s="1639"/>
      <c r="B44" s="1900"/>
      <c r="C44" s="1898"/>
      <c r="D44" s="1931"/>
      <c r="E44" s="1981" t="s">
        <v>2212</v>
      </c>
      <c r="F44" s="1965" t="s">
        <v>6</v>
      </c>
      <c r="G44" s="1955">
        <f>ROUND(SUM(G34:G43),0)</f>
        <v>0</v>
      </c>
      <c r="H44" s="1940"/>
      <c r="I44" s="1955">
        <f>ROUND(SUM(I34:I43),0)</f>
        <v>129633726</v>
      </c>
      <c r="J44" s="1956"/>
      <c r="K44" s="1955">
        <f>ROUND(SUM(K34:K43),0)</f>
        <v>318646426</v>
      </c>
      <c r="L44" s="1956"/>
      <c r="M44" s="1955">
        <f>ROUND(SUM(M34:M43),0)</f>
        <v>322937043</v>
      </c>
      <c r="N44" s="1956"/>
      <c r="O44" s="1955">
        <f>ROUND(SUM(O34:O43),0)</f>
        <v>125029543</v>
      </c>
      <c r="P44" s="1956"/>
      <c r="Q44" s="1955">
        <f>ROUND(SUM(Q34:Q43),0)</f>
        <v>36501208</v>
      </c>
      <c r="R44" s="1956"/>
      <c r="S44" s="1955">
        <f>ROUND(SUM(S34:S43),0)</f>
        <v>343532</v>
      </c>
      <c r="T44" s="1956"/>
      <c r="U44" s="1955">
        <f>ROUND(SUM(U34:U43),0)</f>
        <v>81175</v>
      </c>
      <c r="V44" s="1956"/>
      <c r="W44" s="1955">
        <f>ROUND(SUM(W34:W43),0)</f>
        <v>933172653</v>
      </c>
    </row>
    <row r="45" spans="1:23">
      <c r="A45" s="2300" t="s">
        <v>2578</v>
      </c>
      <c r="B45" s="2300"/>
      <c r="C45" s="2300"/>
      <c r="D45" s="1931"/>
      <c r="E45" s="1942"/>
      <c r="F45" s="1965" t="s">
        <v>6</v>
      </c>
      <c r="G45" s="1931"/>
      <c r="H45" s="1931"/>
      <c r="I45" s="1943"/>
      <c r="J45" s="1943"/>
      <c r="K45" s="1943"/>
      <c r="L45" s="1943"/>
      <c r="M45" s="1943"/>
      <c r="N45" s="1943"/>
      <c r="O45" s="1943"/>
      <c r="P45" s="1943"/>
      <c r="Q45" s="1943"/>
      <c r="R45" s="1943"/>
      <c r="S45" s="1943"/>
      <c r="T45" s="1943"/>
      <c r="U45" s="1943"/>
      <c r="V45" s="1943"/>
      <c r="W45" s="1943"/>
    </row>
    <row r="46" spans="1:23">
      <c r="A46" s="1951">
        <v>10.568</v>
      </c>
      <c r="B46" s="1638"/>
      <c r="C46" s="1638" t="s">
        <v>513</v>
      </c>
      <c r="D46" s="1931"/>
      <c r="E46" s="1911" t="s">
        <v>2259</v>
      </c>
      <c r="F46" s="1965" t="s">
        <v>6</v>
      </c>
      <c r="G46" s="1947">
        <v>0</v>
      </c>
      <c r="H46" s="1944"/>
      <c r="I46" s="1943">
        <v>3060743</v>
      </c>
      <c r="J46" s="1943"/>
      <c r="K46" s="1943">
        <v>1830559</v>
      </c>
      <c r="L46" s="1943"/>
      <c r="M46" s="1947">
        <v>0</v>
      </c>
      <c r="N46" s="1947"/>
      <c r="O46" s="1947">
        <v>0</v>
      </c>
      <c r="P46" s="1947"/>
      <c r="Q46" s="1947">
        <v>0</v>
      </c>
      <c r="R46" s="1931"/>
      <c r="S46" s="1947">
        <v>0</v>
      </c>
      <c r="T46" s="1924"/>
      <c r="U46" s="1947">
        <v>0</v>
      </c>
      <c r="V46" s="1931"/>
      <c r="W46" s="1943">
        <f>ROUND(SUM(G46:U46),0)</f>
        <v>4891302</v>
      </c>
    </row>
    <row r="47" spans="1:23">
      <c r="A47" s="1951">
        <v>93.704999999999998</v>
      </c>
      <c r="B47" s="1898"/>
      <c r="C47" s="1638" t="s">
        <v>517</v>
      </c>
      <c r="D47" s="1911"/>
      <c r="E47" s="1911" t="s">
        <v>2260</v>
      </c>
      <c r="F47" s="1965" t="s">
        <v>6</v>
      </c>
      <c r="G47" s="1947">
        <v>0</v>
      </c>
      <c r="H47" s="1931"/>
      <c r="I47" s="1946">
        <v>1782884</v>
      </c>
      <c r="J47" s="1946"/>
      <c r="K47" s="1946">
        <v>259562</v>
      </c>
      <c r="L47" s="1946"/>
      <c r="M47" s="1947">
        <v>0</v>
      </c>
      <c r="N47" s="1947"/>
      <c r="O47" s="1947">
        <v>0</v>
      </c>
      <c r="P47" s="1947"/>
      <c r="Q47" s="1947">
        <v>0</v>
      </c>
      <c r="R47" s="1931"/>
      <c r="S47" s="1947">
        <v>0</v>
      </c>
      <c r="T47" s="1924"/>
      <c r="U47" s="1947">
        <v>0</v>
      </c>
      <c r="V47" s="1931"/>
      <c r="W47" s="1943">
        <f t="shared" ref="W47:W48" si="2">ROUND(SUM(G47:U47),0)</f>
        <v>2042446</v>
      </c>
    </row>
    <row r="48" spans="1:23">
      <c r="A48" s="1951">
        <v>93.706999999999994</v>
      </c>
      <c r="B48" s="1638"/>
      <c r="C48" s="1638" t="s">
        <v>517</v>
      </c>
      <c r="D48" s="1911"/>
      <c r="E48" s="1911" t="s">
        <v>2261</v>
      </c>
      <c r="F48" s="1965" t="s">
        <v>6</v>
      </c>
      <c r="G48" s="1920">
        <v>0</v>
      </c>
      <c r="H48" s="1944"/>
      <c r="I48" s="1960">
        <v>3709148</v>
      </c>
      <c r="J48" s="1961"/>
      <c r="K48" s="1960">
        <v>439570</v>
      </c>
      <c r="L48" s="1961"/>
      <c r="M48" s="1920">
        <v>0</v>
      </c>
      <c r="N48" s="1924"/>
      <c r="O48" s="1920">
        <v>0</v>
      </c>
      <c r="P48" s="1924"/>
      <c r="Q48" s="1920">
        <v>0</v>
      </c>
      <c r="R48" s="1948"/>
      <c r="S48" s="1920">
        <v>0</v>
      </c>
      <c r="T48" s="1924"/>
      <c r="U48" s="1920">
        <v>0</v>
      </c>
      <c r="V48" s="1948"/>
      <c r="W48" s="1943">
        <f t="shared" si="2"/>
        <v>4148718</v>
      </c>
    </row>
    <row r="49" spans="1:23">
      <c r="A49" s="1900"/>
      <c r="B49" s="1900"/>
      <c r="C49" s="1898"/>
      <c r="D49" s="1931"/>
      <c r="E49" s="1981" t="s">
        <v>2213</v>
      </c>
      <c r="F49" s="1965" t="s">
        <v>6</v>
      </c>
      <c r="G49" s="1955">
        <f>ROUND(SUM(G46:G48),0)</f>
        <v>0</v>
      </c>
      <c r="H49" s="1940"/>
      <c r="I49" s="1955">
        <f>ROUND(SUM(I46:I48),0)</f>
        <v>8552775</v>
      </c>
      <c r="J49" s="1956"/>
      <c r="K49" s="1955">
        <f>ROUND(SUM(K46:K48),0)</f>
        <v>2529691</v>
      </c>
      <c r="L49" s="1956"/>
      <c r="M49" s="1955">
        <f>ROUND(SUM(M46:M48),0)</f>
        <v>0</v>
      </c>
      <c r="N49" s="1924"/>
      <c r="O49" s="1955">
        <f>ROUND(SUM(O46:O48),0)</f>
        <v>0</v>
      </c>
      <c r="P49" s="1924"/>
      <c r="Q49" s="1955">
        <f>ROUND(SUM(Q46:Q48),0)</f>
        <v>0</v>
      </c>
      <c r="R49" s="1956"/>
      <c r="S49" s="1955">
        <f>ROUND(SUM(S46:S48),0)</f>
        <v>0</v>
      </c>
      <c r="T49" s="1956"/>
      <c r="U49" s="1955">
        <f>ROUND(SUM(U46:U48),0)</f>
        <v>0</v>
      </c>
      <c r="V49" s="1956"/>
      <c r="W49" s="1955">
        <f>ROUND(SUM(W46:W48),0)</f>
        <v>11082466</v>
      </c>
    </row>
    <row r="50" spans="1:23">
      <c r="A50" s="2300" t="s">
        <v>1958</v>
      </c>
      <c r="B50" s="2300"/>
      <c r="C50" s="2300"/>
      <c r="D50" s="1931"/>
      <c r="E50" s="1980"/>
      <c r="F50" s="1965" t="s">
        <v>6</v>
      </c>
      <c r="G50" s="1931"/>
      <c r="H50" s="1931"/>
      <c r="I50" s="1931"/>
      <c r="J50" s="1931"/>
      <c r="K50" s="1931"/>
      <c r="L50" s="1931"/>
      <c r="M50" s="1931"/>
      <c r="N50" s="1931"/>
      <c r="O50" s="1931"/>
      <c r="P50" s="1931"/>
      <c r="Q50" s="1931"/>
      <c r="R50" s="1931"/>
      <c r="S50" s="1931"/>
      <c r="T50" s="2360"/>
      <c r="U50" s="2361"/>
      <c r="V50" s="1931"/>
      <c r="W50" s="1931"/>
    </row>
    <row r="51" spans="1:23">
      <c r="A51" s="1951">
        <v>10.557</v>
      </c>
      <c r="B51" s="1900"/>
      <c r="C51" s="1638" t="s">
        <v>513</v>
      </c>
      <c r="D51" s="1931"/>
      <c r="E51" s="1957" t="s">
        <v>2235</v>
      </c>
      <c r="F51" s="1965" t="s">
        <v>6</v>
      </c>
      <c r="G51" s="1946">
        <v>0</v>
      </c>
      <c r="H51" s="1933"/>
      <c r="I51" s="1943">
        <v>5468978</v>
      </c>
      <c r="J51" s="1943"/>
      <c r="K51" s="1947">
        <v>0</v>
      </c>
      <c r="L51" s="1947"/>
      <c r="M51" s="1947">
        <v>0</v>
      </c>
      <c r="N51" s="1947"/>
      <c r="O51" s="1947">
        <v>0</v>
      </c>
      <c r="P51" s="1947"/>
      <c r="Q51" s="1950">
        <v>0</v>
      </c>
      <c r="R51" s="1946"/>
      <c r="S51" s="1950">
        <v>0</v>
      </c>
      <c r="T51" s="2359"/>
      <c r="U51" s="1950">
        <v>0</v>
      </c>
      <c r="V51" s="1946"/>
      <c r="W51" s="1943">
        <f>ROUND(SUM(G51:U51),0)</f>
        <v>5468978</v>
      </c>
    </row>
    <row r="52" spans="1:23" ht="18" customHeight="1">
      <c r="A52" s="1951">
        <v>10.561</v>
      </c>
      <c r="B52" s="1638"/>
      <c r="C52" s="1638" t="s">
        <v>513</v>
      </c>
      <c r="D52" s="1931"/>
      <c r="E52" s="1911" t="s">
        <v>2236</v>
      </c>
      <c r="F52" s="1965" t="s">
        <v>6</v>
      </c>
      <c r="G52" s="1946">
        <v>0</v>
      </c>
      <c r="H52" s="1931"/>
      <c r="I52" s="1961">
        <v>24402283</v>
      </c>
      <c r="J52" s="1961"/>
      <c r="K52" s="1947">
        <v>0</v>
      </c>
      <c r="L52" s="1947"/>
      <c r="M52" s="1947">
        <v>0</v>
      </c>
      <c r="N52" s="1947"/>
      <c r="O52" s="1947">
        <v>0</v>
      </c>
      <c r="P52" s="1947"/>
      <c r="Q52" s="1947">
        <v>0</v>
      </c>
      <c r="R52" s="1961"/>
      <c r="S52" s="1947">
        <v>0</v>
      </c>
      <c r="T52" s="1924"/>
      <c r="U52" s="1947">
        <v>0</v>
      </c>
      <c r="V52" s="1961"/>
      <c r="W52" s="1943">
        <f t="shared" ref="W52:W61" si="3">ROUND(SUM(G52:U52),0)</f>
        <v>24402283</v>
      </c>
    </row>
    <row r="53" spans="1:23">
      <c r="A53" s="1951">
        <v>10.577999999999999</v>
      </c>
      <c r="B53" s="1638"/>
      <c r="C53" s="1638" t="s">
        <v>513</v>
      </c>
      <c r="D53" s="1931"/>
      <c r="E53" s="1911" t="s">
        <v>2237</v>
      </c>
      <c r="F53" s="1965" t="s">
        <v>6</v>
      </c>
      <c r="G53" s="1946">
        <v>0</v>
      </c>
      <c r="H53" s="1931"/>
      <c r="I53" s="1947">
        <v>0</v>
      </c>
      <c r="J53" s="1961"/>
      <c r="K53" s="1961">
        <v>549848</v>
      </c>
      <c r="L53" s="1961"/>
      <c r="M53" s="1962">
        <v>816381</v>
      </c>
      <c r="N53" s="1961"/>
      <c r="O53" s="1961">
        <v>1867125</v>
      </c>
      <c r="P53" s="1961"/>
      <c r="Q53" s="1961">
        <v>939415</v>
      </c>
      <c r="R53" s="1961"/>
      <c r="S53" s="1950">
        <v>0</v>
      </c>
      <c r="T53" s="2359"/>
      <c r="U53" s="1950">
        <v>0</v>
      </c>
      <c r="V53" s="1961"/>
      <c r="W53" s="1943">
        <f t="shared" si="3"/>
        <v>4172769</v>
      </c>
    </row>
    <row r="54" spans="1:23" ht="30">
      <c r="A54" s="1951">
        <v>14.257</v>
      </c>
      <c r="B54" s="1638"/>
      <c r="C54" s="1894" t="s">
        <v>520</v>
      </c>
      <c r="D54" s="1931"/>
      <c r="E54" s="1911" t="s">
        <v>2238</v>
      </c>
      <c r="F54" s="1965" t="s">
        <v>6</v>
      </c>
      <c r="G54" s="1946">
        <v>0</v>
      </c>
      <c r="H54" s="1931"/>
      <c r="I54" s="1961">
        <v>6743258</v>
      </c>
      <c r="J54" s="1961"/>
      <c r="K54" s="1961">
        <v>10752994</v>
      </c>
      <c r="L54" s="1961"/>
      <c r="M54" s="1962">
        <v>7423936</v>
      </c>
      <c r="N54" s="1961"/>
      <c r="O54" s="1961">
        <v>2031141</v>
      </c>
      <c r="P54" s="1961"/>
      <c r="Q54" s="1947">
        <v>0</v>
      </c>
      <c r="R54" s="1961"/>
      <c r="S54" s="1947">
        <v>0</v>
      </c>
      <c r="T54" s="1924"/>
      <c r="U54" s="1947">
        <v>0</v>
      </c>
      <c r="V54" s="1961"/>
      <c r="W54" s="1961">
        <f t="shared" si="3"/>
        <v>26951329</v>
      </c>
    </row>
    <row r="55" spans="1:23">
      <c r="A55" s="1951">
        <v>84.393000000000001</v>
      </c>
      <c r="B55" s="1638"/>
      <c r="C55" s="1638" t="s">
        <v>516</v>
      </c>
      <c r="D55" s="1931"/>
      <c r="E55" s="1957" t="s">
        <v>2239</v>
      </c>
      <c r="F55" s="1965" t="s">
        <v>6</v>
      </c>
      <c r="G55" s="1946">
        <v>0</v>
      </c>
      <c r="H55" s="1931"/>
      <c r="I55" s="1943">
        <v>373601</v>
      </c>
      <c r="J55" s="1943"/>
      <c r="K55" s="1943">
        <v>5292267</v>
      </c>
      <c r="L55" s="1943"/>
      <c r="M55" s="1958">
        <v>20362944</v>
      </c>
      <c r="N55" s="1943"/>
      <c r="O55" s="1943">
        <v>377575</v>
      </c>
      <c r="P55" s="1943"/>
      <c r="Q55" s="1950">
        <v>0</v>
      </c>
      <c r="R55" s="1961"/>
      <c r="S55" s="1950">
        <v>0</v>
      </c>
      <c r="T55" s="2359"/>
      <c r="U55" s="1950">
        <v>0</v>
      </c>
      <c r="V55" s="1961"/>
      <c r="W55" s="1943">
        <f t="shared" si="3"/>
        <v>26406387</v>
      </c>
    </row>
    <row r="56" spans="1:23">
      <c r="A56" s="1951">
        <v>93.563000000000002</v>
      </c>
      <c r="B56" s="1638"/>
      <c r="C56" s="1638" t="s">
        <v>517</v>
      </c>
      <c r="D56" s="1931"/>
      <c r="E56" s="1957" t="s">
        <v>2240</v>
      </c>
      <c r="F56" s="1965" t="s">
        <v>6</v>
      </c>
      <c r="G56" s="1946">
        <v>0</v>
      </c>
      <c r="H56" s="1931"/>
      <c r="I56" s="1943">
        <v>16859958</v>
      </c>
      <c r="J56" s="1943"/>
      <c r="K56" s="1943">
        <v>36377274</v>
      </c>
      <c r="L56" s="1943"/>
      <c r="M56" s="1958">
        <v>23141602</v>
      </c>
      <c r="N56" s="1943"/>
      <c r="O56" s="1943">
        <v>24752985</v>
      </c>
      <c r="P56" s="1943"/>
      <c r="Q56" s="1950">
        <v>0</v>
      </c>
      <c r="R56" s="1961"/>
      <c r="S56" s="1950">
        <v>0</v>
      </c>
      <c r="T56" s="2359"/>
      <c r="U56" s="1950">
        <v>0</v>
      </c>
      <c r="V56" s="1961"/>
      <c r="W56" s="1943">
        <f t="shared" si="3"/>
        <v>101131819</v>
      </c>
    </row>
    <row r="57" spans="1:23">
      <c r="A57" s="1639">
        <v>93.658000000000001</v>
      </c>
      <c r="B57" s="1639"/>
      <c r="C57" s="1900" t="s">
        <v>517</v>
      </c>
      <c r="D57" s="1931"/>
      <c r="E57" s="1957" t="s">
        <v>2241</v>
      </c>
      <c r="F57" s="1965" t="s">
        <v>6</v>
      </c>
      <c r="G57" s="1946">
        <v>0</v>
      </c>
      <c r="H57" s="1931"/>
      <c r="I57" s="1943">
        <v>21724253</v>
      </c>
      <c r="J57" s="1943"/>
      <c r="K57" s="1943">
        <v>10706175</v>
      </c>
      <c r="L57" s="1943"/>
      <c r="M57" s="1958">
        <v>21547753</v>
      </c>
      <c r="N57" s="1943"/>
      <c r="O57" s="1947">
        <v>0</v>
      </c>
      <c r="P57" s="1947"/>
      <c r="Q57" s="1947">
        <v>200664</v>
      </c>
      <c r="R57" s="1931"/>
      <c r="S57" s="1947">
        <v>689868</v>
      </c>
      <c r="T57" s="1924"/>
      <c r="U57" s="1947">
        <v>931810</v>
      </c>
      <c r="V57" s="1931"/>
      <c r="W57" s="1943">
        <f t="shared" si="3"/>
        <v>55800523</v>
      </c>
    </row>
    <row r="58" spans="1:23">
      <c r="A58" s="1639">
        <v>93.659000000000006</v>
      </c>
      <c r="B58" s="1639"/>
      <c r="C58" s="1638" t="s">
        <v>517</v>
      </c>
      <c r="D58" s="1931"/>
      <c r="E58" s="1957" t="s">
        <v>2242</v>
      </c>
      <c r="F58" s="1965" t="s">
        <v>6</v>
      </c>
      <c r="G58" s="1946">
        <v>0</v>
      </c>
      <c r="H58" s="1931"/>
      <c r="I58" s="1943">
        <v>25711554</v>
      </c>
      <c r="J58" s="1943"/>
      <c r="K58" s="1943">
        <v>12235016</v>
      </c>
      <c r="L58" s="1943"/>
      <c r="M58" s="1958">
        <v>22116114</v>
      </c>
      <c r="N58" s="1943"/>
      <c r="O58" s="1947">
        <v>0</v>
      </c>
      <c r="P58" s="1947"/>
      <c r="Q58" s="1950">
        <v>0</v>
      </c>
      <c r="R58" s="1931"/>
      <c r="S58" s="1950">
        <v>0</v>
      </c>
      <c r="T58" s="2359"/>
      <c r="U58" s="1950">
        <v>18249</v>
      </c>
      <c r="V58" s="1931"/>
      <c r="W58" s="1943">
        <f t="shared" si="3"/>
        <v>60080933</v>
      </c>
    </row>
    <row r="59" spans="1:23">
      <c r="A59" s="1639">
        <v>93.707999999999998</v>
      </c>
      <c r="B59" s="1639"/>
      <c r="C59" s="1638" t="s">
        <v>517</v>
      </c>
      <c r="D59" s="1931"/>
      <c r="E59" s="1957" t="s">
        <v>2433</v>
      </c>
      <c r="F59" s="1965" t="s">
        <v>6</v>
      </c>
      <c r="G59" s="1946">
        <v>0</v>
      </c>
      <c r="H59" s="1931"/>
      <c r="I59" s="1947">
        <v>0</v>
      </c>
      <c r="J59" s="1943"/>
      <c r="K59" s="1943">
        <v>83261</v>
      </c>
      <c r="L59" s="1943"/>
      <c r="M59" s="1958">
        <v>895945</v>
      </c>
      <c r="N59" s="1943"/>
      <c r="O59" s="1943">
        <v>2638166</v>
      </c>
      <c r="P59" s="1943"/>
      <c r="Q59" s="1943">
        <v>1960028</v>
      </c>
      <c r="R59" s="1931"/>
      <c r="S59" s="1950">
        <v>0</v>
      </c>
      <c r="T59" s="2359"/>
      <c r="U59" s="1950">
        <v>0</v>
      </c>
      <c r="V59" s="1931"/>
      <c r="W59" s="1943">
        <f t="shared" si="3"/>
        <v>5577400</v>
      </c>
    </row>
    <row r="60" spans="1:23">
      <c r="A60" s="1639">
        <v>93.712000000000003</v>
      </c>
      <c r="B60" s="1639"/>
      <c r="C60" s="1638" t="s">
        <v>517</v>
      </c>
      <c r="D60" s="1931"/>
      <c r="E60" s="1957" t="s">
        <v>2243</v>
      </c>
      <c r="F60" s="1965" t="s">
        <v>6</v>
      </c>
      <c r="G60" s="1946">
        <v>0</v>
      </c>
      <c r="H60" s="1931"/>
      <c r="I60" s="1943">
        <v>1525</v>
      </c>
      <c r="J60" s="1943"/>
      <c r="K60" s="1943">
        <v>1845116</v>
      </c>
      <c r="L60" s="1943"/>
      <c r="M60" s="1958">
        <v>2429109</v>
      </c>
      <c r="N60" s="1943"/>
      <c r="O60" s="1947">
        <v>0</v>
      </c>
      <c r="P60" s="1947"/>
      <c r="Q60" s="1950">
        <v>0</v>
      </c>
      <c r="R60" s="1931"/>
      <c r="S60" s="1950">
        <v>0</v>
      </c>
      <c r="T60" s="2359"/>
      <c r="U60" s="1950">
        <v>0</v>
      </c>
      <c r="V60" s="1931"/>
      <c r="W60" s="1943">
        <f t="shared" si="3"/>
        <v>4275750</v>
      </c>
    </row>
    <row r="61" spans="1:23">
      <c r="A61" s="1639">
        <v>93.712999999999994</v>
      </c>
      <c r="B61" s="1639"/>
      <c r="C61" s="1638" t="s">
        <v>517</v>
      </c>
      <c r="D61" s="1931"/>
      <c r="E61" s="1957" t="s">
        <v>2244</v>
      </c>
      <c r="F61" s="1965" t="s">
        <v>6</v>
      </c>
      <c r="G61" s="1946">
        <v>0</v>
      </c>
      <c r="H61" s="1931"/>
      <c r="I61" s="1943">
        <v>636411</v>
      </c>
      <c r="J61" s="1943"/>
      <c r="K61" s="1943">
        <v>81086572</v>
      </c>
      <c r="L61" s="1943"/>
      <c r="M61" s="1958">
        <v>15062657</v>
      </c>
      <c r="N61" s="1943"/>
      <c r="O61" s="1947">
        <v>0</v>
      </c>
      <c r="P61" s="1947"/>
      <c r="Q61" s="1950">
        <v>0</v>
      </c>
      <c r="R61" s="1931"/>
      <c r="S61" s="1950">
        <v>0</v>
      </c>
      <c r="T61" s="2359"/>
      <c r="U61" s="1950">
        <v>0</v>
      </c>
      <c r="V61" s="1931"/>
      <c r="W61" s="1943">
        <f t="shared" si="3"/>
        <v>96785640</v>
      </c>
    </row>
    <row r="62" spans="1:23" s="1932" customFormat="1">
      <c r="A62" s="1639"/>
      <c r="B62" s="1639"/>
      <c r="C62" s="1638"/>
      <c r="D62" s="1931"/>
      <c r="E62" s="1957" t="s">
        <v>2428</v>
      </c>
      <c r="F62" s="1965" t="s">
        <v>6</v>
      </c>
      <c r="G62" s="1946"/>
      <c r="H62" s="1931"/>
      <c r="I62" s="1943"/>
      <c r="J62" s="1943"/>
      <c r="K62" s="1943"/>
      <c r="L62" s="1943"/>
      <c r="M62" s="1958"/>
      <c r="N62" s="1943"/>
      <c r="O62" s="1947"/>
      <c r="P62" s="1947"/>
      <c r="Q62" s="1950"/>
      <c r="R62" s="1931"/>
      <c r="S62" s="1950"/>
      <c r="T62" s="1931"/>
      <c r="U62" s="1943"/>
      <c r="V62" s="607"/>
    </row>
    <row r="63" spans="1:23">
      <c r="A63" s="1951">
        <v>93.713999999999999</v>
      </c>
      <c r="B63" s="1639"/>
      <c r="C63" s="1638" t="s">
        <v>517</v>
      </c>
      <c r="D63" s="1911"/>
      <c r="E63" s="1911" t="s">
        <v>2429</v>
      </c>
      <c r="F63" s="1965" t="s">
        <v>6</v>
      </c>
      <c r="G63" s="1908">
        <v>0</v>
      </c>
      <c r="H63" s="1931"/>
      <c r="I63" s="1943">
        <v>140407008</v>
      </c>
      <c r="J63" s="1943"/>
      <c r="K63" s="1943">
        <v>555546651</v>
      </c>
      <c r="L63" s="1943"/>
      <c r="M63" s="1958">
        <v>27069631</v>
      </c>
      <c r="N63" s="1943"/>
      <c r="O63" s="1950">
        <v>0</v>
      </c>
      <c r="P63" s="1947"/>
      <c r="Q63" s="1950">
        <v>0</v>
      </c>
      <c r="R63" s="1931"/>
      <c r="S63" s="1950">
        <v>0</v>
      </c>
      <c r="T63" s="2359"/>
      <c r="U63" s="1950">
        <v>0</v>
      </c>
      <c r="V63" s="1931"/>
      <c r="W63" s="1943">
        <f t="shared" ref="W63:W65" si="4">ROUND(SUM(G63:U63),0)</f>
        <v>723023290</v>
      </c>
    </row>
    <row r="64" spans="1:23">
      <c r="A64" s="1951">
        <v>93.724999999999994</v>
      </c>
      <c r="B64" s="1639"/>
      <c r="C64" s="1638" t="s">
        <v>517</v>
      </c>
      <c r="D64" s="1911"/>
      <c r="E64" s="1911" t="s">
        <v>2245</v>
      </c>
      <c r="F64" s="1965" t="s">
        <v>6</v>
      </c>
      <c r="G64" s="1946">
        <v>0</v>
      </c>
      <c r="H64" s="1946"/>
      <c r="I64" s="1947">
        <v>0</v>
      </c>
      <c r="J64" s="1961"/>
      <c r="K64" s="1961">
        <v>217330</v>
      </c>
      <c r="L64" s="1961"/>
      <c r="M64" s="1962">
        <v>652869</v>
      </c>
      <c r="N64" s="1961"/>
      <c r="O64" s="1961">
        <v>296509</v>
      </c>
      <c r="P64" s="1961"/>
      <c r="Q64" s="1947">
        <v>0</v>
      </c>
      <c r="R64" s="1946"/>
      <c r="S64" s="1947">
        <v>0</v>
      </c>
      <c r="T64" s="1924"/>
      <c r="U64" s="1947">
        <v>0</v>
      </c>
      <c r="V64" s="1946"/>
      <c r="W64" s="1943">
        <f t="shared" si="4"/>
        <v>1166708</v>
      </c>
    </row>
    <row r="65" spans="1:24">
      <c r="A65" s="1639">
        <v>93.778000000000006</v>
      </c>
      <c r="B65" s="1639"/>
      <c r="C65" s="1900" t="s">
        <v>517</v>
      </c>
      <c r="D65" s="1931"/>
      <c r="E65" s="1982" t="s">
        <v>2246</v>
      </c>
      <c r="F65" s="1965" t="s">
        <v>6</v>
      </c>
      <c r="G65" s="1961">
        <v>1739073430</v>
      </c>
      <c r="H65" s="1931"/>
      <c r="I65" s="1943">
        <v>5244026717</v>
      </c>
      <c r="J65" s="1943"/>
      <c r="K65" s="1943">
        <v>4815212864</v>
      </c>
      <c r="L65" s="1943"/>
      <c r="M65" s="1949">
        <v>1478778015</v>
      </c>
      <c r="N65" s="1943"/>
      <c r="O65" s="1943">
        <v>376722309</v>
      </c>
      <c r="P65" s="1943"/>
      <c r="Q65" s="1943">
        <v>243514397</v>
      </c>
      <c r="R65" s="1931"/>
      <c r="S65" s="1943">
        <v>118481618</v>
      </c>
      <c r="T65" s="1943"/>
      <c r="U65" s="1943">
        <v>130312783</v>
      </c>
      <c r="V65" s="1931"/>
      <c r="W65" s="1943">
        <f t="shared" si="4"/>
        <v>14146122133</v>
      </c>
    </row>
    <row r="66" spans="1:24" ht="30">
      <c r="A66" s="1951">
        <v>94.006</v>
      </c>
      <c r="B66" s="1905"/>
      <c r="C66" s="1893" t="s">
        <v>521</v>
      </c>
      <c r="D66" s="1929"/>
      <c r="E66" s="1929" t="s">
        <v>2247</v>
      </c>
      <c r="F66" s="1965" t="s">
        <v>6</v>
      </c>
      <c r="G66" s="1925">
        <v>0</v>
      </c>
      <c r="H66" s="1926"/>
      <c r="I66" s="1925">
        <v>1106675</v>
      </c>
      <c r="J66" s="1925"/>
      <c r="K66" s="1925">
        <v>5274942</v>
      </c>
      <c r="L66" s="1925"/>
      <c r="M66" s="1927">
        <v>291122</v>
      </c>
      <c r="N66" s="1925"/>
      <c r="O66" s="1928">
        <v>0</v>
      </c>
      <c r="P66" s="1928"/>
      <c r="Q66" s="1928">
        <v>0</v>
      </c>
      <c r="R66" s="1926"/>
      <c r="S66" s="1928">
        <v>334854</v>
      </c>
      <c r="T66" s="2362"/>
      <c r="U66" s="1928">
        <v>1183059</v>
      </c>
      <c r="V66" s="1926"/>
      <c r="W66" s="1961">
        <f>ROUND(SUM(G66:U66),0)</f>
        <v>8190652</v>
      </c>
    </row>
    <row r="67" spans="1:24">
      <c r="A67" s="1900"/>
      <c r="B67" s="1900"/>
      <c r="C67" s="1898"/>
      <c r="D67" s="1931"/>
      <c r="E67" s="1981" t="s">
        <v>2214</v>
      </c>
      <c r="F67" s="1965" t="s">
        <v>6</v>
      </c>
      <c r="G67" s="1955">
        <f>ROUND(SUM(G51:G66),0)</f>
        <v>1739073430</v>
      </c>
      <c r="H67" s="1940"/>
      <c r="I67" s="1955">
        <f>ROUND(SUM(I51:I66),0)</f>
        <v>5487462221</v>
      </c>
      <c r="J67" s="1956"/>
      <c r="K67" s="1955">
        <f>ROUND(SUM(K51:K66),0)</f>
        <v>5535180310</v>
      </c>
      <c r="L67" s="1956"/>
      <c r="M67" s="1955">
        <f>ROUND(SUM(M51:M66),0)</f>
        <v>1620588078</v>
      </c>
      <c r="N67" s="1956"/>
      <c r="O67" s="1955">
        <f>ROUND(SUM(O51:O66),0)</f>
        <v>408685810</v>
      </c>
      <c r="P67" s="1956"/>
      <c r="Q67" s="1955">
        <f>ROUND(SUM(Q51:Q66),0)</f>
        <v>246614504</v>
      </c>
      <c r="R67" s="1956"/>
      <c r="S67" s="1955">
        <f>ROUND(SUM(S51:S66),0)</f>
        <v>119506340</v>
      </c>
      <c r="T67" s="1956"/>
      <c r="U67" s="1955">
        <f>ROUND(SUM(U51:U66),0)</f>
        <v>132445901</v>
      </c>
      <c r="V67" s="1956"/>
      <c r="W67" s="1955">
        <f>ROUND(SUM(W51:W66),0)</f>
        <v>15289556594</v>
      </c>
    </row>
    <row r="68" spans="1:24">
      <c r="A68" s="1900"/>
      <c r="B68" s="1900"/>
      <c r="C68" s="1900"/>
      <c r="E68" s="1957"/>
    </row>
    <row r="69" spans="1:24">
      <c r="A69" s="1900"/>
      <c r="B69" s="1900"/>
      <c r="C69" s="1900"/>
      <c r="E69" s="1957"/>
    </row>
    <row r="70" spans="1:24">
      <c r="A70" s="1900"/>
      <c r="B70" s="1900"/>
      <c r="C70" s="1900"/>
      <c r="E70" s="1957"/>
    </row>
    <row r="71" spans="1:24">
      <c r="A71" s="1639"/>
      <c r="B71" s="1900"/>
      <c r="C71" s="1900"/>
      <c r="D71" s="1858"/>
      <c r="E71" s="1942"/>
      <c r="F71" s="1870"/>
      <c r="G71" s="1868"/>
      <c r="H71" s="1860"/>
      <c r="I71" s="1871"/>
      <c r="J71" s="1871"/>
      <c r="K71" s="1871"/>
      <c r="L71" s="1871"/>
      <c r="M71" s="1871"/>
      <c r="N71" s="1871"/>
      <c r="O71" s="1871"/>
      <c r="P71" s="1871"/>
      <c r="Q71" s="1871"/>
      <c r="R71" s="1860"/>
      <c r="S71" s="1866"/>
    </row>
    <row r="72" spans="1:24" ht="17">
      <c r="A72" s="1904" t="s">
        <v>0</v>
      </c>
      <c r="B72" s="1903"/>
      <c r="C72" s="1903"/>
      <c r="D72" s="1855"/>
      <c r="E72" s="1855"/>
      <c r="F72" s="1855"/>
      <c r="G72" s="1855"/>
      <c r="H72" s="1872"/>
      <c r="I72" s="1872"/>
      <c r="J72" s="1872"/>
      <c r="K72" s="1872"/>
      <c r="L72" s="1872"/>
      <c r="M72" s="1872"/>
      <c r="N72" s="1872"/>
      <c r="O72" s="1872"/>
      <c r="P72" s="1872"/>
      <c r="Q72" s="1872"/>
      <c r="W72" s="2415" t="s">
        <v>507</v>
      </c>
      <c r="X72" s="2415"/>
    </row>
    <row r="73" spans="1:24" ht="17">
      <c r="A73" s="1899" t="s">
        <v>2417</v>
      </c>
      <c r="B73" s="1899"/>
      <c r="C73" s="1899"/>
      <c r="D73" s="1857"/>
      <c r="E73" s="1973"/>
      <c r="F73" s="1857"/>
      <c r="G73" s="1857"/>
      <c r="H73" s="1873"/>
      <c r="I73" s="1873"/>
      <c r="J73" s="1873"/>
      <c r="K73" s="1873"/>
      <c r="L73" s="1873"/>
      <c r="M73" s="1873"/>
      <c r="N73" s="1873"/>
      <c r="O73" s="1873"/>
      <c r="P73" s="1873"/>
      <c r="Q73" s="1873"/>
      <c r="W73" s="2416" t="s">
        <v>2265</v>
      </c>
      <c r="X73" s="2416"/>
    </row>
    <row r="74" spans="1:24" ht="17">
      <c r="A74" s="1899" t="s">
        <v>2418</v>
      </c>
      <c r="B74" s="1899"/>
      <c r="C74" s="1899"/>
      <c r="D74" s="1857"/>
      <c r="E74" s="1973"/>
      <c r="F74" s="1857"/>
      <c r="G74" s="1857"/>
      <c r="H74" s="1873"/>
      <c r="I74" s="1873"/>
      <c r="J74" s="1873"/>
      <c r="K74" s="1873"/>
      <c r="L74" s="1873"/>
      <c r="M74" s="1873"/>
      <c r="N74" s="1873"/>
      <c r="O74" s="1873"/>
      <c r="P74" s="1873"/>
      <c r="Q74" s="1873"/>
      <c r="R74" s="1873"/>
      <c r="S74" s="1873"/>
    </row>
    <row r="75" spans="1:24" ht="17">
      <c r="A75" s="1904" t="s">
        <v>2655</v>
      </c>
      <c r="B75" s="1903"/>
      <c r="C75" s="1903"/>
      <c r="D75" s="1855"/>
      <c r="E75" s="1855"/>
      <c r="F75" s="1855"/>
      <c r="G75" s="1855"/>
      <c r="H75" s="1873"/>
      <c r="I75" s="1873"/>
      <c r="J75" s="1873"/>
      <c r="K75" s="1873"/>
      <c r="L75" s="1873"/>
      <c r="M75" s="1873"/>
      <c r="N75" s="1873"/>
      <c r="O75" s="1873"/>
      <c r="P75" s="1873"/>
      <c r="Q75" s="1873"/>
      <c r="R75" s="1873"/>
      <c r="S75" s="1873"/>
    </row>
    <row r="76" spans="1:24" ht="28" customHeight="1">
      <c r="A76" s="1897"/>
      <c r="B76" s="1897"/>
      <c r="C76" s="1897"/>
      <c r="D76" s="1861"/>
      <c r="E76" s="1861"/>
      <c r="F76" s="1861"/>
      <c r="G76" s="1862"/>
      <c r="H76" s="1873"/>
      <c r="I76" s="1873"/>
      <c r="J76" s="1873"/>
      <c r="K76" s="1873"/>
      <c r="L76" s="1873"/>
      <c r="M76" s="1873"/>
      <c r="N76" s="1873"/>
      <c r="O76" s="1873"/>
      <c r="P76" s="1873"/>
      <c r="Q76" s="1873"/>
      <c r="R76" s="1873"/>
      <c r="S76" s="1873"/>
    </row>
    <row r="77" spans="1:24">
      <c r="A77" s="1892" t="s">
        <v>261</v>
      </c>
      <c r="B77" s="1892"/>
      <c r="C77" s="1892"/>
      <c r="D77" s="1934"/>
      <c r="E77" s="1934"/>
      <c r="F77" s="1935"/>
      <c r="G77" s="1940"/>
      <c r="H77" s="1931"/>
      <c r="I77" s="1940"/>
      <c r="J77" s="1940"/>
      <c r="K77" s="1940"/>
      <c r="L77" s="1940"/>
      <c r="M77" s="1940"/>
      <c r="N77" s="1940"/>
      <c r="O77" s="1940"/>
      <c r="P77" s="1940"/>
      <c r="Q77" s="1940"/>
      <c r="R77" s="1931"/>
      <c r="S77" s="1940"/>
      <c r="T77" s="1941"/>
      <c r="U77" s="1940"/>
      <c r="V77" s="1931"/>
      <c r="W77" s="1964"/>
    </row>
    <row r="78" spans="1:24" ht="16" thickBot="1">
      <c r="A78" s="1895" t="s">
        <v>508</v>
      </c>
      <c r="B78" s="1896"/>
      <c r="C78" s="1895" t="s">
        <v>509</v>
      </c>
      <c r="D78" s="1937"/>
      <c r="E78" s="1936" t="s">
        <v>510</v>
      </c>
      <c r="F78" s="1938"/>
      <c r="G78" s="1939" t="s">
        <v>93</v>
      </c>
      <c r="H78" s="1931"/>
      <c r="I78" s="1939" t="s">
        <v>94</v>
      </c>
      <c r="J78" s="1940"/>
      <c r="K78" s="1939" t="s">
        <v>95</v>
      </c>
      <c r="L78" s="1940"/>
      <c r="M78" s="1939" t="s">
        <v>96</v>
      </c>
      <c r="N78" s="1940"/>
      <c r="O78" s="1939" t="s">
        <v>10</v>
      </c>
      <c r="P78" s="1940"/>
      <c r="Q78" s="1939" t="s">
        <v>9</v>
      </c>
      <c r="R78" s="1941"/>
      <c r="S78" s="1939" t="s">
        <v>1917</v>
      </c>
      <c r="T78" s="1941"/>
      <c r="U78" s="1939" t="s">
        <v>2584</v>
      </c>
      <c r="V78" s="1941"/>
      <c r="W78" s="1939" t="s">
        <v>511</v>
      </c>
    </row>
    <row r="79" spans="1:24">
      <c r="A79" s="2300" t="s">
        <v>1959</v>
      </c>
      <c r="B79" s="2300"/>
      <c r="C79" s="2300"/>
      <c r="D79" s="1931"/>
      <c r="E79" s="1942"/>
      <c r="F79" s="1931"/>
      <c r="G79" s="1931"/>
      <c r="H79" s="1931"/>
      <c r="I79" s="1943"/>
      <c r="J79" s="1943"/>
      <c r="K79" s="1943"/>
      <c r="L79" s="1943"/>
      <c r="M79" s="1943"/>
      <c r="N79" s="1943"/>
      <c r="O79" s="1943"/>
      <c r="P79" s="1943"/>
      <c r="Q79" s="1943"/>
      <c r="R79" s="1943"/>
      <c r="S79" s="1943"/>
      <c r="T79" s="1943"/>
      <c r="U79" s="1943"/>
      <c r="V79" s="1943"/>
      <c r="W79" s="1943"/>
    </row>
    <row r="80" spans="1:24">
      <c r="A80" s="1639">
        <v>84.397000000000006</v>
      </c>
      <c r="B80" s="2300"/>
      <c r="C80" s="1638" t="s">
        <v>516</v>
      </c>
      <c r="D80" s="1931"/>
      <c r="E80" s="1911" t="s">
        <v>2197</v>
      </c>
      <c r="F80" s="1965" t="s">
        <v>6</v>
      </c>
      <c r="G80" s="1947">
        <v>0</v>
      </c>
      <c r="H80" s="1944" t="s">
        <v>6</v>
      </c>
      <c r="I80" s="1947">
        <v>0</v>
      </c>
      <c r="J80" s="1944" t="s">
        <v>6</v>
      </c>
      <c r="K80" s="1943">
        <v>1892836</v>
      </c>
      <c r="L80" s="1933" t="s">
        <v>6</v>
      </c>
      <c r="M80" s="1966">
        <v>19982164</v>
      </c>
      <c r="N80" s="1933" t="s">
        <v>6</v>
      </c>
      <c r="O80" s="1947">
        <v>0</v>
      </c>
      <c r="P80" s="1933" t="s">
        <v>6</v>
      </c>
      <c r="Q80" s="1947">
        <v>0</v>
      </c>
      <c r="R80" s="1948" t="s">
        <v>6</v>
      </c>
      <c r="S80" s="1947">
        <v>0</v>
      </c>
      <c r="T80" s="1924"/>
      <c r="U80" s="1947">
        <v>0</v>
      </c>
      <c r="V80" s="1948"/>
      <c r="W80" s="1943">
        <f>ROUND(SUM(G80:U80),0)</f>
        <v>21875000</v>
      </c>
    </row>
    <row r="81" spans="1:23">
      <c r="A81" s="1639">
        <v>93.71</v>
      </c>
      <c r="B81" s="1900"/>
      <c r="C81" s="1900" t="s">
        <v>517</v>
      </c>
      <c r="D81" s="1931"/>
      <c r="E81" s="1957" t="s">
        <v>2228</v>
      </c>
      <c r="F81" s="1965" t="s">
        <v>6</v>
      </c>
      <c r="G81" s="1969">
        <v>0</v>
      </c>
      <c r="H81" s="1931"/>
      <c r="I81" s="1953">
        <v>27513043</v>
      </c>
      <c r="J81" s="1931"/>
      <c r="K81" s="1953">
        <v>57992086</v>
      </c>
      <c r="L81" s="1943"/>
      <c r="M81" s="1958">
        <v>-121065</v>
      </c>
      <c r="N81" s="1943"/>
      <c r="O81" s="1947">
        <v>0</v>
      </c>
      <c r="P81" s="1947"/>
      <c r="Q81" s="1947">
        <v>0</v>
      </c>
      <c r="R81" s="1931"/>
      <c r="S81" s="1947">
        <v>0</v>
      </c>
      <c r="T81" s="1924"/>
      <c r="U81" s="1947">
        <v>0</v>
      </c>
      <c r="V81" s="1931"/>
      <c r="W81" s="1943">
        <f>ROUND(SUM(G81:U81),0)</f>
        <v>85384064</v>
      </c>
    </row>
    <row r="82" spans="1:23">
      <c r="A82" s="1639"/>
      <c r="B82" s="1900"/>
      <c r="C82" s="1898"/>
      <c r="D82" s="1931"/>
      <c r="E82" s="1981" t="s">
        <v>2248</v>
      </c>
      <c r="F82" s="1965" t="s">
        <v>6</v>
      </c>
      <c r="G82" s="1955">
        <f>ROUND(SUM(G80:G81),0)</f>
        <v>0</v>
      </c>
      <c r="H82" s="1933"/>
      <c r="I82" s="1955">
        <f>ROUND(SUM(I80:I81),0)</f>
        <v>27513043</v>
      </c>
      <c r="J82" s="1967"/>
      <c r="K82" s="1955">
        <f>ROUND(SUM(K80:K81),0)</f>
        <v>59884922</v>
      </c>
      <c r="L82" s="1967"/>
      <c r="M82" s="1955">
        <f>ROUND(SUM(M80:M81),0)</f>
        <v>19861099</v>
      </c>
      <c r="N82" s="1967"/>
      <c r="O82" s="1955">
        <f>ROUND(SUM(O80:O81),0)</f>
        <v>0</v>
      </c>
      <c r="P82" s="1967"/>
      <c r="Q82" s="1955">
        <f>ROUND(SUM(Q80:Q81),0)</f>
        <v>0</v>
      </c>
      <c r="R82" s="1933"/>
      <c r="S82" s="1955">
        <f>ROUND(SUM(S80:S81),0)</f>
        <v>0</v>
      </c>
      <c r="T82" s="1956"/>
      <c r="U82" s="1955">
        <f>ROUND(SUM(U80:U81),0)</f>
        <v>0</v>
      </c>
      <c r="V82" s="1933"/>
      <c r="W82" s="1955">
        <f>ROUND(SUM(W80:W81),0)</f>
        <v>107259064</v>
      </c>
    </row>
    <row r="83" spans="1:23">
      <c r="A83" s="2300" t="s">
        <v>1960</v>
      </c>
      <c r="B83" s="2300"/>
      <c r="C83" s="2300"/>
      <c r="D83" s="1931"/>
      <c r="E83" s="1942"/>
      <c r="F83" s="1965" t="s">
        <v>6</v>
      </c>
      <c r="G83" s="1931"/>
      <c r="H83" s="1931"/>
      <c r="I83" s="1943"/>
      <c r="J83" s="1943"/>
      <c r="K83" s="1943"/>
      <c r="L83" s="1943"/>
      <c r="M83" s="1943"/>
      <c r="N83" s="1943"/>
      <c r="O83" s="1943"/>
      <c r="P83" s="1943"/>
      <c r="Q83" s="1943"/>
      <c r="R83" s="1943"/>
      <c r="S83" s="1943"/>
      <c r="T83" s="1943"/>
      <c r="U83" s="1943"/>
      <c r="V83" s="1943"/>
      <c r="W83" s="1943"/>
    </row>
    <row r="84" spans="1:23">
      <c r="A84" s="1639">
        <v>17.207000000000001</v>
      </c>
      <c r="B84" s="2300"/>
      <c r="C84" s="1900" t="s">
        <v>522</v>
      </c>
      <c r="D84" s="1931"/>
      <c r="E84" s="1957" t="s">
        <v>2229</v>
      </c>
      <c r="F84" s="1965" t="s">
        <v>6</v>
      </c>
      <c r="G84" s="1946">
        <v>0</v>
      </c>
      <c r="H84" s="1931"/>
      <c r="I84" s="1943">
        <v>6723549</v>
      </c>
      <c r="J84" s="1931"/>
      <c r="K84" s="1943">
        <v>16131668</v>
      </c>
      <c r="L84" s="1943"/>
      <c r="M84" s="1947">
        <v>0</v>
      </c>
      <c r="N84" s="1947"/>
      <c r="O84" s="1947">
        <v>0</v>
      </c>
      <c r="P84" s="1947"/>
      <c r="Q84" s="1947">
        <v>0</v>
      </c>
      <c r="R84" s="1931"/>
      <c r="S84" s="1947">
        <v>0</v>
      </c>
      <c r="T84" s="1924"/>
      <c r="U84" s="1947">
        <v>0</v>
      </c>
      <c r="V84" s="1931"/>
      <c r="W84" s="1943">
        <f>ROUND(SUM(G84:U84),0)</f>
        <v>22855217</v>
      </c>
    </row>
    <row r="85" spans="1:23">
      <c r="A85" s="1639">
        <v>17.225000000000001</v>
      </c>
      <c r="B85" s="1639"/>
      <c r="C85" s="1900" t="s">
        <v>522</v>
      </c>
      <c r="D85" s="1931"/>
      <c r="E85" s="1957" t="s">
        <v>2230</v>
      </c>
      <c r="F85" s="1965" t="s">
        <v>6</v>
      </c>
      <c r="G85" s="1961">
        <v>58515125</v>
      </c>
      <c r="H85" s="1931"/>
      <c r="I85" s="1943">
        <v>4641990354</v>
      </c>
      <c r="J85" s="1943"/>
      <c r="K85" s="1943">
        <v>4225617499</v>
      </c>
      <c r="L85" s="1943"/>
      <c r="M85" s="1958">
        <v>3164881555</v>
      </c>
      <c r="N85" s="1943"/>
      <c r="O85" s="1943">
        <v>3135752580</v>
      </c>
      <c r="P85" s="1943"/>
      <c r="Q85" s="1943">
        <v>1419376557</v>
      </c>
      <c r="R85" s="1943"/>
      <c r="S85" s="1943">
        <v>19958768</v>
      </c>
      <c r="T85" s="1943"/>
      <c r="U85" s="1943">
        <v>3943163</v>
      </c>
      <c r="V85" s="1943"/>
      <c r="W85" s="1943">
        <f t="shared" ref="W85:W91" si="5">ROUND(SUM(G85:U85),0)</f>
        <v>16670035601</v>
      </c>
    </row>
    <row r="86" spans="1:23">
      <c r="A86" s="1639">
        <v>17.234999999999999</v>
      </c>
      <c r="B86" s="1639"/>
      <c r="C86" s="1900" t="s">
        <v>522</v>
      </c>
      <c r="D86" s="1931"/>
      <c r="E86" s="1957" t="s">
        <v>2231</v>
      </c>
      <c r="F86" s="1965" t="s">
        <v>6</v>
      </c>
      <c r="G86" s="1946">
        <v>0</v>
      </c>
      <c r="H86" s="1931"/>
      <c r="I86" s="1943">
        <v>583447</v>
      </c>
      <c r="J86" s="1943"/>
      <c r="K86" s="1943">
        <v>956315</v>
      </c>
      <c r="L86" s="1943"/>
      <c r="M86" s="1947">
        <v>0</v>
      </c>
      <c r="N86" s="1947"/>
      <c r="O86" s="1947">
        <v>0</v>
      </c>
      <c r="P86" s="1947"/>
      <c r="Q86" s="1947">
        <v>0</v>
      </c>
      <c r="R86" s="1943"/>
      <c r="S86" s="1947">
        <v>0</v>
      </c>
      <c r="T86" s="1924"/>
      <c r="U86" s="1947">
        <v>0</v>
      </c>
      <c r="V86" s="1943"/>
      <c r="W86" s="1943">
        <f t="shared" si="5"/>
        <v>1539762</v>
      </c>
    </row>
    <row r="87" spans="1:23">
      <c r="A87" s="1639">
        <v>17.257999999999999</v>
      </c>
      <c r="B87" s="1639"/>
      <c r="C87" s="1900" t="s">
        <v>522</v>
      </c>
      <c r="D87" s="1931"/>
      <c r="E87" s="1957" t="s">
        <v>2232</v>
      </c>
      <c r="F87" s="1965" t="s">
        <v>6</v>
      </c>
      <c r="G87" s="1961">
        <v>8600</v>
      </c>
      <c r="H87" s="1931"/>
      <c r="I87" s="1943">
        <v>15458341</v>
      </c>
      <c r="J87" s="1943"/>
      <c r="K87" s="1943">
        <v>10816788</v>
      </c>
      <c r="L87" s="1943"/>
      <c r="M87" s="1958">
        <v>5232382</v>
      </c>
      <c r="N87" s="1943"/>
      <c r="O87" s="1947">
        <v>0</v>
      </c>
      <c r="P87" s="1947"/>
      <c r="Q87" s="1947">
        <v>0</v>
      </c>
      <c r="R87" s="1943"/>
      <c r="S87" s="1947">
        <v>0</v>
      </c>
      <c r="T87" s="1924"/>
      <c r="U87" s="1947">
        <v>0</v>
      </c>
      <c r="V87" s="1943"/>
      <c r="W87" s="1943">
        <f t="shared" si="5"/>
        <v>31516111</v>
      </c>
    </row>
    <row r="88" spans="1:23">
      <c r="A88" s="1639">
        <v>17.259</v>
      </c>
      <c r="B88" s="1639"/>
      <c r="C88" s="1900" t="s">
        <v>522</v>
      </c>
      <c r="D88" s="1931"/>
      <c r="E88" s="1957" t="s">
        <v>2233</v>
      </c>
      <c r="F88" s="1965" t="s">
        <v>6</v>
      </c>
      <c r="G88" s="1946">
        <v>0</v>
      </c>
      <c r="H88" s="1931"/>
      <c r="I88" s="1943">
        <v>49002665</v>
      </c>
      <c r="J88" s="1943"/>
      <c r="K88" s="1943">
        <v>17619856</v>
      </c>
      <c r="L88" s="1943"/>
      <c r="M88" s="1958">
        <v>4903839</v>
      </c>
      <c r="N88" s="1943"/>
      <c r="O88" s="1947">
        <v>0</v>
      </c>
      <c r="P88" s="1947"/>
      <c r="Q88" s="1947">
        <v>0</v>
      </c>
      <c r="R88" s="1943"/>
      <c r="S88" s="1947">
        <v>0</v>
      </c>
      <c r="T88" s="1924"/>
      <c r="U88" s="1947">
        <v>0</v>
      </c>
      <c r="V88" s="1943"/>
      <c r="W88" s="1943">
        <f t="shared" si="5"/>
        <v>71526360</v>
      </c>
    </row>
    <row r="89" spans="1:23">
      <c r="A89" s="1639">
        <v>17.260000000000002</v>
      </c>
      <c r="B89" s="1639"/>
      <c r="C89" s="1900" t="s">
        <v>522</v>
      </c>
      <c r="D89" s="1931"/>
      <c r="E89" s="1957" t="s">
        <v>2234</v>
      </c>
      <c r="F89" s="1965" t="s">
        <v>6</v>
      </c>
      <c r="G89" s="1946">
        <v>0</v>
      </c>
      <c r="H89" s="1931"/>
      <c r="I89" s="1943">
        <v>28297172</v>
      </c>
      <c r="J89" s="1943"/>
      <c r="K89" s="1943">
        <v>29595530</v>
      </c>
      <c r="L89" s="1943"/>
      <c r="M89" s="1958">
        <v>12212737</v>
      </c>
      <c r="N89" s="1943"/>
      <c r="O89" s="1943">
        <v>527974</v>
      </c>
      <c r="P89" s="1943"/>
      <c r="Q89" s="1947">
        <v>0</v>
      </c>
      <c r="R89" s="1943"/>
      <c r="S89" s="1947">
        <v>0</v>
      </c>
      <c r="T89" s="1924"/>
      <c r="U89" s="1947">
        <v>0</v>
      </c>
      <c r="V89" s="1943"/>
      <c r="W89" s="1943">
        <f t="shared" si="5"/>
        <v>70633413</v>
      </c>
    </row>
    <row r="90" spans="1:23" s="1932" customFormat="1">
      <c r="A90" s="1951">
        <v>17.274999999999999</v>
      </c>
      <c r="B90" s="1951"/>
      <c r="C90" s="1638" t="s">
        <v>522</v>
      </c>
      <c r="D90" s="1931"/>
      <c r="E90" s="1983" t="s">
        <v>2431</v>
      </c>
      <c r="F90" s="1965" t="s">
        <v>6</v>
      </c>
      <c r="G90" s="1946"/>
      <c r="H90" s="1931"/>
      <c r="I90" s="1943"/>
      <c r="J90" s="1943"/>
      <c r="K90" s="1943"/>
      <c r="L90" s="1943"/>
      <c r="M90" s="1958"/>
      <c r="N90" s="1943"/>
      <c r="O90" s="1943"/>
      <c r="P90" s="1943"/>
      <c r="Q90" s="1947"/>
      <c r="R90" s="1943"/>
      <c r="S90" s="1947"/>
      <c r="T90" s="1924"/>
      <c r="U90" s="1947"/>
      <c r="V90" s="1943"/>
      <c r="W90" s="1943"/>
    </row>
    <row r="91" spans="1:23" ht="33" customHeight="1">
      <c r="A91" s="2363"/>
      <c r="B91" s="1867"/>
      <c r="C91" s="1932"/>
      <c r="D91" s="1931"/>
      <c r="E91" s="1911" t="s">
        <v>2430</v>
      </c>
      <c r="F91" s="1965" t="s">
        <v>6</v>
      </c>
      <c r="G91" s="1970">
        <v>0</v>
      </c>
      <c r="H91" s="1931"/>
      <c r="I91" s="1960">
        <v>16338</v>
      </c>
      <c r="J91" s="1961"/>
      <c r="K91" s="1960">
        <v>475024</v>
      </c>
      <c r="L91" s="1961"/>
      <c r="M91" s="1962">
        <v>620813</v>
      </c>
      <c r="N91" s="1961"/>
      <c r="O91" s="1947">
        <v>0</v>
      </c>
      <c r="P91" s="1947"/>
      <c r="Q91" s="1947">
        <v>0</v>
      </c>
      <c r="R91" s="1961"/>
      <c r="S91" s="1947">
        <v>0</v>
      </c>
      <c r="T91" s="1924"/>
      <c r="U91" s="1947">
        <v>0</v>
      </c>
      <c r="V91" s="1961"/>
      <c r="W91" s="1961">
        <f t="shared" si="5"/>
        <v>1112175</v>
      </c>
    </row>
    <row r="92" spans="1:23">
      <c r="A92" s="1900"/>
      <c r="B92" s="1900"/>
      <c r="C92" s="1898"/>
      <c r="D92" s="1931"/>
      <c r="E92" s="1981" t="s">
        <v>2227</v>
      </c>
      <c r="F92" s="1965" t="s">
        <v>6</v>
      </c>
      <c r="G92" s="1955">
        <f>ROUND(SUM(G84:G91),0)</f>
        <v>58523725</v>
      </c>
      <c r="H92" s="1940"/>
      <c r="I92" s="1955">
        <f>ROUND(SUM(I84:I91),0)</f>
        <v>4742071866</v>
      </c>
      <c r="J92" s="1956"/>
      <c r="K92" s="1955">
        <f>ROUND(SUM(K84:K91),0)</f>
        <v>4301212680</v>
      </c>
      <c r="L92" s="1956"/>
      <c r="M92" s="1955">
        <f>ROUND(SUM(M84:M91),0)</f>
        <v>3187851326</v>
      </c>
      <c r="N92" s="1956"/>
      <c r="O92" s="1955">
        <f>ROUND(SUM(O84:O91),0)</f>
        <v>3136280554</v>
      </c>
      <c r="P92" s="1956"/>
      <c r="Q92" s="1955">
        <f>ROUND(SUM(Q84:Q91),0)</f>
        <v>1419376557</v>
      </c>
      <c r="R92" s="1956"/>
      <c r="S92" s="1955">
        <f>ROUND(SUM(S84:S91),0)</f>
        <v>19958768</v>
      </c>
      <c r="T92" s="1956"/>
      <c r="U92" s="1955">
        <f>ROUND(SUM(U84:U91),0)</f>
        <v>3943163</v>
      </c>
      <c r="V92" s="1956"/>
      <c r="W92" s="1955">
        <f>ROUND(SUM(W84:W91),0)</f>
        <v>16869218639</v>
      </c>
    </row>
    <row r="93" spans="1:23">
      <c r="A93" s="2301" t="s">
        <v>1961</v>
      </c>
      <c r="B93" s="2301"/>
      <c r="C93" s="2301"/>
      <c r="D93" s="1931"/>
      <c r="E93" s="1942"/>
      <c r="F93" s="1965" t="s">
        <v>6</v>
      </c>
      <c r="G93" s="1931"/>
      <c r="H93" s="1931"/>
      <c r="I93" s="1943"/>
      <c r="J93" s="1943"/>
      <c r="K93" s="1943"/>
      <c r="L93" s="1943"/>
      <c r="M93" s="1943"/>
      <c r="N93" s="1943"/>
      <c r="O93" s="1943"/>
      <c r="P93" s="1943"/>
      <c r="Q93" s="1943"/>
      <c r="R93" s="1943"/>
      <c r="S93" s="1943"/>
      <c r="T93" s="1943"/>
      <c r="U93" s="1943"/>
      <c r="V93" s="1943"/>
      <c r="W93" s="1943"/>
    </row>
    <row r="94" spans="1:23">
      <c r="A94" s="1951">
        <v>11.558</v>
      </c>
      <c r="B94" s="2301"/>
      <c r="C94" s="1638" t="s">
        <v>514</v>
      </c>
      <c r="D94" s="1931"/>
      <c r="E94" s="1911" t="s">
        <v>2226</v>
      </c>
      <c r="F94" s="1965" t="s">
        <v>6</v>
      </c>
      <c r="G94" s="1946">
        <v>0</v>
      </c>
      <c r="H94" s="1931"/>
      <c r="I94" s="1947">
        <v>0</v>
      </c>
      <c r="J94" s="1943"/>
      <c r="K94" s="1961">
        <v>719918</v>
      </c>
      <c r="L94" s="1961"/>
      <c r="M94" s="1963">
        <v>995185</v>
      </c>
      <c r="N94" s="1961"/>
      <c r="O94" s="1961">
        <v>793596</v>
      </c>
      <c r="P94" s="1961"/>
      <c r="Q94" s="1961">
        <v>2161022</v>
      </c>
      <c r="R94" s="1961"/>
      <c r="S94" s="1961">
        <v>2866102</v>
      </c>
      <c r="T94" s="1961"/>
      <c r="U94" s="1961">
        <v>753164</v>
      </c>
      <c r="V94" s="1961"/>
      <c r="W94" s="1943">
        <f>ROUND(SUM(G94:U94),0)</f>
        <v>8288987</v>
      </c>
    </row>
    <row r="95" spans="1:23">
      <c r="A95" s="1951">
        <v>12.401</v>
      </c>
      <c r="B95" s="2301"/>
      <c r="C95" s="1638" t="s">
        <v>523</v>
      </c>
      <c r="D95" s="1931"/>
      <c r="E95" s="1911" t="s">
        <v>2225</v>
      </c>
      <c r="F95" s="1965" t="s">
        <v>6</v>
      </c>
      <c r="G95" s="1946">
        <v>0</v>
      </c>
      <c r="H95" s="1931"/>
      <c r="I95" s="1961">
        <v>3349660</v>
      </c>
      <c r="J95" s="1961"/>
      <c r="K95" s="1961">
        <v>3733631</v>
      </c>
      <c r="L95" s="1961"/>
      <c r="M95" s="1963">
        <v>333435</v>
      </c>
      <c r="N95" s="1961"/>
      <c r="O95" s="1947">
        <v>0</v>
      </c>
      <c r="P95" s="1947"/>
      <c r="Q95" s="1947">
        <v>0</v>
      </c>
      <c r="R95" s="1931"/>
      <c r="S95" s="1947">
        <v>0</v>
      </c>
      <c r="T95" s="1924"/>
      <c r="U95" s="1947">
        <v>0</v>
      </c>
      <c r="V95" s="1931"/>
      <c r="W95" s="1943">
        <f t="shared" ref="W95:W101" si="6">ROUND(SUM(G95:U95),0)</f>
        <v>7416726</v>
      </c>
    </row>
    <row r="96" spans="1:23">
      <c r="A96" s="1951">
        <v>16.588000000000001</v>
      </c>
      <c r="B96" s="2301"/>
      <c r="C96" s="1638" t="s">
        <v>524</v>
      </c>
      <c r="D96" s="1931"/>
      <c r="E96" s="1911" t="s">
        <v>2224</v>
      </c>
      <c r="F96" s="1965" t="s">
        <v>6</v>
      </c>
      <c r="G96" s="1946">
        <v>0</v>
      </c>
      <c r="H96" s="1931"/>
      <c r="I96" s="1961">
        <v>271681</v>
      </c>
      <c r="J96" s="1961"/>
      <c r="K96" s="1961">
        <v>4141527</v>
      </c>
      <c r="L96" s="1961"/>
      <c r="M96" s="1963">
        <v>2478207</v>
      </c>
      <c r="N96" s="1961"/>
      <c r="O96" s="1961">
        <v>382979</v>
      </c>
      <c r="P96" s="1961"/>
      <c r="Q96" s="1947">
        <v>0</v>
      </c>
      <c r="R96" s="1943"/>
      <c r="S96" s="1947">
        <v>0</v>
      </c>
      <c r="T96" s="1924"/>
      <c r="U96" s="1947">
        <v>0</v>
      </c>
      <c r="V96" s="1943"/>
      <c r="W96" s="1943">
        <f t="shared" si="6"/>
        <v>7274394</v>
      </c>
    </row>
    <row r="97" spans="1:71">
      <c r="A97" s="1951">
        <v>16.8</v>
      </c>
      <c r="B97" s="2301"/>
      <c r="C97" s="1638" t="s">
        <v>524</v>
      </c>
      <c r="D97" s="1931"/>
      <c r="E97" s="1911" t="s">
        <v>2223</v>
      </c>
      <c r="F97" s="1965" t="s">
        <v>6</v>
      </c>
      <c r="G97" s="1946">
        <v>0</v>
      </c>
      <c r="H97" s="1931"/>
      <c r="I97" s="1943">
        <v>148862</v>
      </c>
      <c r="J97" s="1943"/>
      <c r="K97" s="1943">
        <v>352485</v>
      </c>
      <c r="L97" s="1943"/>
      <c r="M97" s="1949">
        <v>338081</v>
      </c>
      <c r="N97" s="1943"/>
      <c r="O97" s="1943">
        <v>251645</v>
      </c>
      <c r="P97" s="1943"/>
      <c r="Q97" s="1943">
        <v>527325</v>
      </c>
      <c r="R97" s="1943"/>
      <c r="S97" s="1950">
        <v>0</v>
      </c>
      <c r="T97" s="2359"/>
      <c r="U97" s="1950">
        <v>0</v>
      </c>
      <c r="V97" s="1943"/>
      <c r="W97" s="1943">
        <f t="shared" si="6"/>
        <v>1618398</v>
      </c>
    </row>
    <row r="98" spans="1:71">
      <c r="A98" s="1951">
        <v>16.800999999999998</v>
      </c>
      <c r="B98" s="2301"/>
      <c r="C98" s="1638" t="s">
        <v>524</v>
      </c>
      <c r="D98" s="1931"/>
      <c r="E98" s="1911" t="s">
        <v>2222</v>
      </c>
      <c r="F98" s="1965" t="s">
        <v>6</v>
      </c>
      <c r="G98" s="1946">
        <v>0</v>
      </c>
      <c r="H98" s="1931"/>
      <c r="I98" s="1943">
        <v>365964</v>
      </c>
      <c r="J98" s="1943"/>
      <c r="K98" s="1943">
        <v>736248</v>
      </c>
      <c r="L98" s="1943"/>
      <c r="M98" s="1958">
        <v>686787</v>
      </c>
      <c r="N98" s="1943"/>
      <c r="O98" s="1947">
        <v>0</v>
      </c>
      <c r="P98" s="1947"/>
      <c r="Q98" s="1947">
        <v>0</v>
      </c>
      <c r="R98" s="1943"/>
      <c r="S98" s="1947">
        <v>0</v>
      </c>
      <c r="T98" s="1924"/>
      <c r="U98" s="1947">
        <v>0</v>
      </c>
      <c r="V98" s="1943"/>
      <c r="W98" s="1943">
        <f t="shared" si="6"/>
        <v>1788999</v>
      </c>
    </row>
    <row r="99" spans="1:71">
      <c r="A99" s="1951">
        <v>16.802</v>
      </c>
      <c r="B99" s="1901"/>
      <c r="C99" s="1638" t="s">
        <v>524</v>
      </c>
      <c r="D99" s="1931"/>
      <c r="E99" s="1911" t="s">
        <v>2221</v>
      </c>
      <c r="F99" s="1965" t="s">
        <v>6</v>
      </c>
      <c r="G99" s="1946">
        <v>0</v>
      </c>
      <c r="H99" s="1931"/>
      <c r="I99" s="1961">
        <v>1411492</v>
      </c>
      <c r="J99" s="1961"/>
      <c r="K99" s="1961">
        <v>1352613</v>
      </c>
      <c r="L99" s="1961"/>
      <c r="M99" s="1963">
        <v>64882</v>
      </c>
      <c r="N99" s="1961"/>
      <c r="O99" s="1947">
        <v>0</v>
      </c>
      <c r="P99" s="1947"/>
      <c r="Q99" s="1947">
        <v>0</v>
      </c>
      <c r="R99" s="1961"/>
      <c r="S99" s="1947">
        <v>0</v>
      </c>
      <c r="T99" s="1924"/>
      <c r="U99" s="1947">
        <v>0</v>
      </c>
      <c r="V99" s="1961"/>
      <c r="W99" s="1943">
        <f t="shared" si="6"/>
        <v>2828987</v>
      </c>
    </row>
    <row r="100" spans="1:71" s="1932" customFormat="1">
      <c r="A100" s="1951">
        <v>16.803000000000001</v>
      </c>
      <c r="B100" s="1901"/>
      <c r="C100" s="1638" t="s">
        <v>524</v>
      </c>
      <c r="D100" s="1931"/>
      <c r="E100" s="1984" t="s">
        <v>2262</v>
      </c>
      <c r="F100" s="1965" t="s">
        <v>6</v>
      </c>
      <c r="G100" s="1946"/>
      <c r="H100" s="1931"/>
      <c r="I100" s="1961"/>
      <c r="J100" s="1961"/>
      <c r="K100" s="1961"/>
      <c r="L100" s="1961"/>
      <c r="M100" s="1963"/>
      <c r="N100" s="1961"/>
      <c r="O100" s="1947"/>
      <c r="P100" s="1947"/>
      <c r="Q100" s="1947"/>
      <c r="R100" s="1961"/>
      <c r="S100" s="1947"/>
      <c r="T100" s="1924"/>
      <c r="U100" s="1947"/>
      <c r="V100" s="1961"/>
      <c r="W100" s="1943"/>
    </row>
    <row r="101" spans="1:71">
      <c r="A101" s="1867"/>
      <c r="B101" s="1867"/>
      <c r="C101" s="1932"/>
      <c r="D101" s="1931"/>
      <c r="E101" s="1911" t="s">
        <v>2263</v>
      </c>
      <c r="F101" s="1965" t="s">
        <v>6</v>
      </c>
      <c r="G101" s="1970">
        <v>0</v>
      </c>
      <c r="H101" s="1931"/>
      <c r="I101" s="1960">
        <v>3036511</v>
      </c>
      <c r="J101" s="1961"/>
      <c r="K101" s="1960">
        <v>18720623</v>
      </c>
      <c r="L101" s="1961"/>
      <c r="M101" s="1963">
        <v>19476364</v>
      </c>
      <c r="N101" s="1961"/>
      <c r="O101" s="1961">
        <v>21184440</v>
      </c>
      <c r="P101" s="1961"/>
      <c r="Q101" s="1961">
        <v>4528422</v>
      </c>
      <c r="R101" s="1961"/>
      <c r="S101" s="1947">
        <v>0</v>
      </c>
      <c r="T101" s="1924"/>
      <c r="U101" s="1947">
        <v>0</v>
      </c>
      <c r="V101" s="1961"/>
      <c r="W101" s="1943">
        <f t="shared" si="6"/>
        <v>66946360</v>
      </c>
    </row>
    <row r="102" spans="1:71">
      <c r="A102" s="2301"/>
      <c r="B102" s="2301"/>
      <c r="C102" s="2301"/>
      <c r="D102" s="1931"/>
      <c r="E102" s="1981" t="s">
        <v>2215</v>
      </c>
      <c r="F102" s="1965" t="s">
        <v>6</v>
      </c>
      <c r="G102" s="1955">
        <f>ROUND(SUM(G94:G101),0)</f>
        <v>0</v>
      </c>
      <c r="H102" s="1940"/>
      <c r="I102" s="1955">
        <f>ROUND(SUM(I94:I101),0)</f>
        <v>8584170</v>
      </c>
      <c r="J102" s="1956"/>
      <c r="K102" s="1955">
        <f>ROUND(SUM(K94:K101),0)</f>
        <v>29757045</v>
      </c>
      <c r="L102" s="1956"/>
      <c r="M102" s="1955">
        <f>ROUND(SUM(M94:M101),0)</f>
        <v>24372941</v>
      </c>
      <c r="N102" s="1956"/>
      <c r="O102" s="1955">
        <f>ROUND(SUM(O94:O101),0)</f>
        <v>22612660</v>
      </c>
      <c r="P102" s="1956"/>
      <c r="Q102" s="1955">
        <f>ROUND(SUM(Q94:Q101),0)</f>
        <v>7216769</v>
      </c>
      <c r="R102" s="1956"/>
      <c r="S102" s="1955">
        <f>ROUND(SUM(S94:S101),0)</f>
        <v>2866102</v>
      </c>
      <c r="T102" s="1956"/>
      <c r="U102" s="1955">
        <f>ROUND(SUM(U94:U101),0)</f>
        <v>753164</v>
      </c>
      <c r="V102" s="1956"/>
      <c r="W102" s="1955">
        <f>ROUND(SUM(W94:W101),0)</f>
        <v>96162851</v>
      </c>
    </row>
    <row r="103" spans="1:71">
      <c r="A103" s="2300" t="s">
        <v>525</v>
      </c>
      <c r="B103" s="2300"/>
      <c r="C103" s="2300"/>
      <c r="D103" s="1931"/>
      <c r="E103" s="1942"/>
      <c r="F103" s="1965" t="s">
        <v>6</v>
      </c>
      <c r="G103" s="1931"/>
      <c r="H103" s="1931"/>
      <c r="I103" s="1959"/>
      <c r="J103" s="1959"/>
      <c r="K103" s="1959"/>
      <c r="L103" s="1959"/>
      <c r="M103" s="1959"/>
      <c r="N103" s="1959"/>
      <c r="O103" s="1959"/>
      <c r="P103" s="1959"/>
      <c r="Q103" s="1959"/>
      <c r="R103" s="1959"/>
      <c r="S103" s="1959"/>
      <c r="T103" s="1959"/>
      <c r="U103" s="1959"/>
      <c r="V103" s="1959"/>
      <c r="W103" s="1943"/>
    </row>
    <row r="104" spans="1:71">
      <c r="A104" s="1639">
        <v>20.204999999999998</v>
      </c>
      <c r="B104" s="1639"/>
      <c r="C104" s="1900" t="s">
        <v>526</v>
      </c>
      <c r="D104" s="1931"/>
      <c r="E104" s="1957" t="s">
        <v>2220</v>
      </c>
      <c r="F104" s="1965" t="s">
        <v>6</v>
      </c>
      <c r="G104" s="1946">
        <v>0</v>
      </c>
      <c r="H104" s="1931"/>
      <c r="I104" s="1943">
        <v>225300070</v>
      </c>
      <c r="J104" s="1943"/>
      <c r="K104" s="1943">
        <v>446990895</v>
      </c>
      <c r="L104" s="1943"/>
      <c r="M104" s="1958">
        <v>172197206</v>
      </c>
      <c r="N104" s="1943"/>
      <c r="O104" s="1943">
        <v>53652671</v>
      </c>
      <c r="P104" s="1943"/>
      <c r="Q104" s="1943">
        <v>33094697</v>
      </c>
      <c r="R104" s="1943"/>
      <c r="S104" s="1943">
        <v>1099632</v>
      </c>
      <c r="T104" s="1943"/>
      <c r="U104" s="1943">
        <v>486</v>
      </c>
      <c r="V104" s="1943"/>
      <c r="W104" s="1943">
        <f>ROUND(SUM(G104:U104),0)</f>
        <v>932335657</v>
      </c>
    </row>
    <row r="105" spans="1:71" s="614" customFormat="1">
      <c r="A105" s="1902">
        <v>20.318999999999999</v>
      </c>
      <c r="B105" s="1902"/>
      <c r="C105" s="1894" t="s">
        <v>526</v>
      </c>
      <c r="D105" s="1952"/>
      <c r="E105" s="1957" t="s">
        <v>2219</v>
      </c>
      <c r="F105" s="1965" t="s">
        <v>6</v>
      </c>
      <c r="G105" s="1946">
        <v>0</v>
      </c>
      <c r="H105" s="1947"/>
      <c r="I105" s="1908">
        <v>0</v>
      </c>
      <c r="J105" s="1943"/>
      <c r="K105" s="1943">
        <v>145929</v>
      </c>
      <c r="L105" s="1943"/>
      <c r="M105" s="1958">
        <v>3947900</v>
      </c>
      <c r="N105" s="1943"/>
      <c r="O105" s="1943">
        <v>4831202</v>
      </c>
      <c r="P105" s="1943"/>
      <c r="Q105" s="1943">
        <v>16712215</v>
      </c>
      <c r="R105" s="1943"/>
      <c r="S105" s="1943">
        <v>37096395</v>
      </c>
      <c r="T105" s="1943"/>
      <c r="U105" s="1943">
        <v>120256951</v>
      </c>
      <c r="V105" s="1943"/>
      <c r="W105" s="1943">
        <f t="shared" ref="W105:W106" si="7">ROUND(SUM(G105:U105),0)</f>
        <v>182990592</v>
      </c>
    </row>
    <row r="106" spans="1:71">
      <c r="A106" s="1639">
        <v>20.509</v>
      </c>
      <c r="B106" s="1639"/>
      <c r="C106" s="1900" t="s">
        <v>526</v>
      </c>
      <c r="D106" s="1931"/>
      <c r="E106" s="1957" t="s">
        <v>2218</v>
      </c>
      <c r="F106" s="1965" t="s">
        <v>6</v>
      </c>
      <c r="G106" s="1970">
        <v>0</v>
      </c>
      <c r="H106" s="1931"/>
      <c r="I106" s="1953">
        <v>1691731</v>
      </c>
      <c r="J106" s="1943"/>
      <c r="K106" s="1953">
        <v>7971159</v>
      </c>
      <c r="L106" s="1943"/>
      <c r="M106" s="1958">
        <v>10225950</v>
      </c>
      <c r="N106" s="1943"/>
      <c r="O106" s="1943">
        <v>1260874</v>
      </c>
      <c r="P106" s="1943"/>
      <c r="Q106" s="1943">
        <v>880791</v>
      </c>
      <c r="R106" s="1943"/>
      <c r="S106" s="1943">
        <v>1184734</v>
      </c>
      <c r="T106" s="1943"/>
      <c r="U106" s="1943">
        <v>0</v>
      </c>
      <c r="V106" s="1943"/>
      <c r="W106" s="1943">
        <f t="shared" si="7"/>
        <v>23215239</v>
      </c>
    </row>
    <row r="107" spans="1:71">
      <c r="A107" s="1932"/>
      <c r="B107" s="1932"/>
      <c r="C107" s="1931"/>
      <c r="D107" s="1931"/>
      <c r="E107" s="1981" t="s">
        <v>2216</v>
      </c>
      <c r="F107" s="1965" t="s">
        <v>6</v>
      </c>
      <c r="G107" s="1955">
        <f>ROUND(SUM(G104:G106),0)</f>
        <v>0</v>
      </c>
      <c r="H107" s="1940"/>
      <c r="I107" s="1955">
        <f>ROUND(SUM(I104:I106),0)</f>
        <v>226991801</v>
      </c>
      <c r="J107" s="1956"/>
      <c r="K107" s="1955">
        <f>ROUND(SUM(K104:K106),0)</f>
        <v>455107983</v>
      </c>
      <c r="L107" s="1956"/>
      <c r="M107" s="1955">
        <f>ROUND(SUM(M104:M106),0)</f>
        <v>186371056</v>
      </c>
      <c r="N107" s="1956"/>
      <c r="O107" s="1955">
        <f>ROUND(SUM(O104:O106),0)</f>
        <v>59744747</v>
      </c>
      <c r="P107" s="1956"/>
      <c r="Q107" s="1955">
        <f>ROUND(SUM(Q104:Q106),0)</f>
        <v>50687703</v>
      </c>
      <c r="R107" s="1956"/>
      <c r="S107" s="1955">
        <f>ROUND(SUM(S104:S106),0)</f>
        <v>39380761</v>
      </c>
      <c r="T107" s="1956"/>
      <c r="U107" s="1955">
        <f>ROUND(SUM(U104:U106),0)</f>
        <v>120257437</v>
      </c>
      <c r="V107" s="1956"/>
      <c r="W107" s="1955">
        <f>ROUND(SUM(W104:W106),0)</f>
        <v>1138541488</v>
      </c>
    </row>
    <row r="108" spans="1:71" ht="7.5" customHeight="1">
      <c r="A108" s="1954"/>
      <c r="B108" s="1932"/>
      <c r="C108" s="1931"/>
      <c r="D108" s="1931"/>
      <c r="E108" s="1980"/>
      <c r="F108" s="1965" t="s">
        <v>6</v>
      </c>
      <c r="G108" s="1980"/>
      <c r="H108" s="1980"/>
      <c r="I108" s="2364"/>
      <c r="J108" s="2364"/>
      <c r="K108" s="2364"/>
      <c r="L108" s="2364"/>
      <c r="M108" s="2364"/>
      <c r="N108" s="2364"/>
      <c r="O108" s="2364"/>
      <c r="P108" s="2364"/>
      <c r="Q108" s="2364"/>
      <c r="R108" s="2364"/>
      <c r="S108" s="2364"/>
      <c r="T108" s="2365"/>
      <c r="U108" s="2366"/>
      <c r="V108" s="2364"/>
      <c r="W108" s="2364"/>
    </row>
    <row r="109" spans="1:71" ht="16" thickBot="1">
      <c r="A109" s="1932"/>
      <c r="B109" s="1932"/>
      <c r="C109" s="1931"/>
      <c r="D109" s="1931"/>
      <c r="E109" s="1981" t="s">
        <v>2217</v>
      </c>
      <c r="F109" s="1965" t="s">
        <v>6</v>
      </c>
      <c r="G109" s="1968">
        <f>ROUND(SUM(G32+G44+G49+G67+G82+G92+G102+G107),0)</f>
        <v>1797597155</v>
      </c>
      <c r="H109" s="1945" t="s">
        <v>6</v>
      </c>
      <c r="I109" s="1968">
        <f>ROUND(SUM(I32+I44+I49+I67+I82+I92+I102+I107),0)</f>
        <v>11711036249</v>
      </c>
      <c r="J109" s="1945" t="s">
        <v>6</v>
      </c>
      <c r="K109" s="1968">
        <f>ROUND(SUM(K32+K44+K49+K67+K82+K92+K102+K107),0)</f>
        <v>13571298329</v>
      </c>
      <c r="L109" s="1945" t="s">
        <v>6</v>
      </c>
      <c r="M109" s="1968">
        <f>ROUND(SUM(M32+M44+M49+M67+M82+M92+M102+M107),0)</f>
        <v>6808249853</v>
      </c>
      <c r="N109" s="1945" t="s">
        <v>6</v>
      </c>
      <c r="O109" s="1968">
        <f>ROUND(SUM(O32+O44+O49+O67+O82+O92+O102+O107),0)</f>
        <v>4153747955</v>
      </c>
      <c r="P109" s="1945" t="s">
        <v>6</v>
      </c>
      <c r="Q109" s="1968">
        <f>ROUND(SUM(Q32+Q44+Q49+Q67+Q82+Q92+Q102+Q107),0)</f>
        <v>2100590944</v>
      </c>
      <c r="R109" s="1945" t="s">
        <v>6</v>
      </c>
      <c r="S109" s="1968">
        <f>ROUND(SUM(S32+S44+S49+S67+S82+S92+S102+S107),0)</f>
        <v>431509189</v>
      </c>
      <c r="T109" s="2367"/>
      <c r="U109" s="1968">
        <f>ROUND(SUM(U32+U44+U49+U67+U82+U92+U102+U107),0)</f>
        <v>425325502</v>
      </c>
      <c r="V109" s="1945"/>
      <c r="W109" s="1968">
        <f>ROUND(SUM(W32+W44+W49+W67+W82+W92+W102+W107),0)</f>
        <v>40999355176</v>
      </c>
    </row>
    <row r="110" spans="1:71" ht="16" thickTop="1">
      <c r="A110" s="1867"/>
      <c r="B110" s="1867"/>
      <c r="C110" s="1858"/>
      <c r="D110" s="1858"/>
      <c r="E110" s="1858"/>
      <c r="F110" s="1865"/>
      <c r="G110" s="1864"/>
      <c r="H110" s="1864"/>
      <c r="I110" s="1864"/>
      <c r="J110" s="1864"/>
      <c r="K110" s="1864"/>
      <c r="L110" s="1864"/>
      <c r="M110" s="1864"/>
      <c r="N110" s="1864"/>
      <c r="O110" s="1864"/>
      <c r="P110" s="1864"/>
      <c r="Q110" s="1864"/>
      <c r="R110" s="1864"/>
      <c r="S110" s="1869"/>
      <c r="T110" s="1858"/>
      <c r="U110" s="1859"/>
    </row>
    <row r="111" spans="1:71">
      <c r="A111" s="1858"/>
      <c r="B111" s="1858"/>
      <c r="C111" s="1858"/>
      <c r="D111" s="1858"/>
      <c r="E111" s="1863"/>
      <c r="F111" s="1863"/>
      <c r="G111" s="1874"/>
      <c r="H111" s="1874"/>
      <c r="I111" s="1874"/>
      <c r="J111" s="1870"/>
      <c r="K111" s="1875"/>
      <c r="L111" s="1875"/>
      <c r="M111" s="1875"/>
      <c r="N111" s="1875"/>
      <c r="O111" s="1875"/>
      <c r="P111" s="1875"/>
      <c r="Q111" s="1875"/>
      <c r="R111" s="1875"/>
      <c r="S111" s="1875"/>
      <c r="T111" s="1876"/>
      <c r="U111" s="1877"/>
      <c r="V111" s="618"/>
      <c r="W111" s="617"/>
      <c r="X111" s="617"/>
      <c r="Y111" s="617"/>
      <c r="Z111" s="617"/>
      <c r="AA111" s="617"/>
      <c r="AB111" s="617"/>
      <c r="AC111" s="617"/>
      <c r="AD111" s="617"/>
      <c r="AE111" s="617"/>
      <c r="AF111" s="617"/>
      <c r="AG111" s="617"/>
      <c r="AH111" s="617"/>
      <c r="AI111" s="617"/>
      <c r="AJ111" s="617"/>
      <c r="AK111" s="617"/>
      <c r="AL111" s="617"/>
      <c r="AM111" s="617"/>
      <c r="AN111" s="617"/>
      <c r="AO111" s="617"/>
      <c r="AP111" s="617"/>
      <c r="AQ111" s="617"/>
      <c r="AR111" s="617"/>
      <c r="AS111" s="617"/>
      <c r="AT111" s="617"/>
      <c r="AU111" s="619"/>
      <c r="AV111" s="619"/>
      <c r="AW111" s="620"/>
      <c r="AX111" s="620"/>
      <c r="AY111" s="620"/>
      <c r="AZ111" s="620"/>
      <c r="BA111" s="619"/>
      <c r="BB111" s="619"/>
      <c r="BC111" s="621"/>
      <c r="BD111" s="620"/>
      <c r="BE111" s="620"/>
      <c r="BF111" s="620"/>
      <c r="BG111" s="620"/>
      <c r="BH111" s="620"/>
      <c r="BI111" s="622"/>
      <c r="BJ111" s="622"/>
      <c r="BK111" s="622"/>
      <c r="BL111" s="623"/>
      <c r="BM111" s="619"/>
      <c r="BO111" s="620"/>
      <c r="BQ111" s="624"/>
      <c r="BS111" s="613"/>
    </row>
    <row r="112" spans="1:71">
      <c r="A112" s="1878"/>
      <c r="B112" s="1878"/>
      <c r="C112" s="1878"/>
      <c r="D112" s="1878"/>
      <c r="E112" s="1878"/>
      <c r="F112" s="1878"/>
      <c r="G112" s="1879"/>
      <c r="H112" s="1879"/>
      <c r="I112" s="1879"/>
      <c r="J112" s="1879"/>
      <c r="K112" s="1879"/>
      <c r="L112" s="1879"/>
      <c r="M112" s="1879"/>
      <c r="N112" s="1879"/>
      <c r="O112" s="1879"/>
      <c r="P112" s="1879"/>
      <c r="Q112" s="1879"/>
      <c r="R112" s="1879"/>
      <c r="S112" s="1879"/>
      <c r="T112" s="1878"/>
      <c r="U112" s="1880"/>
      <c r="V112" s="626"/>
      <c r="W112" s="625"/>
      <c r="X112" s="625"/>
      <c r="Y112" s="625"/>
      <c r="Z112" s="625"/>
      <c r="AA112" s="625"/>
      <c r="AB112" s="625"/>
      <c r="AC112" s="625"/>
      <c r="AD112" s="625"/>
      <c r="AE112" s="625"/>
      <c r="AF112" s="625"/>
      <c r="AG112" s="625"/>
      <c r="AH112" s="625"/>
      <c r="AI112" s="625"/>
      <c r="AJ112" s="625"/>
      <c r="AK112" s="625"/>
      <c r="AL112" s="625"/>
      <c r="AM112" s="625"/>
      <c r="AN112" s="625"/>
      <c r="AO112" s="625"/>
      <c r="AP112" s="625"/>
      <c r="AQ112" s="625"/>
      <c r="AR112" s="625"/>
      <c r="AS112" s="625"/>
      <c r="AT112" s="625"/>
      <c r="AU112" s="627"/>
      <c r="AV112" s="627"/>
      <c r="AW112" s="628"/>
      <c r="AX112" s="628"/>
      <c r="AY112" s="628"/>
      <c r="AZ112" s="628"/>
      <c r="BA112" s="627"/>
      <c r="BB112" s="627"/>
      <c r="BC112" s="629"/>
      <c r="BD112" s="628"/>
      <c r="BE112" s="628"/>
      <c r="BF112" s="628"/>
      <c r="BG112" s="628"/>
      <c r="BH112" s="628"/>
      <c r="BI112" s="630"/>
      <c r="BJ112" s="630"/>
      <c r="BK112" s="630"/>
      <c r="BL112" s="627"/>
      <c r="BM112" s="627"/>
      <c r="BO112" s="628"/>
      <c r="BQ112" s="631"/>
      <c r="BS112" s="613"/>
    </row>
    <row r="113" spans="1:71">
      <c r="A113" s="1881"/>
      <c r="B113" s="1882"/>
      <c r="C113" s="1881"/>
      <c r="D113" s="1882"/>
      <c r="E113" s="1882"/>
      <c r="F113" s="1882"/>
      <c r="G113" s="1883"/>
      <c r="H113" s="1883"/>
      <c r="I113" s="1883"/>
      <c r="J113" s="1883"/>
      <c r="K113" s="1883"/>
      <c r="L113" s="1883"/>
      <c r="M113" s="1883"/>
      <c r="N113" s="1883"/>
      <c r="O113" s="1883"/>
      <c r="P113" s="1883"/>
      <c r="Q113" s="1884"/>
      <c r="R113" s="1883"/>
      <c r="S113" s="1883"/>
      <c r="T113" s="1882"/>
      <c r="U113" s="1885"/>
      <c r="V113" s="633"/>
      <c r="W113" s="632"/>
      <c r="X113" s="632"/>
      <c r="Y113" s="632"/>
      <c r="Z113" s="632"/>
      <c r="AA113" s="632"/>
      <c r="AB113" s="632"/>
      <c r="AC113" s="632"/>
      <c r="AD113" s="632"/>
      <c r="AE113" s="632"/>
      <c r="AF113" s="632"/>
      <c r="AG113" s="632"/>
      <c r="AH113" s="632"/>
      <c r="AI113" s="632"/>
      <c r="AJ113" s="632"/>
      <c r="AK113" s="632"/>
      <c r="AL113" s="632"/>
      <c r="AM113" s="632"/>
      <c r="AN113" s="632"/>
      <c r="AO113" s="632"/>
      <c r="AP113" s="632"/>
      <c r="AQ113" s="632"/>
      <c r="AR113" s="632"/>
      <c r="AS113" s="632"/>
      <c r="AT113" s="632"/>
      <c r="AU113" s="634"/>
      <c r="AV113" s="634"/>
      <c r="AW113" s="635"/>
      <c r="AX113" s="635"/>
      <c r="AY113" s="635"/>
      <c r="AZ113" s="635"/>
      <c r="BA113" s="634"/>
      <c r="BB113" s="634"/>
      <c r="BC113" s="636"/>
      <c r="BD113" s="635"/>
      <c r="BE113" s="635"/>
      <c r="BF113" s="635"/>
      <c r="BG113" s="635"/>
      <c r="BH113" s="635"/>
      <c r="BI113" s="637"/>
      <c r="BJ113" s="637"/>
      <c r="BK113" s="637"/>
      <c r="BL113" s="634"/>
      <c r="BM113" s="634"/>
      <c r="BO113" s="635"/>
      <c r="BQ113" s="638"/>
      <c r="BS113" s="613"/>
    </row>
    <row r="114" spans="1:71">
      <c r="A114" s="1882"/>
      <c r="B114" s="1882"/>
      <c r="C114" s="1886"/>
      <c r="D114" s="1882"/>
      <c r="E114" s="1882"/>
      <c r="F114" s="1882"/>
      <c r="G114" s="1883"/>
      <c r="H114" s="1883"/>
      <c r="I114" s="1883"/>
      <c r="J114" s="1883"/>
      <c r="K114" s="1883"/>
      <c r="L114" s="1883"/>
      <c r="M114" s="1883"/>
      <c r="N114" s="1883"/>
      <c r="O114" s="1883"/>
      <c r="P114" s="1883"/>
      <c r="Q114" s="1887"/>
      <c r="R114" s="1883"/>
      <c r="S114" s="1883"/>
      <c r="T114" s="1882"/>
      <c r="U114" s="1885"/>
      <c r="V114" s="633"/>
      <c r="W114" s="632"/>
      <c r="X114" s="632"/>
      <c r="Y114" s="632"/>
      <c r="Z114" s="632"/>
      <c r="AA114" s="632"/>
      <c r="AB114" s="632"/>
      <c r="AC114" s="632"/>
      <c r="AD114" s="632"/>
      <c r="AE114" s="632"/>
      <c r="AF114" s="632"/>
      <c r="AG114" s="632"/>
      <c r="AH114" s="632"/>
      <c r="AI114" s="632"/>
      <c r="AJ114" s="632"/>
      <c r="AK114" s="632"/>
      <c r="AL114" s="632"/>
      <c r="AM114" s="632"/>
      <c r="AN114" s="632"/>
      <c r="AO114" s="632"/>
      <c r="AP114" s="632"/>
      <c r="AQ114" s="632"/>
      <c r="AR114" s="632"/>
      <c r="AS114" s="632"/>
      <c r="AT114" s="632"/>
      <c r="AU114" s="634"/>
      <c r="AV114" s="634"/>
      <c r="AW114" s="635"/>
      <c r="AX114" s="635"/>
      <c r="AY114" s="635"/>
      <c r="AZ114" s="635"/>
      <c r="BA114" s="634"/>
      <c r="BB114" s="634"/>
      <c r="BC114" s="636"/>
      <c r="BD114" s="635"/>
      <c r="BE114" s="635"/>
      <c r="BF114" s="635"/>
      <c r="BG114" s="635"/>
      <c r="BH114" s="635"/>
      <c r="BI114" s="637"/>
      <c r="BJ114" s="637"/>
      <c r="BK114" s="637"/>
      <c r="BL114" s="634"/>
      <c r="BM114" s="634"/>
      <c r="BO114" s="635"/>
      <c r="BQ114" s="638"/>
      <c r="BS114" s="613"/>
    </row>
    <row r="115" spans="1:71">
      <c r="A115" s="1888"/>
      <c r="B115" s="1889"/>
      <c r="C115" s="1886"/>
      <c r="D115" s="1889"/>
      <c r="E115" s="1889"/>
      <c r="F115" s="1889"/>
      <c r="G115" s="1890"/>
      <c r="H115" s="1890"/>
      <c r="I115" s="1890"/>
      <c r="J115" s="1890"/>
      <c r="K115" s="1890"/>
      <c r="L115" s="1890"/>
      <c r="M115" s="1890"/>
      <c r="N115" s="1890"/>
      <c r="O115" s="1890"/>
      <c r="P115" s="1890"/>
      <c r="Q115" s="1890"/>
      <c r="R115" s="1890"/>
      <c r="S115" s="1890"/>
      <c r="T115" s="1889"/>
      <c r="U115" s="1891"/>
      <c r="V115" s="640"/>
      <c r="W115" s="639"/>
      <c r="X115" s="639"/>
      <c r="Y115" s="639"/>
      <c r="Z115" s="639"/>
      <c r="AA115" s="639"/>
      <c r="AB115" s="639"/>
      <c r="AC115" s="639"/>
      <c r="AD115" s="639"/>
      <c r="AE115" s="639"/>
      <c r="AF115" s="639"/>
      <c r="AG115" s="639"/>
      <c r="AH115" s="639"/>
      <c r="AI115" s="639"/>
      <c r="AJ115" s="639"/>
      <c r="AK115" s="639"/>
      <c r="AL115" s="639"/>
      <c r="AM115" s="639"/>
      <c r="AN115" s="639"/>
      <c r="AO115" s="639"/>
      <c r="AP115" s="639"/>
      <c r="AQ115" s="639"/>
      <c r="AR115" s="639"/>
      <c r="AS115" s="639"/>
      <c r="AT115" s="639"/>
      <c r="AU115" s="641"/>
      <c r="AV115" s="641"/>
      <c r="AW115" s="642"/>
      <c r="AX115" s="642"/>
      <c r="AY115" s="642"/>
      <c r="AZ115" s="642"/>
      <c r="BA115" s="641"/>
      <c r="BB115" s="641"/>
      <c r="BC115" s="643"/>
      <c r="BD115" s="642"/>
      <c r="BE115" s="642"/>
      <c r="BF115" s="642"/>
      <c r="BG115" s="642"/>
      <c r="BH115" s="642"/>
      <c r="BI115" s="644"/>
      <c r="BJ115" s="644"/>
      <c r="BK115" s="644"/>
      <c r="BL115" s="641"/>
      <c r="BM115" s="641"/>
      <c r="BN115" s="645"/>
      <c r="BO115" s="642"/>
      <c r="BP115" s="645"/>
      <c r="BQ115" s="646"/>
      <c r="BR115" s="645"/>
      <c r="BS115" s="647"/>
    </row>
  </sheetData>
  <mergeCells count="6">
    <mergeCell ref="W72:X72"/>
    <mergeCell ref="W73:X73"/>
    <mergeCell ref="A3:G3"/>
    <mergeCell ref="A4:G4"/>
    <mergeCell ref="A5:G5"/>
    <mergeCell ref="A6:G6"/>
  </mergeCells>
  <printOptions horizontalCentered="1"/>
  <pageMargins left="0.28999999999999998" right="0.5" top="0.6" bottom="0.25" header="0.3" footer="0.25"/>
  <pageSetup scale="41" firstPageNumber="86" fitToHeight="2" orientation="landscape" useFirstPageNumber="1"/>
  <headerFooter scaleWithDoc="0">
    <oddFooter>&amp;R&amp;8&amp;P</oddFooter>
  </headerFooter>
  <rowBreaks count="1" manualBreakCount="1">
    <brk id="71" max="22"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79"/>
  <sheetViews>
    <sheetView showGridLines="0" showOutlineSymbols="0" zoomScale="80" zoomScaleNormal="80" zoomScalePageLayoutView="80" workbookViewId="0"/>
  </sheetViews>
  <sheetFormatPr baseColWidth="10" defaultColWidth="9.5703125" defaultRowHeight="15" x14ac:dyDescent="0"/>
  <cols>
    <col min="1" max="1" width="57.42578125" style="252" customWidth="1"/>
    <col min="2" max="2" width="3.42578125" style="252" customWidth="1"/>
    <col min="3" max="3" width="18.5703125" style="252" customWidth="1"/>
    <col min="4" max="4" width="3.42578125" style="252" customWidth="1"/>
    <col min="5" max="5" width="18.42578125" style="252" customWidth="1"/>
    <col min="6" max="6" width="3.42578125" style="252" customWidth="1"/>
    <col min="7" max="7" width="18.5703125" style="252" bestFit="1" customWidth="1"/>
    <col min="8" max="8" width="3.42578125" style="252" customWidth="1"/>
    <col min="9" max="9" width="18.5703125" style="252" customWidth="1"/>
    <col min="10" max="16384" width="9.5703125" style="252"/>
  </cols>
  <sheetData>
    <row r="1" spans="1:10">
      <c r="A1" s="1582" t="s">
        <v>1443</v>
      </c>
    </row>
    <row r="3" spans="1:10" ht="17">
      <c r="A3" s="42" t="s">
        <v>0</v>
      </c>
      <c r="B3" s="648"/>
      <c r="C3" s="648"/>
      <c r="D3" s="648"/>
      <c r="E3" s="648"/>
      <c r="F3" s="648"/>
      <c r="G3" s="648"/>
      <c r="H3" s="648"/>
      <c r="I3" s="648"/>
    </row>
    <row r="4" spans="1:10" ht="17">
      <c r="A4" s="42" t="s">
        <v>1</v>
      </c>
      <c r="B4" s="93"/>
      <c r="C4" s="93"/>
      <c r="D4" s="93"/>
      <c r="E4" s="93"/>
      <c r="F4" s="93"/>
      <c r="G4" s="93"/>
      <c r="H4" s="93"/>
      <c r="I4" s="649" t="s">
        <v>527</v>
      </c>
    </row>
    <row r="5" spans="1:10" ht="17">
      <c r="A5" s="2419" t="s">
        <v>528</v>
      </c>
      <c r="B5" s="2420"/>
      <c r="C5" s="2420"/>
      <c r="D5" s="2420"/>
      <c r="E5" s="2420"/>
      <c r="F5" s="2420"/>
      <c r="G5" s="2420"/>
      <c r="H5" s="2420"/>
      <c r="I5" s="93" t="s">
        <v>6</v>
      </c>
    </row>
    <row r="6" spans="1:10" ht="17">
      <c r="A6" s="650" t="s">
        <v>2585</v>
      </c>
      <c r="B6" s="93"/>
      <c r="C6" s="93"/>
      <c r="D6" s="93"/>
      <c r="E6" s="93"/>
      <c r="F6" s="93"/>
      <c r="G6" s="93"/>
      <c r="H6" s="93"/>
      <c r="I6" s="93"/>
    </row>
    <row r="7" spans="1:10" ht="17">
      <c r="A7" s="7" t="s">
        <v>4</v>
      </c>
      <c r="B7" s="93"/>
      <c r="C7" s="93"/>
      <c r="D7" s="93"/>
      <c r="E7" s="93"/>
      <c r="F7" s="93"/>
      <c r="G7" s="93"/>
      <c r="H7" s="93"/>
      <c r="I7" s="93"/>
    </row>
    <row r="8" spans="1:10" ht="17">
      <c r="A8" s="7"/>
      <c r="B8" s="93"/>
      <c r="C8" s="93"/>
      <c r="D8" s="93"/>
      <c r="E8" s="93"/>
      <c r="F8" s="93"/>
      <c r="G8" s="93"/>
      <c r="H8" s="93"/>
      <c r="I8" s="93"/>
    </row>
    <row r="9" spans="1:10">
      <c r="A9" s="648"/>
      <c r="B9" s="93"/>
      <c r="C9" s="93"/>
      <c r="D9" s="93"/>
      <c r="E9" s="93"/>
      <c r="F9" s="93"/>
      <c r="G9" s="93"/>
      <c r="H9" s="93"/>
      <c r="I9" s="93"/>
    </row>
    <row r="10" spans="1:10">
      <c r="A10" s="648"/>
      <c r="B10" s="93"/>
      <c r="C10" s="651" t="s">
        <v>529</v>
      </c>
      <c r="D10" s="101"/>
      <c r="E10" s="101"/>
      <c r="F10" s="101"/>
      <c r="G10" s="2264"/>
      <c r="H10" s="101"/>
      <c r="I10" s="651" t="s">
        <v>529</v>
      </c>
    </row>
    <row r="11" spans="1:10">
      <c r="A11" s="648"/>
      <c r="B11" s="93"/>
      <c r="C11" s="652" t="s">
        <v>2593</v>
      </c>
      <c r="D11" s="101"/>
      <c r="E11" s="651" t="s">
        <v>530</v>
      </c>
      <c r="F11" s="101"/>
      <c r="G11" s="2265" t="s">
        <v>531</v>
      </c>
      <c r="H11" s="101"/>
      <c r="I11" s="653" t="s">
        <v>2592</v>
      </c>
    </row>
    <row r="12" spans="1:10">
      <c r="A12" s="648"/>
      <c r="B12" s="93"/>
      <c r="C12" s="97"/>
      <c r="D12" s="93"/>
      <c r="E12" s="97"/>
      <c r="F12" s="93"/>
      <c r="G12" s="2266"/>
      <c r="H12" s="93"/>
      <c r="I12" s="97"/>
    </row>
    <row r="13" spans="1:10">
      <c r="A13" s="101" t="s">
        <v>315</v>
      </c>
      <c r="B13" s="93"/>
      <c r="C13" s="648"/>
      <c r="D13" s="93"/>
      <c r="E13" s="648"/>
      <c r="F13" s="93"/>
      <c r="G13" s="2267"/>
      <c r="H13" s="648"/>
      <c r="I13" s="648"/>
    </row>
    <row r="14" spans="1:10">
      <c r="A14" s="654" t="s">
        <v>532</v>
      </c>
      <c r="B14" s="93" t="s">
        <v>6</v>
      </c>
      <c r="C14" s="89">
        <v>11926</v>
      </c>
      <c r="D14" s="93"/>
      <c r="E14" s="655">
        <v>0</v>
      </c>
      <c r="F14" s="93"/>
      <c r="G14" s="2268">
        <v>50</v>
      </c>
      <c r="H14" s="93"/>
      <c r="I14" s="656">
        <f>ROUND(SUM(C14+E14)-SUM(G14),0)</f>
        <v>11876</v>
      </c>
      <c r="J14" s="657"/>
    </row>
    <row r="15" spans="1:10" ht="18" customHeight="1">
      <c r="A15" s="658" t="s">
        <v>533</v>
      </c>
      <c r="B15" s="93" t="s">
        <v>6</v>
      </c>
      <c r="C15" s="659">
        <f>ROUND(SUM(C14:C14),0)</f>
        <v>11926</v>
      </c>
      <c r="D15" s="93" t="s">
        <v>6</v>
      </c>
      <c r="E15" s="660">
        <f>ROUND(SUM(E14:E14),0)</f>
        <v>0</v>
      </c>
      <c r="F15" s="93" t="s">
        <v>6</v>
      </c>
      <c r="G15" s="2269">
        <f>ROUND(SUM(G14:G14),0)</f>
        <v>50</v>
      </c>
      <c r="H15" s="93" t="s">
        <v>6</v>
      </c>
      <c r="I15" s="659">
        <f>ROUND(SUM(I14:I14),0)</f>
        <v>11876</v>
      </c>
      <c r="J15" s="651"/>
    </row>
    <row r="16" spans="1:10">
      <c r="A16" s="648"/>
      <c r="B16" s="93" t="s">
        <v>6</v>
      </c>
      <c r="C16" s="97"/>
      <c r="D16" s="93"/>
      <c r="E16" s="661"/>
      <c r="F16" s="93"/>
      <c r="G16" s="2266"/>
      <c r="H16" s="648"/>
      <c r="I16" s="97"/>
      <c r="J16" s="657"/>
    </row>
    <row r="17" spans="1:11">
      <c r="A17" s="648"/>
      <c r="B17" s="93" t="s">
        <v>6</v>
      </c>
      <c r="C17" s="648"/>
      <c r="D17" s="93"/>
      <c r="E17" s="648"/>
      <c r="F17" s="93"/>
      <c r="G17" s="2267"/>
      <c r="H17" s="648"/>
      <c r="I17" s="648"/>
      <c r="J17" s="657"/>
    </row>
    <row r="18" spans="1:11">
      <c r="A18" s="101" t="s">
        <v>534</v>
      </c>
      <c r="B18" s="93" t="s">
        <v>6</v>
      </c>
      <c r="C18" s="648"/>
      <c r="D18" s="648"/>
      <c r="E18" s="648"/>
      <c r="F18" s="648"/>
      <c r="G18" s="2267"/>
      <c r="H18" s="648"/>
      <c r="I18" s="648"/>
      <c r="J18" s="657"/>
    </row>
    <row r="19" spans="1:11">
      <c r="A19" s="93" t="s">
        <v>535</v>
      </c>
      <c r="B19" s="662" t="s">
        <v>277</v>
      </c>
      <c r="C19" s="2270">
        <v>9000</v>
      </c>
      <c r="D19" s="648"/>
      <c r="E19" s="189">
        <v>0</v>
      </c>
      <c r="F19" s="648"/>
      <c r="G19" s="2271">
        <v>0</v>
      </c>
      <c r="H19" s="648"/>
      <c r="I19" s="663">
        <f>ROUND(SUM(C19+E19)-SUM(G19),0)</f>
        <v>9000</v>
      </c>
      <c r="J19" s="657"/>
    </row>
    <row r="20" spans="1:11" ht="18" customHeight="1">
      <c r="A20" s="101" t="s">
        <v>536</v>
      </c>
      <c r="B20" s="93" t="s">
        <v>6</v>
      </c>
      <c r="C20" s="664">
        <f>ROUND(SUM(+C19),0)</f>
        <v>9000</v>
      </c>
      <c r="D20" s="93" t="s">
        <v>6</v>
      </c>
      <c r="E20" s="660">
        <f>ROUND(SUM(E19:E19),0)</f>
        <v>0</v>
      </c>
      <c r="F20" s="93" t="s">
        <v>6</v>
      </c>
      <c r="G20" s="2272">
        <f>ROUND(SUM(G19:G19),0)</f>
        <v>0</v>
      </c>
      <c r="H20" s="93" t="s">
        <v>6</v>
      </c>
      <c r="I20" s="659">
        <f>ROUND(SUM(I19:I19),0)</f>
        <v>9000</v>
      </c>
      <c r="J20" s="651"/>
    </row>
    <row r="21" spans="1:11">
      <c r="A21" s="648"/>
      <c r="B21" s="93" t="s">
        <v>6</v>
      </c>
      <c r="C21" s="97"/>
      <c r="D21" s="648"/>
      <c r="E21" s="661"/>
      <c r="F21" s="648"/>
      <c r="G21" s="2273"/>
      <c r="H21" s="648"/>
      <c r="I21" s="97"/>
      <c r="J21" s="657"/>
    </row>
    <row r="22" spans="1:11">
      <c r="A22" s="93"/>
      <c r="B22" s="93" t="s">
        <v>6</v>
      </c>
      <c r="C22" s="648"/>
      <c r="D22" s="648"/>
      <c r="E22" s="665"/>
      <c r="F22" s="648"/>
      <c r="G22" s="2274"/>
      <c r="H22" s="648"/>
      <c r="I22" s="648"/>
      <c r="J22" s="657"/>
    </row>
    <row r="23" spans="1:11">
      <c r="A23" s="101" t="s">
        <v>537</v>
      </c>
      <c r="B23" s="93" t="s">
        <v>6</v>
      </c>
      <c r="C23" s="648"/>
      <c r="D23" s="648"/>
      <c r="E23" s="648"/>
      <c r="F23" s="648"/>
      <c r="G23" s="2267"/>
      <c r="H23" s="648"/>
      <c r="I23" s="648"/>
      <c r="J23" s="651"/>
    </row>
    <row r="24" spans="1:11">
      <c r="A24" s="1974" t="s">
        <v>1966</v>
      </c>
      <c r="B24" s="93" t="s">
        <v>6</v>
      </c>
      <c r="C24" s="648">
        <v>17299</v>
      </c>
      <c r="D24" s="648"/>
      <c r="E24" s="189">
        <v>0</v>
      </c>
      <c r="F24" s="648"/>
      <c r="G24" s="2271">
        <v>0</v>
      </c>
      <c r="H24" s="648"/>
      <c r="I24" s="663">
        <f>ROUND(SUM(C24+E24)-SUM(G24),0)</f>
        <v>17299</v>
      </c>
      <c r="J24" s="657"/>
    </row>
    <row r="25" spans="1:11">
      <c r="A25" s="666" t="s">
        <v>538</v>
      </c>
      <c r="B25" s="667" t="s">
        <v>277</v>
      </c>
      <c r="C25" s="663">
        <v>923</v>
      </c>
      <c r="D25" s="663"/>
      <c r="E25" s="189">
        <v>0</v>
      </c>
      <c r="F25" s="500"/>
      <c r="G25" s="2271">
        <v>0</v>
      </c>
      <c r="H25" s="663"/>
      <c r="I25" s="663">
        <f>ROUND(SUM(C25+E25)-SUM(G25),0)</f>
        <v>923</v>
      </c>
      <c r="J25" s="657"/>
    </row>
    <row r="26" spans="1:11">
      <c r="A26" s="93" t="s">
        <v>539</v>
      </c>
      <c r="B26" s="93" t="s">
        <v>6</v>
      </c>
      <c r="C26" s="663">
        <v>23275</v>
      </c>
      <c r="D26" s="663"/>
      <c r="E26" s="189">
        <v>9</v>
      </c>
      <c r="F26" s="663"/>
      <c r="G26" s="2271">
        <v>0</v>
      </c>
      <c r="H26" s="663"/>
      <c r="I26" s="663">
        <f>ROUND(SUM(C26+E26)-SUM(G26),0)</f>
        <v>23284</v>
      </c>
      <c r="J26" s="657"/>
    </row>
    <row r="27" spans="1:11">
      <c r="A27" s="93" t="s">
        <v>540</v>
      </c>
      <c r="B27" s="667" t="s">
        <v>277</v>
      </c>
      <c r="C27" s="663">
        <v>152686</v>
      </c>
      <c r="D27" s="663"/>
      <c r="E27" s="500">
        <v>3452</v>
      </c>
      <c r="F27" s="663"/>
      <c r="G27" s="2275">
        <v>0</v>
      </c>
      <c r="H27" s="663"/>
      <c r="I27" s="663">
        <f>ROUND(SUM(C27+E27)-SUM(G27),0)</f>
        <v>156138</v>
      </c>
      <c r="J27" s="657"/>
    </row>
    <row r="28" spans="1:11" ht="18" customHeight="1">
      <c r="A28" s="101" t="s">
        <v>541</v>
      </c>
      <c r="B28" s="93" t="s">
        <v>6</v>
      </c>
      <c r="C28" s="102">
        <f>ROUND(SUM(C24:C27),0)</f>
        <v>194183</v>
      </c>
      <c r="D28" s="101" t="s">
        <v>6</v>
      </c>
      <c r="E28" s="102">
        <f>ROUND(SUM(E24:E27),0)</f>
        <v>3461</v>
      </c>
      <c r="F28" s="101" t="s">
        <v>6</v>
      </c>
      <c r="G28" s="2276">
        <f>ROUND(SUM(G24:G27),0)</f>
        <v>0</v>
      </c>
      <c r="H28" s="101" t="s">
        <v>6</v>
      </c>
      <c r="I28" s="102">
        <f>ROUND(SUM(I24:I27),0)</f>
        <v>197644</v>
      </c>
      <c r="J28" s="651"/>
    </row>
    <row r="29" spans="1:11" ht="25.5" customHeight="1" thickBot="1">
      <c r="A29" s="101" t="s">
        <v>1967</v>
      </c>
      <c r="B29" s="93" t="s">
        <v>6</v>
      </c>
      <c r="C29" s="668">
        <f>ROUND(SUM(C15+C28+C20),0)</f>
        <v>215109</v>
      </c>
      <c r="D29" s="669"/>
      <c r="E29" s="668">
        <f>ROUND(SUM(E15+E28+E20),0)</f>
        <v>3461</v>
      </c>
      <c r="F29" s="669"/>
      <c r="G29" s="2277">
        <f>ROUND(SUM(G15+G28+G20),0)</f>
        <v>50</v>
      </c>
      <c r="H29" s="669"/>
      <c r="I29" s="668">
        <f>ROUND(SUM(I15+I28+I20),0)</f>
        <v>218520</v>
      </c>
      <c r="J29" s="651"/>
      <c r="K29" s="670"/>
    </row>
    <row r="30" spans="1:11" ht="16" thickTop="1">
      <c r="A30" s="671"/>
      <c r="B30" s="672"/>
      <c r="C30" s="648"/>
      <c r="D30" s="672"/>
      <c r="E30" s="648"/>
      <c r="F30" s="672"/>
      <c r="G30" s="671"/>
      <c r="H30" s="672"/>
      <c r="J30" s="657"/>
    </row>
    <row r="31" spans="1:11">
      <c r="A31" s="2421"/>
      <c r="B31" s="2422"/>
      <c r="C31" s="2422"/>
      <c r="D31" s="672"/>
      <c r="E31" s="648"/>
      <c r="F31" s="672"/>
      <c r="G31" s="671"/>
      <c r="H31" s="672"/>
      <c r="J31" s="657"/>
    </row>
    <row r="32" spans="1:11" ht="12.75" customHeight="1">
      <c r="A32" s="673"/>
      <c r="J32" s="657"/>
    </row>
    <row r="33" spans="1:10" ht="12.75" customHeight="1">
      <c r="A33" s="673"/>
      <c r="C33" s="490"/>
      <c r="J33" s="657"/>
    </row>
    <row r="34" spans="1:10" ht="12.75" customHeight="1">
      <c r="A34" s="673"/>
      <c r="J34" s="648"/>
    </row>
    <row r="35" spans="1:10">
      <c r="H35" s="674"/>
    </row>
    <row r="36" spans="1:10">
      <c r="H36" s="674"/>
    </row>
    <row r="37" spans="1:10">
      <c r="A37" s="490"/>
      <c r="F37" s="675"/>
      <c r="H37" s="674"/>
    </row>
    <row r="38" spans="1:10">
      <c r="F38" s="675"/>
      <c r="H38" s="674"/>
    </row>
    <row r="39" spans="1:10">
      <c r="F39" s="675"/>
      <c r="H39" s="674"/>
    </row>
    <row r="40" spans="1:10">
      <c r="F40" s="675"/>
      <c r="H40" s="674"/>
    </row>
    <row r="41" spans="1:10">
      <c r="F41" s="675"/>
      <c r="H41" s="674"/>
    </row>
    <row r="42" spans="1:10">
      <c r="F42" s="675"/>
      <c r="H42" s="674"/>
    </row>
    <row r="43" spans="1:10">
      <c r="F43" s="675"/>
      <c r="H43" s="674"/>
    </row>
    <row r="44" spans="1:10">
      <c r="F44" s="675"/>
      <c r="H44" s="674"/>
    </row>
    <row r="45" spans="1:10">
      <c r="F45" s="675"/>
      <c r="H45" s="674"/>
    </row>
    <row r="46" spans="1:10">
      <c r="F46" s="675"/>
      <c r="H46" s="674"/>
    </row>
    <row r="47" spans="1:10">
      <c r="F47" s="675"/>
      <c r="H47" s="674"/>
    </row>
    <row r="48" spans="1:10">
      <c r="F48" s="675"/>
      <c r="H48" s="674"/>
    </row>
    <row r="49" spans="6:8">
      <c r="F49" s="675"/>
      <c r="H49" s="674"/>
    </row>
    <row r="50" spans="6:8">
      <c r="F50" s="675"/>
      <c r="H50" s="674"/>
    </row>
    <row r="51" spans="6:8">
      <c r="F51" s="675"/>
      <c r="H51" s="674"/>
    </row>
    <row r="52" spans="6:8">
      <c r="F52" s="675"/>
      <c r="H52" s="674"/>
    </row>
    <row r="53" spans="6:8">
      <c r="F53" s="675"/>
      <c r="H53" s="674"/>
    </row>
    <row r="54" spans="6:8">
      <c r="F54" s="675"/>
      <c r="H54" s="674"/>
    </row>
    <row r="55" spans="6:8">
      <c r="F55" s="675"/>
      <c r="H55" s="674"/>
    </row>
    <row r="56" spans="6:8">
      <c r="F56" s="675"/>
      <c r="H56" s="674"/>
    </row>
    <row r="57" spans="6:8">
      <c r="F57" s="675"/>
      <c r="H57" s="674"/>
    </row>
    <row r="58" spans="6:8">
      <c r="F58" s="675"/>
      <c r="H58" s="674"/>
    </row>
    <row r="59" spans="6:8">
      <c r="F59" s="675"/>
      <c r="H59" s="674"/>
    </row>
    <row r="60" spans="6:8">
      <c r="F60" s="675"/>
      <c r="H60" s="674"/>
    </row>
    <row r="61" spans="6:8">
      <c r="F61" s="675"/>
      <c r="H61" s="674"/>
    </row>
    <row r="62" spans="6:8">
      <c r="F62" s="675"/>
      <c r="H62" s="674"/>
    </row>
    <row r="63" spans="6:8">
      <c r="F63" s="675"/>
      <c r="H63" s="674"/>
    </row>
    <row r="64" spans="6:8">
      <c r="F64" s="675"/>
      <c r="H64" s="674"/>
    </row>
    <row r="65" spans="6:8">
      <c r="F65" s="675"/>
      <c r="H65" s="674"/>
    </row>
    <row r="66" spans="6:8">
      <c r="F66" s="675"/>
      <c r="H66" s="674"/>
    </row>
    <row r="67" spans="6:8">
      <c r="F67" s="675"/>
      <c r="H67" s="674"/>
    </row>
    <row r="68" spans="6:8">
      <c r="F68" s="675"/>
      <c r="H68" s="674"/>
    </row>
    <row r="69" spans="6:8">
      <c r="F69" s="675"/>
      <c r="H69" s="674"/>
    </row>
    <row r="70" spans="6:8">
      <c r="F70" s="675"/>
      <c r="H70" s="674"/>
    </row>
    <row r="71" spans="6:8">
      <c r="F71" s="675"/>
      <c r="H71" s="674"/>
    </row>
    <row r="72" spans="6:8">
      <c r="F72" s="675"/>
      <c r="H72" s="674"/>
    </row>
    <row r="73" spans="6:8">
      <c r="F73" s="675"/>
      <c r="H73" s="674"/>
    </row>
    <row r="74" spans="6:8">
      <c r="F74" s="675"/>
      <c r="H74" s="674"/>
    </row>
    <row r="75" spans="6:8">
      <c r="F75" s="675"/>
      <c r="H75" s="674"/>
    </row>
    <row r="76" spans="6:8">
      <c r="F76" s="675"/>
      <c r="H76" s="674"/>
    </row>
    <row r="77" spans="6:8">
      <c r="F77" s="675"/>
      <c r="H77" s="674"/>
    </row>
    <row r="78" spans="6:8">
      <c r="F78" s="675"/>
      <c r="H78" s="674"/>
    </row>
    <row r="79" spans="6:8">
      <c r="F79" s="675"/>
      <c r="H79" s="674"/>
    </row>
  </sheetData>
  <mergeCells count="2">
    <mergeCell ref="A5:H5"/>
    <mergeCell ref="A31:C31"/>
  </mergeCells>
  <printOptions horizontalCentered="1"/>
  <pageMargins left="1" right="0.5" top="0.75" bottom="0.25" header="0.3" footer="0.25"/>
  <pageSetup scale="70" orientation="landscape"/>
  <headerFooter scaleWithDoc="0">
    <oddFooter>&amp;R&amp;8 88</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1"/>
  <sheetViews>
    <sheetView showGridLines="0" showOutlineSymbols="0" zoomScale="80" zoomScaleNormal="80" zoomScalePageLayoutView="80" workbookViewId="0"/>
  </sheetViews>
  <sheetFormatPr baseColWidth="10" defaultColWidth="9.5703125" defaultRowHeight="16" x14ac:dyDescent="0"/>
  <cols>
    <col min="1" max="1" width="57.140625" style="678" customWidth="1"/>
    <col min="2" max="2" width="3.42578125" style="678" customWidth="1"/>
    <col min="3" max="3" width="18.42578125" style="678" customWidth="1"/>
    <col min="4" max="4" width="3.42578125" style="678" customWidth="1"/>
    <col min="5" max="5" width="18.42578125" style="678" customWidth="1"/>
    <col min="6" max="6" width="3.42578125" style="678" customWidth="1"/>
    <col min="7" max="7" width="18.5703125" style="678" bestFit="1" customWidth="1"/>
    <col min="8" max="8" width="3.42578125" style="678" customWidth="1"/>
    <col min="9" max="9" width="18.5703125" style="678" customWidth="1"/>
    <col min="10" max="16384" width="9.5703125" style="678"/>
  </cols>
  <sheetData>
    <row r="1" spans="1:10">
      <c r="A1" s="1582" t="s">
        <v>1443</v>
      </c>
    </row>
    <row r="3" spans="1:10" ht="17">
      <c r="A3" s="676" t="s">
        <v>0</v>
      </c>
      <c r="B3" s="666"/>
      <c r="C3" s="666"/>
      <c r="D3" s="666"/>
      <c r="E3" s="666"/>
      <c r="F3" s="666"/>
      <c r="G3" s="666"/>
      <c r="H3" s="666"/>
      <c r="I3" s="666"/>
      <c r="J3" s="677"/>
    </row>
    <row r="4" spans="1:10" ht="17">
      <c r="A4" s="676" t="s">
        <v>542</v>
      </c>
      <c r="B4" s="666"/>
      <c r="C4" s="666"/>
      <c r="D4" s="666"/>
      <c r="E4" s="666"/>
      <c r="F4" s="666"/>
      <c r="G4" s="666"/>
      <c r="H4" s="666"/>
      <c r="I4" s="679" t="s">
        <v>543</v>
      </c>
      <c r="J4" s="677"/>
    </row>
    <row r="5" spans="1:10" ht="17">
      <c r="A5" s="2012" t="s">
        <v>2674</v>
      </c>
      <c r="B5" s="2013"/>
      <c r="C5" s="2013"/>
      <c r="D5" s="2013"/>
      <c r="E5" s="2013"/>
      <c r="F5" s="2013"/>
      <c r="G5" s="2013"/>
      <c r="H5" s="2013"/>
      <c r="I5" s="666" t="s">
        <v>6</v>
      </c>
      <c r="J5" s="677"/>
    </row>
    <row r="6" spans="1:10" ht="17">
      <c r="A6" s="681" t="s">
        <v>2585</v>
      </c>
      <c r="B6" s="666"/>
      <c r="C6" s="666"/>
      <c r="D6" s="666"/>
      <c r="E6" s="666"/>
      <c r="F6" s="666"/>
      <c r="G6" s="666"/>
      <c r="H6" s="666"/>
      <c r="I6" s="666"/>
      <c r="J6" s="677"/>
    </row>
    <row r="7" spans="1:10" ht="17">
      <c r="A7" s="682" t="s">
        <v>4</v>
      </c>
      <c r="B7" s="666"/>
      <c r="C7" s="666"/>
      <c r="D7" s="666"/>
      <c r="E7" s="666"/>
      <c r="F7" s="666"/>
      <c r="G7" s="666"/>
      <c r="H7" s="666"/>
      <c r="I7" s="666"/>
      <c r="J7" s="677"/>
    </row>
    <row r="8" spans="1:10">
      <c r="A8" s="666"/>
      <c r="B8" s="666"/>
      <c r="C8" s="666"/>
      <c r="D8" s="666"/>
      <c r="E8" s="666"/>
      <c r="F8" s="666"/>
      <c r="G8" s="666"/>
      <c r="H8" s="666"/>
      <c r="I8" s="666"/>
      <c r="J8" s="677"/>
    </row>
    <row r="9" spans="1:10">
      <c r="A9" s="666"/>
      <c r="B9" s="666"/>
      <c r="C9" s="683" t="s">
        <v>529</v>
      </c>
      <c r="D9" s="684"/>
      <c r="E9" s="684"/>
      <c r="F9" s="684"/>
      <c r="G9" s="684"/>
      <c r="H9" s="684"/>
      <c r="I9" s="683" t="s">
        <v>529</v>
      </c>
      <c r="J9" s="677"/>
    </row>
    <row r="10" spans="1:10">
      <c r="A10" s="666"/>
      <c r="B10" s="666"/>
      <c r="C10" s="2014" t="s">
        <v>2593</v>
      </c>
      <c r="D10" s="684"/>
      <c r="E10" s="2015" t="s">
        <v>530</v>
      </c>
      <c r="F10" s="684"/>
      <c r="G10" s="2015" t="s">
        <v>531</v>
      </c>
      <c r="H10" s="684"/>
      <c r="I10" s="2014" t="s">
        <v>2592</v>
      </c>
      <c r="J10" s="677"/>
    </row>
    <row r="11" spans="1:10">
      <c r="A11" s="666"/>
      <c r="B11" s="666"/>
      <c r="C11" s="687"/>
      <c r="D11" s="666"/>
      <c r="E11" s="687"/>
      <c r="F11" s="666"/>
      <c r="G11" s="687"/>
      <c r="H11" s="687"/>
      <c r="I11" s="687"/>
      <c r="J11" s="677"/>
    </row>
    <row r="12" spans="1:10" ht="15.75" customHeight="1">
      <c r="A12" s="684" t="s">
        <v>545</v>
      </c>
      <c r="B12" s="666"/>
      <c r="C12" s="687"/>
      <c r="D12" s="666"/>
      <c r="E12" s="687"/>
      <c r="F12" s="666"/>
      <c r="G12" s="687"/>
      <c r="H12" s="687"/>
      <c r="I12" s="687"/>
      <c r="J12" s="677"/>
    </row>
    <row r="13" spans="1:10" ht="15" customHeight="1">
      <c r="A13" s="2016" t="s">
        <v>2419</v>
      </c>
      <c r="B13" s="666" t="s">
        <v>6</v>
      </c>
      <c r="C13" s="688" t="s">
        <v>6</v>
      </c>
      <c r="D13" s="688"/>
      <c r="E13" s="690"/>
      <c r="F13" s="690"/>
      <c r="G13" s="690"/>
      <c r="H13" s="688"/>
      <c r="I13" s="2017"/>
      <c r="J13" s="689"/>
    </row>
    <row r="14" spans="1:10" ht="15.75" customHeight="1">
      <c r="A14" s="2018" t="s">
        <v>2420</v>
      </c>
      <c r="B14" s="666" t="s">
        <v>6</v>
      </c>
      <c r="C14" s="666"/>
      <c r="D14" s="666"/>
      <c r="E14" s="666"/>
      <c r="F14" s="666"/>
      <c r="G14" s="666"/>
      <c r="H14" s="666"/>
      <c r="I14" s="666"/>
      <c r="J14" s="689"/>
    </row>
    <row r="15" spans="1:10" ht="14.25" customHeight="1">
      <c r="A15" s="691" t="s">
        <v>2421</v>
      </c>
      <c r="B15" s="715" t="s">
        <v>277</v>
      </c>
      <c r="C15" s="692">
        <v>791</v>
      </c>
      <c r="D15" s="688"/>
      <c r="E15" s="692">
        <v>0</v>
      </c>
      <c r="F15" s="693"/>
      <c r="G15" s="692">
        <v>0</v>
      </c>
      <c r="H15" s="688"/>
      <c r="I15" s="694">
        <f>ROUND(SUM(C15+E15)-SUM(G15),0)</f>
        <v>791</v>
      </c>
      <c r="J15" s="689"/>
    </row>
    <row r="16" spans="1:10" ht="15.75" customHeight="1">
      <c r="A16" s="2018" t="s">
        <v>1397</v>
      </c>
      <c r="B16" s="666" t="s">
        <v>6</v>
      </c>
      <c r="C16" s="2019"/>
      <c r="D16" s="2019"/>
      <c r="E16" s="2019"/>
      <c r="F16" s="2020"/>
      <c r="G16" s="2019"/>
      <c r="H16" s="2019"/>
      <c r="I16" s="2020"/>
      <c r="J16" s="689"/>
    </row>
    <row r="17" spans="1:10" ht="15.75" customHeight="1">
      <c r="A17" s="691" t="s">
        <v>2422</v>
      </c>
      <c r="B17" s="715" t="s">
        <v>277</v>
      </c>
      <c r="C17" s="2019">
        <v>1150</v>
      </c>
      <c r="D17" s="2019"/>
      <c r="E17" s="2019">
        <v>0</v>
      </c>
      <c r="F17" s="2020"/>
      <c r="G17" s="2019">
        <v>0</v>
      </c>
      <c r="H17" s="2019"/>
      <c r="I17" s="2020">
        <f t="shared" ref="I17:I18" si="0">ROUND(SUM(C17+E17)-SUM(G17),0)</f>
        <v>1150</v>
      </c>
      <c r="J17" s="689"/>
    </row>
    <row r="18" spans="1:10" ht="15.75" customHeight="1">
      <c r="A18" s="691" t="s">
        <v>2423</v>
      </c>
      <c r="B18" s="715" t="s">
        <v>277</v>
      </c>
      <c r="C18" s="2019">
        <v>8400</v>
      </c>
      <c r="D18" s="2019"/>
      <c r="E18" s="2019">
        <v>0</v>
      </c>
      <c r="F18" s="2020"/>
      <c r="G18" s="2019">
        <v>0</v>
      </c>
      <c r="H18" s="2019"/>
      <c r="I18" s="2020">
        <f t="shared" si="0"/>
        <v>8400</v>
      </c>
      <c r="J18" s="689"/>
    </row>
    <row r="19" spans="1:10">
      <c r="A19" s="2021" t="s">
        <v>2424</v>
      </c>
      <c r="B19" s="666" t="s">
        <v>6</v>
      </c>
      <c r="C19" s="2022">
        <f>ROUND(SUM(C15:C18),0)</f>
        <v>10341</v>
      </c>
      <c r="D19" s="2019" t="s">
        <v>6</v>
      </c>
      <c r="E19" s="2022">
        <f>ROUND(SUM(E15:E18),0)</f>
        <v>0</v>
      </c>
      <c r="F19" s="2019" t="s">
        <v>6</v>
      </c>
      <c r="G19" s="2022">
        <f>ROUND(SUM(G15:G18),0)</f>
        <v>0</v>
      </c>
      <c r="H19" s="2019" t="s">
        <v>6</v>
      </c>
      <c r="I19" s="2022">
        <f>ROUND(SUM(I15:I18),0)</f>
        <v>10341</v>
      </c>
      <c r="J19" s="677"/>
    </row>
    <row r="20" spans="1:10">
      <c r="A20" s="666"/>
      <c r="B20" s="666"/>
      <c r="C20" s="2023"/>
      <c r="D20" s="2019"/>
      <c r="E20" s="2023"/>
      <c r="F20" s="2019"/>
      <c r="G20" s="2023"/>
      <c r="H20" s="2019"/>
      <c r="I20" s="2023"/>
      <c r="J20" s="677"/>
    </row>
    <row r="21" spans="1:10" ht="17.25" customHeight="1">
      <c r="A21" s="666"/>
      <c r="B21" s="666"/>
      <c r="C21" s="2019"/>
      <c r="D21" s="2019"/>
      <c r="E21" s="2019"/>
      <c r="F21" s="2019"/>
      <c r="G21" s="2019"/>
      <c r="H21" s="2019"/>
      <c r="I21" s="2019"/>
      <c r="J21" s="677"/>
    </row>
    <row r="22" spans="1:10" ht="16.5" customHeight="1">
      <c r="A22" s="697" t="s">
        <v>546</v>
      </c>
      <c r="B22" s="666" t="s">
        <v>6</v>
      </c>
      <c r="C22" s="2019"/>
      <c r="D22" s="2019" t="s">
        <v>6</v>
      </c>
      <c r="E22" s="2019"/>
      <c r="F22" s="2019" t="s">
        <v>6</v>
      </c>
      <c r="G22" s="2019"/>
      <c r="H22" s="2019" t="s">
        <v>6</v>
      </c>
      <c r="I22" s="2019"/>
      <c r="J22" s="677"/>
    </row>
    <row r="23" spans="1:10" ht="15.75" customHeight="1">
      <c r="A23" s="2016" t="s">
        <v>2419</v>
      </c>
      <c r="B23" s="666" t="s">
        <v>6</v>
      </c>
      <c r="C23" s="2019"/>
      <c r="D23" s="2019"/>
      <c r="E23" s="2019"/>
      <c r="F23" s="2019"/>
      <c r="G23" s="2019"/>
      <c r="H23" s="2019"/>
      <c r="I23" s="2019"/>
      <c r="J23" s="677"/>
    </row>
    <row r="24" spans="1:10" ht="15.75" customHeight="1">
      <c r="A24" s="2018" t="s">
        <v>2420</v>
      </c>
      <c r="B24" s="666" t="s">
        <v>6</v>
      </c>
      <c r="C24" s="666"/>
      <c r="D24" s="666"/>
      <c r="E24" s="666"/>
      <c r="F24" s="666"/>
      <c r="G24" s="666"/>
      <c r="H24" s="666"/>
      <c r="I24" s="666"/>
    </row>
    <row r="25" spans="1:10" ht="14.25" customHeight="1">
      <c r="A25" s="691" t="s">
        <v>2421</v>
      </c>
      <c r="B25" s="715" t="s">
        <v>277</v>
      </c>
      <c r="C25" s="2019">
        <v>423</v>
      </c>
      <c r="D25" s="2019"/>
      <c r="E25" s="2019">
        <v>0</v>
      </c>
      <c r="F25" s="2019"/>
      <c r="G25" s="2019">
        <v>50</v>
      </c>
      <c r="H25" s="2019"/>
      <c r="I25" s="2020">
        <f t="shared" ref="I25" si="1">ROUND(SUM(C25+E25)-SUM(G25),0)</f>
        <v>373</v>
      </c>
      <c r="J25" s="690"/>
    </row>
    <row r="26" spans="1:10" ht="12.75" customHeight="1">
      <c r="A26" s="2018" t="s">
        <v>1397</v>
      </c>
      <c r="B26" s="666" t="s">
        <v>6</v>
      </c>
      <c r="C26" s="2019"/>
      <c r="D26" s="2019"/>
      <c r="E26" s="2019"/>
      <c r="F26" s="2020"/>
      <c r="G26" s="2019"/>
      <c r="H26" s="2019"/>
      <c r="I26" s="2024"/>
      <c r="J26" s="690"/>
    </row>
    <row r="27" spans="1:10">
      <c r="A27" s="691" t="s">
        <v>2425</v>
      </c>
      <c r="B27" s="715" t="s">
        <v>277</v>
      </c>
      <c r="C27" s="2019">
        <v>1162</v>
      </c>
      <c r="D27" s="2019"/>
      <c r="E27" s="2019">
        <v>0</v>
      </c>
      <c r="F27" s="2020"/>
      <c r="G27" s="2019">
        <v>0</v>
      </c>
      <c r="H27" s="2019"/>
      <c r="I27" s="2024">
        <f t="shared" ref="I27" si="2">ROUND(SUM(C27+E27)-SUM(G27),0)</f>
        <v>1162</v>
      </c>
      <c r="J27" s="689"/>
    </row>
    <row r="28" spans="1:10">
      <c r="A28" s="2021" t="s">
        <v>2426</v>
      </c>
      <c r="B28" s="666" t="s">
        <v>6</v>
      </c>
      <c r="C28" s="698">
        <f>ROUND(SUM(C25:C27),0)</f>
        <v>1585</v>
      </c>
      <c r="D28" s="2019" t="s">
        <v>6</v>
      </c>
      <c r="E28" s="698">
        <f>ROUND(SUM(E25:E27),0)</f>
        <v>0</v>
      </c>
      <c r="F28" s="2019" t="s">
        <v>6</v>
      </c>
      <c r="G28" s="698">
        <f>ROUND(SUM(G25:G27),0)</f>
        <v>50</v>
      </c>
      <c r="H28" s="2019" t="s">
        <v>6</v>
      </c>
      <c r="I28" s="698">
        <f>ROUND(SUM(I25:I27),0)</f>
        <v>1535</v>
      </c>
      <c r="J28" s="677"/>
    </row>
    <row r="29" spans="1:10" ht="30.75" customHeight="1">
      <c r="A29" s="695"/>
      <c r="B29" s="666"/>
      <c r="C29" s="699"/>
      <c r="D29" s="666"/>
      <c r="E29" s="2025"/>
      <c r="F29" s="666"/>
      <c r="G29" s="699"/>
      <c r="H29" s="666"/>
      <c r="I29" s="699"/>
    </row>
    <row r="30" spans="1:10" ht="15.75" customHeight="1" thickBot="1">
      <c r="A30" s="684" t="s">
        <v>2427</v>
      </c>
      <c r="B30" s="2026" t="s">
        <v>277</v>
      </c>
      <c r="C30" s="700">
        <f>ROUND(SUM(C19+C28),0)</f>
        <v>11926</v>
      </c>
      <c r="D30" s="701"/>
      <c r="E30" s="700">
        <f>ROUND(SUM(E19+E28),0)</f>
        <v>0</v>
      </c>
      <c r="F30" s="701"/>
      <c r="G30" s="700">
        <f>ROUND(SUM(G19+G28),0)</f>
        <v>50</v>
      </c>
      <c r="H30" s="701"/>
      <c r="I30" s="700">
        <f>ROUND(SUM(I19+I28),0)</f>
        <v>11876</v>
      </c>
    </row>
    <row r="31" spans="1:10" ht="17" thickTop="1">
      <c r="B31" s="678" t="s">
        <v>6</v>
      </c>
      <c r="C31" s="702" t="s">
        <v>6</v>
      </c>
      <c r="D31" s="678" t="s">
        <v>6</v>
      </c>
      <c r="E31" s="702" t="s">
        <v>6</v>
      </c>
      <c r="F31" s="678" t="s">
        <v>6</v>
      </c>
      <c r="G31" s="702" t="s">
        <v>6</v>
      </c>
      <c r="H31" s="678" t="s">
        <v>6</v>
      </c>
      <c r="I31" s="702" t="s">
        <v>6</v>
      </c>
    </row>
    <row r="32" spans="1:10">
      <c r="C32" s="678" t="s">
        <v>6</v>
      </c>
      <c r="E32" s="678" t="s">
        <v>6</v>
      </c>
      <c r="G32" s="678" t="s">
        <v>6</v>
      </c>
      <c r="I32" s="678" t="s">
        <v>6</v>
      </c>
    </row>
    <row r="34" spans="3:9">
      <c r="C34" s="703"/>
      <c r="I34" s="703"/>
    </row>
    <row r="35" spans="3:9">
      <c r="C35" s="703"/>
      <c r="I35" s="703"/>
    </row>
    <row r="36" spans="3:9">
      <c r="C36" s="703"/>
      <c r="I36" s="703"/>
    </row>
    <row r="37" spans="3:9">
      <c r="C37" s="703"/>
      <c r="I37" s="703"/>
    </row>
    <row r="38" spans="3:9">
      <c r="C38" s="703"/>
      <c r="I38" s="703"/>
    </row>
    <row r="39" spans="3:9">
      <c r="C39" s="703"/>
      <c r="I39" s="703"/>
    </row>
    <row r="40" spans="3:9">
      <c r="C40" s="703"/>
      <c r="I40" s="703"/>
    </row>
    <row r="41" spans="3:9">
      <c r="C41" s="703"/>
      <c r="I41" s="703"/>
    </row>
    <row r="42" spans="3:9">
      <c r="C42" s="703"/>
      <c r="I42" s="703"/>
    </row>
    <row r="43" spans="3:9">
      <c r="C43" s="703"/>
      <c r="I43" s="703"/>
    </row>
    <row r="44" spans="3:9">
      <c r="C44" s="703"/>
      <c r="I44" s="703"/>
    </row>
    <row r="45" spans="3:9">
      <c r="C45" s="703"/>
      <c r="I45" s="703"/>
    </row>
    <row r="46" spans="3:9">
      <c r="C46" s="703"/>
      <c r="I46" s="703"/>
    </row>
    <row r="47" spans="3:9">
      <c r="C47" s="703"/>
      <c r="I47" s="703"/>
    </row>
    <row r="48" spans="3:9">
      <c r="C48" s="703"/>
      <c r="I48" s="703"/>
    </row>
    <row r="49" spans="3:9">
      <c r="C49" s="703"/>
      <c r="I49" s="703"/>
    </row>
    <row r="50" spans="3:9">
      <c r="C50" s="703"/>
      <c r="I50" s="703"/>
    </row>
    <row r="51" spans="3:9">
      <c r="C51" s="703"/>
      <c r="I51" s="703"/>
    </row>
    <row r="52" spans="3:9">
      <c r="C52" s="703"/>
      <c r="I52" s="703"/>
    </row>
    <row r="53" spans="3:9">
      <c r="C53" s="703"/>
      <c r="I53" s="703"/>
    </row>
    <row r="54" spans="3:9">
      <c r="C54" s="703"/>
      <c r="I54" s="703"/>
    </row>
    <row r="55" spans="3:9">
      <c r="C55" s="703"/>
      <c r="I55" s="703"/>
    </row>
    <row r="56" spans="3:9">
      <c r="C56" s="703"/>
      <c r="I56" s="703"/>
    </row>
    <row r="57" spans="3:9">
      <c r="C57" s="703"/>
      <c r="I57" s="703"/>
    </row>
    <row r="58" spans="3:9">
      <c r="I58" s="703"/>
    </row>
    <row r="59" spans="3:9">
      <c r="I59" s="703"/>
    </row>
    <row r="60" spans="3:9">
      <c r="I60" s="703"/>
    </row>
    <row r="61" spans="3:9">
      <c r="I61" s="703"/>
    </row>
  </sheetData>
  <printOptions horizontalCentered="1"/>
  <pageMargins left="1" right="0.5" top="0.75" bottom="0.25" header="0.3" footer="0.25"/>
  <pageSetup scale="70" orientation="landscape"/>
  <headerFooter scaleWithDoc="0">
    <oddFooter>&amp;R&amp;8 89</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49"/>
  <sheetViews>
    <sheetView showGridLines="0" showOutlineSymbols="0" zoomScale="75" zoomScaleNormal="87" zoomScalePageLayoutView="87" workbookViewId="0"/>
  </sheetViews>
  <sheetFormatPr baseColWidth="10" defaultColWidth="9.5703125" defaultRowHeight="16" x14ac:dyDescent="0"/>
  <cols>
    <col min="1" max="1" width="57" style="678" customWidth="1"/>
    <col min="2" max="2" width="2.85546875" style="678" customWidth="1"/>
    <col min="3" max="3" width="18.42578125" style="678" customWidth="1"/>
    <col min="4" max="4" width="3" style="678" customWidth="1"/>
    <col min="5" max="5" width="18.5703125" style="678" customWidth="1"/>
    <col min="6" max="6" width="3" style="678" customWidth="1"/>
    <col min="7" max="7" width="18.5703125" style="678" bestFit="1" customWidth="1"/>
    <col min="8" max="8" width="3" style="678" customWidth="1"/>
    <col min="9" max="9" width="18.85546875" style="678" customWidth="1"/>
    <col min="10" max="10" width="3.5703125" style="678" customWidth="1"/>
    <col min="11" max="16384" width="9.5703125" style="678"/>
  </cols>
  <sheetData>
    <row r="1" spans="1:11">
      <c r="A1" s="1582" t="s">
        <v>1443</v>
      </c>
    </row>
    <row r="3" spans="1:11" ht="17">
      <c r="A3" s="676" t="s">
        <v>0</v>
      </c>
      <c r="B3" s="666"/>
      <c r="C3" s="666"/>
      <c r="D3" s="666"/>
      <c r="E3" s="666"/>
      <c r="F3" s="666"/>
      <c r="G3" s="666"/>
      <c r="H3" s="666"/>
      <c r="I3" s="666"/>
      <c r="J3" s="666"/>
      <c r="K3" s="677"/>
    </row>
    <row r="4" spans="1:11" ht="17">
      <c r="A4" s="676" t="s">
        <v>548</v>
      </c>
      <c r="B4" s="666"/>
      <c r="C4" s="666"/>
      <c r="D4" s="666"/>
      <c r="E4" s="666"/>
      <c r="F4" s="666"/>
      <c r="G4" s="666"/>
      <c r="H4" s="666"/>
      <c r="I4" s="679" t="s">
        <v>549</v>
      </c>
      <c r="J4" s="666"/>
      <c r="K4" s="677"/>
    </row>
    <row r="5" spans="1:11" ht="17">
      <c r="A5" s="680" t="s">
        <v>2675</v>
      </c>
      <c r="B5" s="666"/>
      <c r="C5" s="666"/>
      <c r="D5" s="666"/>
      <c r="E5" s="666"/>
      <c r="F5" s="666"/>
      <c r="G5" s="666"/>
      <c r="H5" s="666"/>
      <c r="J5" s="679"/>
      <c r="K5" s="677"/>
    </row>
    <row r="6" spans="1:11" ht="17">
      <c r="A6" s="681" t="s">
        <v>2615</v>
      </c>
      <c r="B6" s="666"/>
      <c r="C6" s="666"/>
      <c r="D6" s="666"/>
      <c r="E6" s="666"/>
      <c r="F6" s="666"/>
      <c r="G6" s="666"/>
      <c r="H6" s="666"/>
      <c r="I6" s="666"/>
      <c r="J6" s="666"/>
      <c r="K6" s="677"/>
    </row>
    <row r="7" spans="1:11" ht="17">
      <c r="A7" s="682" t="s">
        <v>4</v>
      </c>
      <c r="B7" s="666"/>
      <c r="C7" s="666"/>
      <c r="D7" s="666"/>
      <c r="E7" s="666"/>
      <c r="F7" s="666"/>
      <c r="G7" s="666"/>
      <c r="H7" s="666"/>
      <c r="I7" s="666"/>
      <c r="J7" s="666"/>
      <c r="K7" s="677"/>
    </row>
    <row r="8" spans="1:11" ht="17">
      <c r="A8" s="682"/>
      <c r="B8" s="666"/>
      <c r="C8" s="666"/>
      <c r="D8" s="666"/>
      <c r="E8" s="666"/>
      <c r="F8" s="666"/>
      <c r="G8" s="666"/>
      <c r="H8" s="666"/>
      <c r="I8" s="666"/>
      <c r="J8" s="666"/>
      <c r="K8" s="677"/>
    </row>
    <row r="9" spans="1:11">
      <c r="A9" s="666"/>
      <c r="B9" s="666"/>
      <c r="C9" s="683" t="s">
        <v>529</v>
      </c>
      <c r="D9" s="684"/>
      <c r="E9" s="684"/>
      <c r="F9" s="684"/>
      <c r="G9" s="684"/>
      <c r="H9" s="684"/>
      <c r="I9" s="683" t="s">
        <v>529</v>
      </c>
      <c r="J9" s="687"/>
      <c r="K9" s="677"/>
    </row>
    <row r="10" spans="1:11">
      <c r="A10" s="666"/>
      <c r="B10" s="666"/>
      <c r="C10" s="685" t="s">
        <v>2593</v>
      </c>
      <c r="D10" s="684"/>
      <c r="E10" s="686" t="s">
        <v>530</v>
      </c>
      <c r="F10" s="684"/>
      <c r="G10" s="686" t="s">
        <v>531</v>
      </c>
      <c r="H10" s="684"/>
      <c r="I10" s="704" t="s">
        <v>2592</v>
      </c>
      <c r="J10" s="687"/>
      <c r="K10" s="677"/>
    </row>
    <row r="11" spans="1:11">
      <c r="A11" s="666"/>
      <c r="B11" s="666"/>
      <c r="C11" s="687"/>
      <c r="D11" s="666"/>
      <c r="E11" s="687"/>
      <c r="F11" s="666"/>
      <c r="G11" s="687"/>
      <c r="H11" s="666"/>
      <c r="I11" s="687"/>
      <c r="J11" s="687"/>
      <c r="K11" s="677"/>
    </row>
    <row r="12" spans="1:11" ht="16" customHeight="1">
      <c r="A12" s="697" t="s">
        <v>550</v>
      </c>
      <c r="B12" s="666"/>
      <c r="C12" s="699"/>
      <c r="D12" s="705"/>
      <c r="E12" s="706"/>
      <c r="F12" s="705"/>
      <c r="G12" s="706"/>
      <c r="H12" s="699"/>
      <c r="I12" s="707"/>
      <c r="J12" s="693"/>
      <c r="K12" s="687"/>
    </row>
    <row r="13" spans="1:11" ht="16" customHeight="1">
      <c r="A13" s="697" t="s">
        <v>2434</v>
      </c>
      <c r="B13" s="696"/>
      <c r="C13" s="699"/>
      <c r="D13" s="705"/>
      <c r="E13" s="706"/>
      <c r="F13" s="705"/>
      <c r="G13" s="706"/>
      <c r="H13" s="699"/>
      <c r="I13" s="707"/>
      <c r="J13" s="693"/>
      <c r="K13" s="687"/>
    </row>
    <row r="14" spans="1:11" ht="16" customHeight="1">
      <c r="A14" s="708" t="s">
        <v>551</v>
      </c>
      <c r="B14" s="709" t="s">
        <v>277</v>
      </c>
      <c r="C14" s="710">
        <v>9000</v>
      </c>
      <c r="D14" s="711"/>
      <c r="E14" s="712">
        <v>0</v>
      </c>
      <c r="F14" s="711"/>
      <c r="G14" s="712">
        <v>0</v>
      </c>
      <c r="H14" s="711"/>
      <c r="I14" s="713">
        <f>ROUND(SUM(C14:G14),0)</f>
        <v>9000</v>
      </c>
      <c r="J14" s="693"/>
      <c r="K14" s="687"/>
    </row>
    <row r="15" spans="1:11" ht="16" customHeight="1">
      <c r="A15" s="714" t="s">
        <v>552</v>
      </c>
      <c r="B15" s="715" t="s">
        <v>277</v>
      </c>
      <c r="C15" s="716">
        <f>ROUND((+C14),0)</f>
        <v>9000</v>
      </c>
      <c r="D15" s="717"/>
      <c r="E15" s="716">
        <f>ROUND((+E14),0)</f>
        <v>0</v>
      </c>
      <c r="F15" s="699"/>
      <c r="G15" s="716">
        <f>ROUND((+G14),0)</f>
        <v>0</v>
      </c>
      <c r="H15" s="717"/>
      <c r="I15" s="716">
        <f>ROUND(SUM(C15:G15),0)</f>
        <v>9000</v>
      </c>
      <c r="J15" s="693"/>
      <c r="K15" s="687"/>
    </row>
    <row r="16" spans="1:11" ht="16" customHeight="1">
      <c r="A16" s="666"/>
      <c r="B16" s="666"/>
      <c r="C16" s="699"/>
      <c r="D16" s="688"/>
      <c r="E16" s="706"/>
      <c r="F16" s="705"/>
      <c r="G16" s="706"/>
      <c r="H16" s="717"/>
      <c r="I16" s="707"/>
      <c r="J16" s="693"/>
      <c r="K16" s="687"/>
    </row>
    <row r="17" spans="1:11" ht="16" customHeight="1">
      <c r="A17" s="697"/>
      <c r="B17" s="666"/>
      <c r="C17" s="699"/>
      <c r="D17" s="688"/>
      <c r="E17" s="706"/>
      <c r="F17" s="705"/>
      <c r="G17" s="706"/>
      <c r="H17" s="717"/>
      <c r="I17" s="707"/>
      <c r="J17" s="693"/>
      <c r="K17" s="687"/>
    </row>
    <row r="18" spans="1:11" ht="16" customHeight="1">
      <c r="A18" s="666"/>
      <c r="B18" s="711"/>
      <c r="C18" s="705"/>
      <c r="D18" s="718"/>
      <c r="E18" s="718"/>
      <c r="F18" s="718"/>
      <c r="G18" s="706"/>
      <c r="H18" s="718"/>
      <c r="I18" s="693"/>
      <c r="J18" s="687"/>
    </row>
    <row r="19" spans="1:11" ht="17" thickBot="1">
      <c r="A19" s="684" t="s">
        <v>553</v>
      </c>
      <c r="B19" s="715" t="s">
        <v>277</v>
      </c>
      <c r="C19" s="719">
        <f>ROUND((+C15),0)</f>
        <v>9000</v>
      </c>
      <c r="D19" s="720"/>
      <c r="E19" s="719">
        <f>ROUND((+E15),0)</f>
        <v>0</v>
      </c>
      <c r="F19" s="720"/>
      <c r="G19" s="719">
        <f>ROUND((+G15),0)</f>
        <v>0</v>
      </c>
      <c r="H19" s="720"/>
      <c r="I19" s="719">
        <f>ROUND((+I15),0)</f>
        <v>9000</v>
      </c>
      <c r="J19" s="687"/>
      <c r="K19" s="689"/>
    </row>
    <row r="20" spans="1:11" ht="17" thickTop="1">
      <c r="A20" s="666"/>
      <c r="B20" s="721"/>
      <c r="C20" s="722"/>
      <c r="D20" s="721"/>
      <c r="E20" s="722"/>
      <c r="F20" s="721"/>
      <c r="G20" s="722"/>
      <c r="H20" s="721"/>
      <c r="I20" s="722"/>
      <c r="J20" s="666"/>
      <c r="K20" s="677"/>
    </row>
    <row r="21" spans="1:11">
      <c r="A21" s="671"/>
      <c r="B21" s="666"/>
      <c r="C21" s="666"/>
      <c r="D21" s="666"/>
      <c r="E21" s="666"/>
      <c r="F21" s="666"/>
      <c r="G21" s="666"/>
      <c r="H21" s="666"/>
      <c r="I21" s="666"/>
      <c r="J21" s="666"/>
      <c r="K21" s="677"/>
    </row>
    <row r="22" spans="1:11">
      <c r="A22" s="666"/>
      <c r="B22" s="666"/>
      <c r="C22" s="666"/>
      <c r="D22" s="666"/>
      <c r="E22" s="666"/>
      <c r="F22" s="666"/>
      <c r="G22" s="666"/>
      <c r="H22" s="666"/>
      <c r="I22" s="666"/>
      <c r="J22" s="687"/>
      <c r="K22" s="677"/>
    </row>
    <row r="23" spans="1:11">
      <c r="A23" s="673"/>
      <c r="B23" s="677"/>
      <c r="C23" s="703"/>
      <c r="D23" s="677"/>
      <c r="E23" s="677"/>
      <c r="F23" s="677"/>
      <c r="G23" s="677"/>
      <c r="H23" s="677"/>
      <c r="I23" s="703"/>
      <c r="J23" s="703"/>
    </row>
    <row r="24" spans="1:11" ht="12.75" customHeight="1">
      <c r="A24" s="673"/>
      <c r="C24" s="703"/>
      <c r="I24" s="703"/>
      <c r="J24" s="703"/>
    </row>
    <row r="25" spans="1:11" ht="12.75" customHeight="1">
      <c r="A25" s="673"/>
      <c r="C25" s="703"/>
      <c r="I25" s="703"/>
      <c r="J25" s="703"/>
    </row>
    <row r="26" spans="1:11">
      <c r="C26" s="723"/>
      <c r="I26" s="703"/>
      <c r="J26" s="703"/>
    </row>
    <row r="27" spans="1:11">
      <c r="C27" s="703"/>
      <c r="I27" s="703"/>
      <c r="J27" s="703"/>
    </row>
    <row r="28" spans="1:11">
      <c r="C28" s="703"/>
      <c r="I28" s="703"/>
      <c r="J28" s="703"/>
    </row>
    <row r="29" spans="1:11">
      <c r="C29" s="703"/>
      <c r="I29" s="703"/>
      <c r="J29" s="703"/>
    </row>
    <row r="30" spans="1:11">
      <c r="C30" s="703"/>
      <c r="I30" s="703"/>
      <c r="J30" s="703"/>
    </row>
    <row r="31" spans="1:11">
      <c r="C31" s="703"/>
      <c r="I31" s="703"/>
      <c r="J31" s="703"/>
    </row>
    <row r="32" spans="1:11">
      <c r="C32" s="703"/>
      <c r="I32" s="703"/>
      <c r="J32" s="703"/>
    </row>
    <row r="33" spans="3:10">
      <c r="C33" s="703"/>
      <c r="I33" s="703"/>
      <c r="J33" s="703"/>
    </row>
    <row r="34" spans="3:10">
      <c r="C34" s="703"/>
      <c r="I34" s="703"/>
      <c r="J34" s="703"/>
    </row>
    <row r="35" spans="3:10">
      <c r="C35" s="703"/>
      <c r="J35" s="703"/>
    </row>
    <row r="36" spans="3:10">
      <c r="C36" s="703"/>
      <c r="J36" s="703"/>
    </row>
    <row r="37" spans="3:10">
      <c r="C37" s="703"/>
      <c r="J37" s="703"/>
    </row>
    <row r="38" spans="3:10">
      <c r="C38" s="703"/>
      <c r="J38" s="703"/>
    </row>
    <row r="39" spans="3:10">
      <c r="C39" s="703"/>
      <c r="J39" s="703"/>
    </row>
    <row r="40" spans="3:10">
      <c r="C40" s="703"/>
      <c r="J40" s="703"/>
    </row>
    <row r="41" spans="3:10">
      <c r="C41" s="703"/>
      <c r="J41" s="703"/>
    </row>
    <row r="42" spans="3:10">
      <c r="C42" s="703"/>
      <c r="J42" s="703"/>
    </row>
    <row r="43" spans="3:10">
      <c r="C43" s="703"/>
      <c r="J43" s="703"/>
    </row>
    <row r="44" spans="3:10">
      <c r="C44" s="703"/>
      <c r="J44" s="703"/>
    </row>
    <row r="45" spans="3:10">
      <c r="C45" s="703"/>
      <c r="J45" s="703"/>
    </row>
    <row r="46" spans="3:10">
      <c r="J46" s="703"/>
    </row>
    <row r="47" spans="3:10">
      <c r="J47" s="703"/>
    </row>
    <row r="48" spans="3:10">
      <c r="J48" s="703"/>
    </row>
    <row r="49" spans="10:10">
      <c r="J49" s="703"/>
    </row>
  </sheetData>
  <printOptions horizontalCentered="1"/>
  <pageMargins left="1" right="0.5" top="0.75" bottom="0.25" header="0.3" footer="0.25"/>
  <pageSetup scale="71" orientation="landscape"/>
  <headerFooter scaleWithDoc="0">
    <oddFooter>&amp;R&amp;8 90</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1436"/>
  <sheetViews>
    <sheetView showGridLines="0" showOutlineSymbols="0" zoomScale="80" zoomScaleNormal="80" zoomScaleSheetLayoutView="90" zoomScalePageLayoutView="80" workbookViewId="0"/>
  </sheetViews>
  <sheetFormatPr baseColWidth="10" defaultColWidth="9.5703125" defaultRowHeight="16" x14ac:dyDescent="0"/>
  <cols>
    <col min="1" max="1" width="72" style="678" customWidth="1"/>
    <col min="2" max="2" width="4.42578125" style="678" customWidth="1"/>
    <col min="3" max="3" width="19.140625" style="678" customWidth="1"/>
    <col min="4" max="4" width="3.140625" style="678" customWidth="1"/>
    <col min="5" max="5" width="19.140625" style="678" customWidth="1"/>
    <col min="6" max="6" width="2.5703125" style="678" customWidth="1"/>
    <col min="7" max="7" width="19.140625" style="763" customWidth="1"/>
    <col min="8" max="8" width="2.42578125" style="678" customWidth="1"/>
    <col min="9" max="9" width="19.140625" style="678" customWidth="1"/>
    <col min="10" max="10" width="3" style="678" bestFit="1" customWidth="1"/>
    <col min="11" max="11" width="11.42578125" style="678" customWidth="1"/>
    <col min="12" max="12" width="9.5703125" style="678" customWidth="1"/>
    <col min="13" max="13" width="13.5703125" style="678" customWidth="1"/>
    <col min="14" max="16384" width="9.5703125" style="678"/>
  </cols>
  <sheetData>
    <row r="1" spans="1:12">
      <c r="A1" s="2278" t="s">
        <v>2647</v>
      </c>
      <c r="B1" s="666"/>
      <c r="C1" s="666"/>
      <c r="D1" s="666"/>
      <c r="E1" s="666"/>
      <c r="F1" s="666"/>
      <c r="G1" s="2279"/>
      <c r="H1" s="666"/>
      <c r="I1" s="666"/>
    </row>
    <row r="2" spans="1:12">
      <c r="A2" s="666"/>
      <c r="B2" s="666"/>
      <c r="C2" s="666"/>
      <c r="D2" s="666"/>
      <c r="E2" s="666"/>
      <c r="F2" s="666"/>
      <c r="G2" s="2279"/>
      <c r="H2" s="666"/>
      <c r="I2" s="666"/>
    </row>
    <row r="3" spans="1:12" ht="17">
      <c r="A3" s="724" t="s">
        <v>128</v>
      </c>
      <c r="B3" s="725"/>
      <c r="C3" s="725"/>
      <c r="D3" s="725"/>
      <c r="E3" s="725"/>
      <c r="F3" s="725"/>
      <c r="G3" s="2279"/>
      <c r="H3" s="725"/>
      <c r="I3" s="725"/>
    </row>
    <row r="4" spans="1:12" ht="17">
      <c r="A4" s="724" t="s">
        <v>554</v>
      </c>
      <c r="B4" s="725"/>
      <c r="C4" s="725"/>
      <c r="D4" s="725"/>
      <c r="E4" s="725"/>
      <c r="F4" s="725"/>
      <c r="G4" s="2279"/>
      <c r="H4" s="725"/>
      <c r="I4" s="729" t="s">
        <v>555</v>
      </c>
    </row>
    <row r="5" spans="1:12" ht="17">
      <c r="A5" s="2263" t="s">
        <v>544</v>
      </c>
      <c r="B5" s="725"/>
      <c r="C5" s="725"/>
      <c r="D5" s="725"/>
      <c r="E5" s="725"/>
      <c r="F5" s="725"/>
      <c r="G5" s="2279"/>
      <c r="H5" s="725"/>
      <c r="I5" s="725"/>
    </row>
    <row r="6" spans="1:12" ht="17">
      <c r="A6" s="724" t="s">
        <v>2585</v>
      </c>
      <c r="B6" s="725"/>
      <c r="C6" s="725"/>
      <c r="D6" s="725"/>
      <c r="E6" s="725"/>
      <c r="F6" s="725"/>
      <c r="G6" s="2279"/>
      <c r="H6" s="725"/>
      <c r="I6" s="725"/>
    </row>
    <row r="7" spans="1:12" ht="17">
      <c r="A7" s="727" t="s">
        <v>132</v>
      </c>
      <c r="B7" s="725"/>
      <c r="C7" s="725"/>
      <c r="D7" s="725"/>
      <c r="E7" s="725"/>
      <c r="F7" s="725"/>
      <c r="G7" s="2279"/>
      <c r="H7" s="725"/>
      <c r="I7" s="725"/>
    </row>
    <row r="8" spans="1:12">
      <c r="A8" s="2280"/>
      <c r="B8" s="725"/>
      <c r="C8" s="725"/>
      <c r="D8" s="725"/>
      <c r="E8" s="725"/>
      <c r="F8" s="725"/>
      <c r="G8" s="2279"/>
      <c r="H8" s="725"/>
      <c r="I8" s="725"/>
    </row>
    <row r="9" spans="1:12">
      <c r="A9" s="725"/>
      <c r="B9" s="725"/>
      <c r="C9" s="728" t="s">
        <v>529</v>
      </c>
      <c r="D9" s="728"/>
      <c r="E9" s="728"/>
      <c r="F9" s="728"/>
      <c r="G9" s="2281"/>
      <c r="H9" s="728"/>
      <c r="I9" s="728" t="s">
        <v>529</v>
      </c>
    </row>
    <row r="10" spans="1:12">
      <c r="A10" s="725"/>
      <c r="B10" s="725"/>
      <c r="C10" s="730" t="s">
        <v>2593</v>
      </c>
      <c r="D10" s="728"/>
      <c r="E10" s="728" t="s">
        <v>530</v>
      </c>
      <c r="F10" s="728"/>
      <c r="G10" s="2282" t="s">
        <v>556</v>
      </c>
      <c r="H10" s="728"/>
      <c r="I10" s="731" t="s">
        <v>2592</v>
      </c>
    </row>
    <row r="11" spans="1:12">
      <c r="A11" s="732" t="s">
        <v>557</v>
      </c>
      <c r="B11" s="725"/>
      <c r="C11" s="2283"/>
      <c r="D11" s="2284"/>
      <c r="E11" s="2283"/>
      <c r="F11" s="2284"/>
      <c r="G11" s="2285"/>
      <c r="H11" s="2284"/>
      <c r="I11" s="2283"/>
    </row>
    <row r="12" spans="1:12" ht="16" customHeight="1">
      <c r="A12" s="725" t="s">
        <v>558</v>
      </c>
      <c r="C12" s="733"/>
      <c r="D12" s="666"/>
      <c r="E12" s="734"/>
      <c r="F12" s="666"/>
      <c r="G12" s="2279"/>
      <c r="H12" s="734"/>
      <c r="I12" s="733"/>
      <c r="K12" s="736"/>
    </row>
    <row r="13" spans="1:12" ht="16" customHeight="1">
      <c r="A13" s="725" t="s">
        <v>559</v>
      </c>
      <c r="B13" s="737" t="s">
        <v>277</v>
      </c>
      <c r="C13" s="738">
        <v>17299</v>
      </c>
      <c r="D13" s="725"/>
      <c r="E13" s="739">
        <v>0</v>
      </c>
      <c r="F13" s="725"/>
      <c r="G13" s="2288">
        <v>0</v>
      </c>
      <c r="H13" s="734"/>
      <c r="I13" s="656">
        <f>ROUND(SUM(C13)+(E13)-SUM(G13),0)</f>
        <v>17299</v>
      </c>
      <c r="K13" s="740"/>
      <c r="L13" s="741"/>
    </row>
    <row r="14" spans="1:12" ht="16" customHeight="1">
      <c r="A14" s="725" t="s">
        <v>560</v>
      </c>
      <c r="B14" s="737" t="s">
        <v>277</v>
      </c>
      <c r="C14" s="2286"/>
      <c r="D14" s="725"/>
      <c r="E14" s="2286"/>
      <c r="F14" s="725"/>
      <c r="G14" s="2289"/>
      <c r="H14" s="725"/>
      <c r="I14" s="2290"/>
      <c r="K14" s="740"/>
      <c r="L14" s="741"/>
    </row>
    <row r="15" spans="1:12" ht="16" customHeight="1">
      <c r="A15" s="725" t="s">
        <v>561</v>
      </c>
      <c r="B15" s="741" t="s">
        <v>277</v>
      </c>
      <c r="C15" s="742">
        <v>923</v>
      </c>
      <c r="E15" s="743">
        <v>0</v>
      </c>
      <c r="G15" s="2291">
        <v>0</v>
      </c>
      <c r="H15" s="666"/>
      <c r="I15" s="663">
        <f>ROUND(SUM(C15)+(E15)-SUM(G15),0)</f>
        <v>923</v>
      </c>
      <c r="K15" s="740"/>
      <c r="L15" s="741"/>
    </row>
    <row r="16" spans="1:12" ht="16" customHeight="1">
      <c r="A16" s="725" t="s">
        <v>562</v>
      </c>
      <c r="B16" s="737" t="s">
        <v>277</v>
      </c>
      <c r="C16" s="733"/>
      <c r="D16" s="725"/>
      <c r="E16" s="734"/>
      <c r="F16" s="725"/>
      <c r="G16" s="2292"/>
      <c r="H16" s="734"/>
      <c r="I16" s="744"/>
      <c r="K16" s="736"/>
    </row>
    <row r="17" spans="1:14" ht="16" customHeight="1">
      <c r="A17" s="725" t="s">
        <v>563</v>
      </c>
      <c r="B17" s="737" t="s">
        <v>277</v>
      </c>
      <c r="C17" s="733">
        <v>1116</v>
      </c>
      <c r="D17" s="725"/>
      <c r="E17" s="743">
        <v>0</v>
      </c>
      <c r="F17" s="745"/>
      <c r="G17" s="2291">
        <v>0</v>
      </c>
      <c r="H17" s="746"/>
      <c r="I17" s="663">
        <f>ROUND(SUM(C17)+(E17)-SUM(G17),0)</f>
        <v>1116</v>
      </c>
      <c r="K17" s="736"/>
    </row>
    <row r="18" spans="1:14" ht="16" customHeight="1">
      <c r="A18" s="725" t="s">
        <v>564</v>
      </c>
      <c r="B18" s="737" t="s">
        <v>277</v>
      </c>
      <c r="C18" s="733">
        <v>630</v>
      </c>
      <c r="D18" s="725"/>
      <c r="E18" s="743">
        <v>0</v>
      </c>
      <c r="F18" s="725"/>
      <c r="G18" s="2291">
        <v>0</v>
      </c>
      <c r="H18" s="746"/>
      <c r="I18" s="663">
        <f>ROUND(SUM(C18)+(E18)-SUM(G18),0)</f>
        <v>630</v>
      </c>
      <c r="K18" s="736"/>
    </row>
    <row r="19" spans="1:14" ht="16" customHeight="1">
      <c r="A19" s="725" t="s">
        <v>565</v>
      </c>
      <c r="B19" s="737" t="s">
        <v>277</v>
      </c>
      <c r="C19" s="733"/>
      <c r="D19" s="725"/>
      <c r="E19" s="734"/>
      <c r="F19" s="725"/>
      <c r="G19" s="2292"/>
      <c r="H19" s="734"/>
      <c r="I19" s="744"/>
      <c r="K19" s="736"/>
    </row>
    <row r="20" spans="1:14" ht="16" customHeight="1">
      <c r="A20" s="725" t="s">
        <v>566</v>
      </c>
      <c r="B20" s="737" t="s">
        <v>277</v>
      </c>
      <c r="C20" s="743">
        <v>0</v>
      </c>
      <c r="D20" s="725"/>
      <c r="E20" s="743">
        <v>0</v>
      </c>
      <c r="F20" s="747"/>
      <c r="G20" s="2291">
        <v>0</v>
      </c>
      <c r="H20" s="734"/>
      <c r="I20" s="519">
        <f>ROUND(SUM(C20)+(E20)-SUM(G20),0)</f>
        <v>0</v>
      </c>
      <c r="K20" s="736"/>
      <c r="M20" s="734"/>
    </row>
    <row r="21" spans="1:14" ht="16" customHeight="1">
      <c r="A21" s="748" t="s">
        <v>567</v>
      </c>
      <c r="B21" s="737" t="s">
        <v>277</v>
      </c>
      <c r="C21" s="735">
        <v>18926</v>
      </c>
      <c r="D21" s="749"/>
      <c r="E21" s="1975">
        <v>3452</v>
      </c>
      <c r="F21" s="747"/>
      <c r="G21" s="2291">
        <v>0</v>
      </c>
      <c r="H21" s="734"/>
      <c r="I21" s="663">
        <f>ROUND(SUM(C21)+(E21)-SUM(G21),0)</f>
        <v>22378</v>
      </c>
      <c r="J21" s="750"/>
      <c r="K21" s="736"/>
      <c r="M21" s="734"/>
    </row>
    <row r="22" spans="1:14" ht="16" customHeight="1">
      <c r="A22" s="725" t="s">
        <v>568</v>
      </c>
      <c r="B22" s="737" t="s">
        <v>277</v>
      </c>
      <c r="C22" s="733"/>
      <c r="D22" s="725"/>
      <c r="E22" s="734"/>
      <c r="F22" s="725"/>
      <c r="G22" s="2292"/>
      <c r="H22" s="734"/>
      <c r="I22" s="751"/>
      <c r="K22" s="736"/>
      <c r="M22" s="734"/>
    </row>
    <row r="23" spans="1:14" ht="16" customHeight="1">
      <c r="A23" s="725" t="s">
        <v>569</v>
      </c>
      <c r="B23" s="737" t="s">
        <v>277</v>
      </c>
      <c r="C23" s="733">
        <v>3380</v>
      </c>
      <c r="D23" s="725"/>
      <c r="E23" s="743">
        <v>0</v>
      </c>
      <c r="F23" s="747"/>
      <c r="G23" s="2291">
        <v>0</v>
      </c>
      <c r="H23" s="746"/>
      <c r="I23" s="663">
        <f>ROUND(SUM(C23)+(E23)-SUM(G23),0)</f>
        <v>3380</v>
      </c>
      <c r="K23" s="736"/>
      <c r="M23" s="734"/>
    </row>
    <row r="24" spans="1:14" ht="16" customHeight="1">
      <c r="A24" s="725" t="s">
        <v>570</v>
      </c>
      <c r="B24" s="737" t="s">
        <v>277</v>
      </c>
      <c r="C24" s="733"/>
      <c r="D24" s="725"/>
      <c r="E24" s="734"/>
      <c r="F24" s="725"/>
      <c r="G24" s="2292"/>
      <c r="H24" s="734"/>
      <c r="I24" s="751"/>
      <c r="K24" s="736"/>
      <c r="M24" s="752"/>
    </row>
    <row r="25" spans="1:14" ht="16" customHeight="1">
      <c r="A25" s="748" t="s">
        <v>571</v>
      </c>
      <c r="B25" s="737" t="s">
        <v>277</v>
      </c>
      <c r="C25" s="733">
        <v>18630</v>
      </c>
      <c r="D25" s="725"/>
      <c r="E25" s="743">
        <v>0</v>
      </c>
      <c r="F25" s="747"/>
      <c r="G25" s="2291">
        <v>0</v>
      </c>
      <c r="H25" s="734"/>
      <c r="I25" s="663">
        <f>ROUND(SUM(C25)+(E25)-SUM(G25),0)</f>
        <v>18630</v>
      </c>
      <c r="K25" s="736"/>
      <c r="M25" s="734"/>
    </row>
    <row r="26" spans="1:14" ht="16" customHeight="1">
      <c r="A26" s="725" t="s">
        <v>572</v>
      </c>
      <c r="B26" s="737" t="s">
        <v>277</v>
      </c>
      <c r="C26" s="733">
        <v>3230</v>
      </c>
      <c r="D26" s="725"/>
      <c r="E26" s="743">
        <v>0</v>
      </c>
      <c r="F26" s="725"/>
      <c r="G26" s="2291">
        <v>0</v>
      </c>
      <c r="H26" s="734"/>
      <c r="I26" s="663">
        <f>ROUND(SUM(C26)+(E26)-SUM(G26),0)</f>
        <v>3230</v>
      </c>
      <c r="K26" s="736"/>
      <c r="M26" s="734"/>
      <c r="N26" s="736"/>
    </row>
    <row r="27" spans="1:14" ht="16" customHeight="1">
      <c r="A27" s="725" t="s">
        <v>573</v>
      </c>
      <c r="B27" s="737" t="s">
        <v>277</v>
      </c>
      <c r="C27" s="733">
        <v>3706</v>
      </c>
      <c r="D27" s="725"/>
      <c r="E27" s="743">
        <v>0</v>
      </c>
      <c r="F27" s="747"/>
      <c r="G27" s="2291">
        <v>0</v>
      </c>
      <c r="H27" s="734"/>
      <c r="I27" s="663">
        <f>ROUND(SUM(C27)+(E27)-SUM(G27),0)</f>
        <v>3706</v>
      </c>
      <c r="J27" s="753"/>
      <c r="K27" s="736"/>
      <c r="M27" s="734"/>
      <c r="N27" s="736"/>
    </row>
    <row r="28" spans="1:14" ht="16" customHeight="1">
      <c r="A28" s="725" t="s">
        <v>574</v>
      </c>
      <c r="B28" s="725" t="s">
        <v>6</v>
      </c>
      <c r="C28" s="725"/>
      <c r="D28" s="725"/>
      <c r="E28" s="725"/>
      <c r="F28" s="725"/>
      <c r="G28" s="2292"/>
      <c r="H28" s="725"/>
      <c r="I28" s="754"/>
      <c r="J28" s="753"/>
      <c r="K28" s="736"/>
      <c r="M28" s="734"/>
      <c r="N28" s="736"/>
    </row>
    <row r="29" spans="1:14" ht="16" customHeight="1">
      <c r="A29" s="725" t="s">
        <v>575</v>
      </c>
      <c r="B29" s="725" t="s">
        <v>6</v>
      </c>
      <c r="C29" s="744">
        <v>5000</v>
      </c>
      <c r="D29" s="726"/>
      <c r="E29" s="743">
        <v>0</v>
      </c>
      <c r="F29" s="726"/>
      <c r="G29" s="2291">
        <v>0</v>
      </c>
      <c r="H29" s="726"/>
      <c r="I29" s="663">
        <f t="shared" ref="I29:I40" si="0">ROUND(SUM(C29)+(E29)-SUM(G29),0)</f>
        <v>5000</v>
      </c>
      <c r="J29" s="753"/>
      <c r="K29" s="736"/>
      <c r="M29" s="734"/>
      <c r="N29" s="736"/>
    </row>
    <row r="30" spans="1:14" ht="16" customHeight="1">
      <c r="A30" s="725" t="s">
        <v>576</v>
      </c>
      <c r="B30" s="726" t="s">
        <v>6</v>
      </c>
      <c r="C30" s="744">
        <v>6500</v>
      </c>
      <c r="D30" s="752"/>
      <c r="E30" s="743">
        <v>0</v>
      </c>
      <c r="F30" s="752"/>
      <c r="G30" s="2291">
        <v>0</v>
      </c>
      <c r="H30" s="726"/>
      <c r="I30" s="663">
        <f t="shared" si="0"/>
        <v>6500</v>
      </c>
      <c r="J30" s="753"/>
      <c r="K30" s="736"/>
      <c r="M30" s="734"/>
      <c r="N30" s="736"/>
    </row>
    <row r="31" spans="1:14" ht="16" customHeight="1">
      <c r="A31" s="725" t="s">
        <v>577</v>
      </c>
      <c r="B31" s="737" t="s">
        <v>277</v>
      </c>
      <c r="C31" s="744">
        <v>1400</v>
      </c>
      <c r="D31" s="734"/>
      <c r="E31" s="743">
        <v>0</v>
      </c>
      <c r="F31" s="734"/>
      <c r="G31" s="2291">
        <v>0</v>
      </c>
      <c r="H31" s="725"/>
      <c r="I31" s="663">
        <f t="shared" si="0"/>
        <v>1400</v>
      </c>
      <c r="J31" s="753"/>
      <c r="K31" s="736"/>
      <c r="M31" s="734"/>
      <c r="N31" s="736"/>
    </row>
    <row r="32" spans="1:14" ht="16" customHeight="1">
      <c r="A32" s="725" t="s">
        <v>578</v>
      </c>
      <c r="B32" s="737" t="s">
        <v>277</v>
      </c>
      <c r="C32" s="744">
        <v>5399</v>
      </c>
      <c r="D32" s="734"/>
      <c r="E32" s="743">
        <v>0</v>
      </c>
      <c r="F32" s="734"/>
      <c r="G32" s="2291">
        <v>0</v>
      </c>
      <c r="H32" s="725"/>
      <c r="I32" s="663">
        <f t="shared" si="0"/>
        <v>5399</v>
      </c>
      <c r="J32" s="753"/>
      <c r="K32" s="736"/>
      <c r="M32" s="734"/>
      <c r="N32" s="736"/>
    </row>
    <row r="33" spans="1:14" ht="16" customHeight="1">
      <c r="A33" s="725" t="s">
        <v>579</v>
      </c>
      <c r="B33" s="737" t="s">
        <v>277</v>
      </c>
      <c r="C33" s="744">
        <v>22420</v>
      </c>
      <c r="D33" s="734"/>
      <c r="E33" s="743">
        <v>0</v>
      </c>
      <c r="F33" s="734"/>
      <c r="G33" s="2291">
        <v>0</v>
      </c>
      <c r="H33" s="725"/>
      <c r="I33" s="663">
        <f t="shared" si="0"/>
        <v>22420</v>
      </c>
      <c r="J33" s="753"/>
      <c r="K33" s="736"/>
      <c r="M33" s="734"/>
      <c r="N33" s="736"/>
    </row>
    <row r="34" spans="1:14" ht="16" customHeight="1">
      <c r="A34" s="725" t="s">
        <v>580</v>
      </c>
      <c r="B34" s="737" t="s">
        <v>277</v>
      </c>
      <c r="C34" s="733">
        <v>39433</v>
      </c>
      <c r="D34" s="734"/>
      <c r="E34" s="743">
        <v>0</v>
      </c>
      <c r="F34" s="734"/>
      <c r="G34" s="2291">
        <v>0</v>
      </c>
      <c r="H34" s="725"/>
      <c r="I34" s="663">
        <f t="shared" si="0"/>
        <v>39433</v>
      </c>
      <c r="J34" s="753"/>
      <c r="K34" s="736"/>
      <c r="M34" s="734"/>
      <c r="N34" s="736"/>
    </row>
    <row r="35" spans="1:14" ht="16" customHeight="1">
      <c r="A35" s="725" t="s">
        <v>581</v>
      </c>
      <c r="B35" s="737" t="s">
        <v>277</v>
      </c>
      <c r="C35" s="744">
        <v>348</v>
      </c>
      <c r="D35" s="734"/>
      <c r="E35" s="743">
        <v>0</v>
      </c>
      <c r="F35" s="734"/>
      <c r="G35" s="2291">
        <v>0</v>
      </c>
      <c r="H35" s="725"/>
      <c r="I35" s="663">
        <f t="shared" si="0"/>
        <v>348</v>
      </c>
      <c r="J35" s="753"/>
      <c r="K35" s="736"/>
      <c r="M35" s="734"/>
      <c r="N35" s="736"/>
    </row>
    <row r="36" spans="1:14" ht="16" customHeight="1">
      <c r="A36" s="725" t="s">
        <v>582</v>
      </c>
      <c r="B36" s="737" t="s">
        <v>277</v>
      </c>
      <c r="C36" s="744">
        <v>11234</v>
      </c>
      <c r="D36" s="734"/>
      <c r="E36" s="743">
        <v>0</v>
      </c>
      <c r="F36" s="734"/>
      <c r="G36" s="2291">
        <v>0</v>
      </c>
      <c r="H36" s="725"/>
      <c r="I36" s="663">
        <f t="shared" si="0"/>
        <v>11234</v>
      </c>
      <c r="J36" s="753"/>
      <c r="K36" s="736"/>
      <c r="M36" s="734"/>
      <c r="N36" s="736"/>
    </row>
    <row r="37" spans="1:14" ht="16" customHeight="1">
      <c r="A37" s="725" t="s">
        <v>583</v>
      </c>
      <c r="B37" s="737" t="s">
        <v>277</v>
      </c>
      <c r="C37" s="735">
        <v>3010</v>
      </c>
      <c r="D37" s="734"/>
      <c r="E37" s="743">
        <v>0</v>
      </c>
      <c r="F37" s="734"/>
      <c r="G37" s="2291">
        <v>0</v>
      </c>
      <c r="H37" s="725"/>
      <c r="I37" s="663">
        <f t="shared" si="0"/>
        <v>3010</v>
      </c>
      <c r="J37" s="753"/>
      <c r="K37" s="736"/>
      <c r="M37" s="734"/>
      <c r="N37" s="736"/>
    </row>
    <row r="38" spans="1:14" ht="16" customHeight="1">
      <c r="A38" s="725" t="s">
        <v>584</v>
      </c>
      <c r="B38" s="737" t="s">
        <v>277</v>
      </c>
      <c r="C38" s="733">
        <v>1929</v>
      </c>
      <c r="D38" s="734"/>
      <c r="E38" s="743">
        <v>0</v>
      </c>
      <c r="F38" s="734"/>
      <c r="G38" s="2291">
        <v>0</v>
      </c>
      <c r="H38" s="725"/>
      <c r="I38" s="663">
        <f t="shared" si="0"/>
        <v>1929</v>
      </c>
      <c r="J38" s="753"/>
      <c r="K38" s="736"/>
      <c r="M38" s="734"/>
      <c r="N38" s="736"/>
    </row>
    <row r="39" spans="1:14" ht="16" customHeight="1">
      <c r="A39" s="725" t="s">
        <v>585</v>
      </c>
      <c r="B39" s="737" t="s">
        <v>277</v>
      </c>
      <c r="C39" s="733">
        <v>1146</v>
      </c>
      <c r="D39" s="734"/>
      <c r="E39" s="743">
        <v>0</v>
      </c>
      <c r="F39" s="734"/>
      <c r="G39" s="2291">
        <v>0</v>
      </c>
      <c r="H39" s="725"/>
      <c r="I39" s="663">
        <f t="shared" si="0"/>
        <v>1146</v>
      </c>
      <c r="J39" s="753"/>
      <c r="K39" s="736"/>
      <c r="M39" s="734"/>
      <c r="N39" s="736"/>
    </row>
    <row r="40" spans="1:14" ht="16" customHeight="1">
      <c r="A40" s="725" t="s">
        <v>586</v>
      </c>
      <c r="B40" s="737" t="s">
        <v>277</v>
      </c>
      <c r="C40" s="733">
        <v>6995</v>
      </c>
      <c r="D40" s="734"/>
      <c r="E40" s="743">
        <v>0</v>
      </c>
      <c r="F40" s="734"/>
      <c r="G40" s="2291">
        <v>0</v>
      </c>
      <c r="H40" s="725"/>
      <c r="I40" s="663">
        <f t="shared" si="0"/>
        <v>6995</v>
      </c>
      <c r="J40" s="753"/>
      <c r="K40" s="736"/>
      <c r="M40" s="734"/>
      <c r="N40" s="736"/>
    </row>
    <row r="41" spans="1:14" ht="16" customHeight="1">
      <c r="A41" s="695" t="s">
        <v>1969</v>
      </c>
      <c r="B41" s="737" t="s">
        <v>277</v>
      </c>
      <c r="C41" s="755">
        <f>ROUND(SUM(C13:C40),0)</f>
        <v>172654</v>
      </c>
      <c r="D41" s="734"/>
      <c r="E41" s="755">
        <f>ROUND(SUM(E13:E40),0)</f>
        <v>3452</v>
      </c>
      <c r="F41" s="734"/>
      <c r="G41" s="2293">
        <f>ROUND(SUM(G13:G40),0)</f>
        <v>0</v>
      </c>
      <c r="H41" s="725"/>
      <c r="I41" s="755">
        <f>ROUND(SUM(I13:I40),0)</f>
        <v>176106</v>
      </c>
      <c r="J41" s="753"/>
      <c r="K41" s="736"/>
      <c r="M41" s="734"/>
      <c r="N41" s="736"/>
    </row>
    <row r="42" spans="1:14" ht="13.5" customHeight="1">
      <c r="A42" s="725"/>
      <c r="B42" s="737"/>
      <c r="C42" s="733"/>
      <c r="D42" s="734"/>
      <c r="E42" s="743"/>
      <c r="F42" s="734"/>
      <c r="G42" s="2294"/>
      <c r="H42" s="725"/>
      <c r="I42" s="663"/>
      <c r="J42" s="753"/>
      <c r="K42" s="736"/>
      <c r="M42" s="734"/>
      <c r="N42" s="736"/>
    </row>
    <row r="43" spans="1:14">
      <c r="A43" s="756" t="s">
        <v>587</v>
      </c>
      <c r="B43" s="725" t="s">
        <v>6</v>
      </c>
      <c r="C43" s="733"/>
      <c r="D43" s="725"/>
      <c r="E43" s="733"/>
      <c r="F43" s="725"/>
      <c r="G43" s="2279"/>
      <c r="H43" s="725"/>
      <c r="I43" s="733"/>
      <c r="J43" s="687"/>
      <c r="K43" s="757"/>
      <c r="M43" s="736"/>
    </row>
    <row r="44" spans="1:14" ht="16" customHeight="1">
      <c r="A44" s="725" t="s">
        <v>562</v>
      </c>
      <c r="B44" s="725" t="s">
        <v>6</v>
      </c>
      <c r="C44" s="733"/>
      <c r="D44" s="725"/>
      <c r="E44" s="758"/>
      <c r="F44" s="725"/>
      <c r="G44" s="2279"/>
      <c r="H44" s="725"/>
      <c r="I44" s="733"/>
      <c r="J44" s="687"/>
      <c r="K44" s="757"/>
      <c r="M44" s="736"/>
    </row>
    <row r="45" spans="1:14">
      <c r="A45" s="725" t="s">
        <v>588</v>
      </c>
      <c r="B45" s="737" t="s">
        <v>277</v>
      </c>
      <c r="C45" s="744">
        <v>21529</v>
      </c>
      <c r="D45" s="732"/>
      <c r="E45" s="2295">
        <v>9</v>
      </c>
      <c r="F45" s="734"/>
      <c r="G45" s="2291">
        <v>0</v>
      </c>
      <c r="H45" s="725"/>
      <c r="I45" s="663">
        <f>ROUND(SUM(C45)+(E45)-SUM(G45),0)</f>
        <v>21538</v>
      </c>
      <c r="J45" s="687"/>
      <c r="K45" s="757"/>
      <c r="M45" s="759"/>
    </row>
    <row r="46" spans="1:14" ht="16" customHeight="1">
      <c r="A46" s="695" t="s">
        <v>589</v>
      </c>
      <c r="B46" s="748" t="s">
        <v>277</v>
      </c>
      <c r="C46" s="755">
        <f>ROUND(SUM(C45),0)</f>
        <v>21529</v>
      </c>
      <c r="D46" s="760"/>
      <c r="E46" s="761">
        <f>ROUND(SUM(E45),0)</f>
        <v>9</v>
      </c>
      <c r="F46" s="734"/>
      <c r="G46" s="2293">
        <f>ROUND(SUM(G45),0)</f>
        <v>0</v>
      </c>
      <c r="H46" s="760"/>
      <c r="I46" s="755">
        <f>ROUND(SUM(I45),0)</f>
        <v>21538</v>
      </c>
      <c r="J46" s="677"/>
      <c r="K46" s="757"/>
      <c r="M46" s="759"/>
    </row>
    <row r="47" spans="1:14" ht="16" customHeight="1">
      <c r="A47" s="695"/>
      <c r="B47" s="748"/>
      <c r="C47" s="762"/>
      <c r="D47" s="760"/>
      <c r="E47" s="762"/>
      <c r="F47" s="760"/>
      <c r="G47" s="2296"/>
      <c r="H47" s="760"/>
      <c r="I47" s="762"/>
      <c r="J47" s="677"/>
      <c r="K47" s="757"/>
      <c r="M47" s="759"/>
    </row>
    <row r="48" spans="1:14" ht="16" customHeight="1">
      <c r="A48" s="725"/>
      <c r="B48" s="737" t="s">
        <v>277</v>
      </c>
      <c r="C48" s="758"/>
      <c r="D48" s="725"/>
      <c r="E48" s="758"/>
      <c r="F48" s="725"/>
      <c r="G48" s="2287"/>
      <c r="H48" s="725"/>
      <c r="I48" s="758"/>
      <c r="J48" s="677"/>
      <c r="K48" s="757"/>
      <c r="M48" s="759"/>
    </row>
    <row r="49" spans="1:11" ht="16" customHeight="1" thickBot="1">
      <c r="A49" s="684" t="s">
        <v>1968</v>
      </c>
      <c r="B49" s="737" t="s">
        <v>277</v>
      </c>
      <c r="C49" s="2297">
        <f>ROUND(SUM(C41+C46),0)</f>
        <v>194183</v>
      </c>
      <c r="D49" s="729"/>
      <c r="E49" s="2297">
        <f>ROUND(SUM(E41+E46),0)</f>
        <v>3461</v>
      </c>
      <c r="F49" s="729"/>
      <c r="G49" s="2297">
        <f>ROUND(SUM(G41+G46),0)</f>
        <v>0</v>
      </c>
      <c r="H49" s="729"/>
      <c r="I49" s="2297">
        <f>ROUND(SUM(I41+I46),0)</f>
        <v>197644</v>
      </c>
      <c r="J49" s="677"/>
      <c r="K49" s="757"/>
    </row>
    <row r="50" spans="1:11" ht="17" thickTop="1">
      <c r="A50" s="677"/>
      <c r="B50" s="677"/>
      <c r="C50" s="677"/>
      <c r="D50" s="677"/>
      <c r="E50" s="677"/>
      <c r="F50" s="677"/>
      <c r="H50" s="677"/>
      <c r="I50" s="764"/>
      <c r="K50" s="757"/>
    </row>
    <row r="51" spans="1:11" ht="53.25" customHeight="1">
      <c r="A51" s="2423"/>
      <c r="B51" s="2424"/>
      <c r="C51" s="2424"/>
      <c r="D51" s="2424"/>
      <c r="E51" s="2424"/>
      <c r="F51" s="2424"/>
      <c r="G51" s="2424"/>
      <c r="H51" s="2424"/>
      <c r="I51" s="2424"/>
      <c r="K51" s="757"/>
    </row>
    <row r="52" spans="1:11">
      <c r="A52" s="677"/>
      <c r="B52" s="677"/>
      <c r="C52" s="677"/>
      <c r="D52" s="677"/>
      <c r="E52" s="677"/>
      <c r="F52" s="677"/>
      <c r="H52" s="677"/>
      <c r="I52" s="764"/>
      <c r="K52" s="757"/>
    </row>
    <row r="53" spans="1:11" ht="33" customHeight="1">
      <c r="A53" s="2423"/>
      <c r="B53" s="2424"/>
      <c r="C53" s="2424"/>
      <c r="D53" s="2424"/>
      <c r="E53" s="2424"/>
      <c r="F53" s="2424"/>
      <c r="G53" s="2424"/>
      <c r="H53" s="2424"/>
      <c r="I53" s="2424"/>
      <c r="K53" s="757"/>
    </row>
    <row r="54" spans="1:11">
      <c r="A54" s="677"/>
      <c r="B54" s="677"/>
      <c r="C54" s="677"/>
      <c r="D54" s="677"/>
      <c r="E54" s="677"/>
      <c r="F54" s="677"/>
      <c r="H54" s="677"/>
      <c r="I54" s="764"/>
      <c r="K54" s="757"/>
    </row>
    <row r="55" spans="1:11">
      <c r="B55" s="677"/>
      <c r="C55" s="677"/>
      <c r="D55" s="677"/>
      <c r="E55" s="677"/>
      <c r="F55" s="677"/>
      <c r="H55" s="677"/>
      <c r="I55" s="764"/>
      <c r="K55" s="757"/>
    </row>
    <row r="56" spans="1:11">
      <c r="A56" s="666"/>
      <c r="I56" s="765"/>
      <c r="K56" s="757"/>
    </row>
    <row r="57" spans="1:11" ht="7.5" customHeight="1">
      <c r="A57" s="766"/>
      <c r="I57" s="765"/>
      <c r="K57" s="757"/>
    </row>
    <row r="58" spans="1:11" ht="16" customHeight="1">
      <c r="A58" s="725"/>
      <c r="I58" s="765"/>
      <c r="K58" s="757"/>
    </row>
    <row r="59" spans="1:11" ht="16" customHeight="1">
      <c r="I59" s="765"/>
      <c r="K59" s="757"/>
    </row>
    <row r="60" spans="1:11" ht="16" customHeight="1">
      <c r="I60" s="765"/>
      <c r="K60" s="757"/>
    </row>
    <row r="61" spans="1:11">
      <c r="I61" s="765"/>
      <c r="K61" s="757"/>
    </row>
    <row r="62" spans="1:11">
      <c r="I62" s="765"/>
      <c r="K62" s="757"/>
    </row>
    <row r="63" spans="1:11">
      <c r="I63" s="765"/>
      <c r="K63" s="757"/>
    </row>
    <row r="64" spans="1:11">
      <c r="I64" s="765"/>
      <c r="K64" s="757"/>
    </row>
    <row r="65" spans="9:11">
      <c r="I65" s="765"/>
      <c r="K65" s="757"/>
    </row>
    <row r="66" spans="9:11">
      <c r="I66" s="765"/>
      <c r="K66" s="757"/>
    </row>
    <row r="67" spans="9:11">
      <c r="I67" s="765"/>
      <c r="K67" s="757"/>
    </row>
    <row r="68" spans="9:11">
      <c r="I68" s="765"/>
      <c r="K68" s="757"/>
    </row>
    <row r="69" spans="9:11">
      <c r="I69" s="765"/>
      <c r="K69" s="757"/>
    </row>
    <row r="70" spans="9:11">
      <c r="I70" s="765"/>
      <c r="K70" s="757"/>
    </row>
    <row r="71" spans="9:11">
      <c r="I71" s="765"/>
      <c r="K71" s="757"/>
    </row>
    <row r="72" spans="9:11">
      <c r="I72" s="765"/>
      <c r="K72" s="757"/>
    </row>
    <row r="73" spans="9:11">
      <c r="I73" s="765"/>
      <c r="K73" s="757"/>
    </row>
    <row r="74" spans="9:11">
      <c r="I74" s="765"/>
      <c r="K74" s="757"/>
    </row>
    <row r="75" spans="9:11">
      <c r="I75" s="765"/>
      <c r="K75" s="757"/>
    </row>
    <row r="76" spans="9:11">
      <c r="I76" s="765"/>
      <c r="K76" s="757"/>
    </row>
    <row r="77" spans="9:11">
      <c r="I77" s="765"/>
      <c r="K77" s="757"/>
    </row>
    <row r="78" spans="9:11">
      <c r="I78" s="765"/>
    </row>
    <row r="79" spans="9:11">
      <c r="I79" s="765"/>
    </row>
    <row r="80" spans="9:11">
      <c r="I80" s="765"/>
    </row>
    <row r="81" spans="9:9">
      <c r="I81" s="765"/>
    </row>
    <row r="82" spans="9:9">
      <c r="I82" s="765"/>
    </row>
    <row r="83" spans="9:9">
      <c r="I83" s="765"/>
    </row>
    <row r="84" spans="9:9">
      <c r="I84" s="765"/>
    </row>
    <row r="85" spans="9:9">
      <c r="I85" s="765"/>
    </row>
    <row r="86" spans="9:9">
      <c r="I86" s="765"/>
    </row>
    <row r="87" spans="9:9">
      <c r="I87" s="765"/>
    </row>
    <row r="88" spans="9:9">
      <c r="I88" s="765"/>
    </row>
    <row r="89" spans="9:9">
      <c r="I89" s="765"/>
    </row>
    <row r="90" spans="9:9">
      <c r="I90" s="765"/>
    </row>
    <row r="91" spans="9:9">
      <c r="I91" s="765"/>
    </row>
    <row r="92" spans="9:9">
      <c r="I92" s="765"/>
    </row>
    <row r="93" spans="9:9">
      <c r="I93" s="765"/>
    </row>
    <row r="94" spans="9:9">
      <c r="I94" s="765"/>
    </row>
    <row r="95" spans="9:9">
      <c r="I95" s="765"/>
    </row>
    <row r="96" spans="9:9">
      <c r="I96" s="765"/>
    </row>
    <row r="97" spans="9:9">
      <c r="I97" s="765"/>
    </row>
    <row r="98" spans="9:9">
      <c r="I98" s="765"/>
    </row>
    <row r="99" spans="9:9">
      <c r="I99" s="765"/>
    </row>
    <row r="100" spans="9:9">
      <c r="I100" s="765"/>
    </row>
    <row r="101" spans="9:9">
      <c r="I101" s="765"/>
    </row>
    <row r="102" spans="9:9">
      <c r="I102" s="765"/>
    </row>
    <row r="103" spans="9:9">
      <c r="I103" s="765"/>
    </row>
    <row r="104" spans="9:9">
      <c r="I104" s="765"/>
    </row>
    <row r="105" spans="9:9">
      <c r="I105" s="765"/>
    </row>
    <row r="106" spans="9:9">
      <c r="I106" s="765"/>
    </row>
    <row r="107" spans="9:9">
      <c r="I107" s="765"/>
    </row>
    <row r="108" spans="9:9">
      <c r="I108" s="765"/>
    </row>
    <row r="109" spans="9:9">
      <c r="I109" s="765"/>
    </row>
    <row r="110" spans="9:9">
      <c r="I110" s="765"/>
    </row>
    <row r="111" spans="9:9">
      <c r="I111" s="765"/>
    </row>
    <row r="112" spans="9:9">
      <c r="I112" s="765"/>
    </row>
    <row r="113" spans="9:9">
      <c r="I113" s="765"/>
    </row>
    <row r="114" spans="9:9">
      <c r="I114" s="765"/>
    </row>
    <row r="115" spans="9:9">
      <c r="I115" s="765"/>
    </row>
    <row r="116" spans="9:9">
      <c r="I116" s="765"/>
    </row>
    <row r="117" spans="9:9">
      <c r="I117" s="765"/>
    </row>
    <row r="118" spans="9:9">
      <c r="I118" s="765"/>
    </row>
    <row r="119" spans="9:9">
      <c r="I119" s="765"/>
    </row>
    <row r="120" spans="9:9">
      <c r="I120" s="765"/>
    </row>
    <row r="121" spans="9:9">
      <c r="I121" s="765"/>
    </row>
    <row r="122" spans="9:9">
      <c r="I122" s="765"/>
    </row>
    <row r="123" spans="9:9">
      <c r="I123" s="765"/>
    </row>
    <row r="124" spans="9:9">
      <c r="I124" s="765"/>
    </row>
    <row r="125" spans="9:9">
      <c r="I125" s="765"/>
    </row>
    <row r="126" spans="9:9">
      <c r="I126" s="765"/>
    </row>
    <row r="127" spans="9:9">
      <c r="I127" s="765"/>
    </row>
    <row r="128" spans="9:9">
      <c r="I128" s="765"/>
    </row>
    <row r="129" spans="9:9">
      <c r="I129" s="765"/>
    </row>
    <row r="130" spans="9:9">
      <c r="I130" s="765"/>
    </row>
    <row r="131" spans="9:9">
      <c r="I131" s="765"/>
    </row>
    <row r="132" spans="9:9">
      <c r="I132" s="765"/>
    </row>
    <row r="133" spans="9:9">
      <c r="I133" s="765"/>
    </row>
    <row r="134" spans="9:9">
      <c r="I134" s="765"/>
    </row>
    <row r="135" spans="9:9">
      <c r="I135" s="765"/>
    </row>
    <row r="136" spans="9:9">
      <c r="I136" s="765"/>
    </row>
    <row r="137" spans="9:9">
      <c r="I137" s="765"/>
    </row>
    <row r="138" spans="9:9">
      <c r="I138" s="765"/>
    </row>
    <row r="139" spans="9:9">
      <c r="I139" s="765"/>
    </row>
    <row r="140" spans="9:9">
      <c r="I140" s="765"/>
    </row>
    <row r="141" spans="9:9">
      <c r="I141" s="765"/>
    </row>
    <row r="142" spans="9:9">
      <c r="I142" s="765"/>
    </row>
    <row r="143" spans="9:9">
      <c r="I143" s="765"/>
    </row>
    <row r="144" spans="9:9">
      <c r="I144" s="765"/>
    </row>
    <row r="145" spans="9:9">
      <c r="I145" s="765"/>
    </row>
    <row r="146" spans="9:9">
      <c r="I146" s="765"/>
    </row>
    <row r="147" spans="9:9">
      <c r="I147" s="765"/>
    </row>
    <row r="148" spans="9:9">
      <c r="I148" s="765"/>
    </row>
    <row r="149" spans="9:9">
      <c r="I149" s="765"/>
    </row>
    <row r="150" spans="9:9">
      <c r="I150" s="765"/>
    </row>
    <row r="151" spans="9:9">
      <c r="I151" s="765"/>
    </row>
    <row r="152" spans="9:9">
      <c r="I152" s="765"/>
    </row>
    <row r="153" spans="9:9">
      <c r="I153" s="765"/>
    </row>
    <row r="154" spans="9:9">
      <c r="I154" s="765"/>
    </row>
    <row r="155" spans="9:9">
      <c r="I155" s="765"/>
    </row>
    <row r="156" spans="9:9">
      <c r="I156" s="765"/>
    </row>
    <row r="157" spans="9:9">
      <c r="I157" s="765"/>
    </row>
    <row r="158" spans="9:9">
      <c r="I158" s="765"/>
    </row>
    <row r="159" spans="9:9">
      <c r="I159" s="765"/>
    </row>
    <row r="160" spans="9:9">
      <c r="I160" s="765"/>
    </row>
    <row r="161" spans="9:9">
      <c r="I161" s="765"/>
    </row>
    <row r="162" spans="9:9">
      <c r="I162" s="765"/>
    </row>
    <row r="163" spans="9:9">
      <c r="I163" s="765"/>
    </row>
    <row r="164" spans="9:9">
      <c r="I164" s="765"/>
    </row>
    <row r="165" spans="9:9">
      <c r="I165" s="765"/>
    </row>
    <row r="166" spans="9:9">
      <c r="I166" s="765"/>
    </row>
    <row r="167" spans="9:9">
      <c r="I167" s="765"/>
    </row>
    <row r="168" spans="9:9">
      <c r="I168" s="765"/>
    </row>
    <row r="169" spans="9:9">
      <c r="I169" s="765"/>
    </row>
    <row r="170" spans="9:9">
      <c r="I170" s="765"/>
    </row>
    <row r="171" spans="9:9">
      <c r="I171" s="765"/>
    </row>
    <row r="172" spans="9:9">
      <c r="I172" s="765"/>
    </row>
    <row r="173" spans="9:9">
      <c r="I173" s="765"/>
    </row>
    <row r="174" spans="9:9">
      <c r="I174" s="765"/>
    </row>
    <row r="175" spans="9:9">
      <c r="I175" s="765"/>
    </row>
    <row r="176" spans="9:9">
      <c r="I176" s="765"/>
    </row>
    <row r="177" spans="9:9">
      <c r="I177" s="765"/>
    </row>
    <row r="178" spans="9:9">
      <c r="I178" s="765"/>
    </row>
    <row r="179" spans="9:9">
      <c r="I179" s="765"/>
    </row>
    <row r="180" spans="9:9">
      <c r="I180" s="765"/>
    </row>
    <row r="181" spans="9:9">
      <c r="I181" s="765"/>
    </row>
    <row r="182" spans="9:9">
      <c r="I182" s="765"/>
    </row>
    <row r="183" spans="9:9">
      <c r="I183" s="765"/>
    </row>
    <row r="184" spans="9:9">
      <c r="I184" s="765"/>
    </row>
    <row r="185" spans="9:9">
      <c r="I185" s="765"/>
    </row>
    <row r="186" spans="9:9">
      <c r="I186" s="765"/>
    </row>
    <row r="187" spans="9:9">
      <c r="I187" s="765"/>
    </row>
    <row r="188" spans="9:9">
      <c r="I188" s="765"/>
    </row>
    <row r="189" spans="9:9">
      <c r="I189" s="765"/>
    </row>
    <row r="190" spans="9:9">
      <c r="I190" s="765"/>
    </row>
    <row r="191" spans="9:9">
      <c r="I191" s="765"/>
    </row>
    <row r="192" spans="9:9">
      <c r="I192" s="765"/>
    </row>
    <row r="193" spans="9:9">
      <c r="I193" s="765"/>
    </row>
    <row r="194" spans="9:9">
      <c r="I194" s="765"/>
    </row>
    <row r="195" spans="9:9">
      <c r="I195" s="765"/>
    </row>
    <row r="196" spans="9:9">
      <c r="I196" s="765"/>
    </row>
    <row r="197" spans="9:9">
      <c r="I197" s="765"/>
    </row>
    <row r="198" spans="9:9">
      <c r="I198" s="765"/>
    </row>
    <row r="199" spans="9:9">
      <c r="I199" s="765"/>
    </row>
    <row r="200" spans="9:9">
      <c r="I200" s="765"/>
    </row>
    <row r="201" spans="9:9">
      <c r="I201" s="765"/>
    </row>
    <row r="202" spans="9:9">
      <c r="I202" s="765"/>
    </row>
    <row r="203" spans="9:9">
      <c r="I203" s="765"/>
    </row>
    <row r="204" spans="9:9">
      <c r="I204" s="765"/>
    </row>
    <row r="205" spans="9:9">
      <c r="I205" s="765"/>
    </row>
    <row r="206" spans="9:9">
      <c r="I206" s="765"/>
    </row>
    <row r="207" spans="9:9">
      <c r="I207" s="765"/>
    </row>
    <row r="208" spans="9:9">
      <c r="I208" s="765"/>
    </row>
    <row r="209" spans="9:9">
      <c r="I209" s="765"/>
    </row>
    <row r="210" spans="9:9">
      <c r="I210" s="765"/>
    </row>
    <row r="211" spans="9:9">
      <c r="I211" s="765"/>
    </row>
    <row r="212" spans="9:9">
      <c r="I212" s="765"/>
    </row>
    <row r="213" spans="9:9">
      <c r="I213" s="765"/>
    </row>
    <row r="214" spans="9:9">
      <c r="I214" s="765"/>
    </row>
    <row r="215" spans="9:9">
      <c r="I215" s="765"/>
    </row>
    <row r="216" spans="9:9">
      <c r="I216" s="765"/>
    </row>
    <row r="217" spans="9:9">
      <c r="I217" s="765"/>
    </row>
    <row r="218" spans="9:9">
      <c r="I218" s="765"/>
    </row>
    <row r="219" spans="9:9">
      <c r="I219" s="765"/>
    </row>
    <row r="220" spans="9:9">
      <c r="I220" s="765"/>
    </row>
    <row r="221" spans="9:9">
      <c r="I221" s="765"/>
    </row>
    <row r="222" spans="9:9">
      <c r="I222" s="765"/>
    </row>
    <row r="223" spans="9:9">
      <c r="I223" s="765"/>
    </row>
    <row r="224" spans="9:9">
      <c r="I224" s="765"/>
    </row>
    <row r="225" spans="9:9">
      <c r="I225" s="765"/>
    </row>
    <row r="226" spans="9:9">
      <c r="I226" s="765"/>
    </row>
    <row r="227" spans="9:9">
      <c r="I227" s="765"/>
    </row>
    <row r="228" spans="9:9">
      <c r="I228" s="765"/>
    </row>
    <row r="229" spans="9:9">
      <c r="I229" s="765"/>
    </row>
    <row r="230" spans="9:9">
      <c r="I230" s="765"/>
    </row>
    <row r="231" spans="9:9">
      <c r="I231" s="765"/>
    </row>
    <row r="232" spans="9:9">
      <c r="I232" s="765"/>
    </row>
    <row r="233" spans="9:9">
      <c r="I233" s="765"/>
    </row>
    <row r="234" spans="9:9">
      <c r="I234" s="765"/>
    </row>
    <row r="235" spans="9:9">
      <c r="I235" s="765"/>
    </row>
    <row r="236" spans="9:9">
      <c r="I236" s="765"/>
    </row>
    <row r="237" spans="9:9">
      <c r="I237" s="765"/>
    </row>
    <row r="238" spans="9:9">
      <c r="I238" s="765"/>
    </row>
    <row r="239" spans="9:9">
      <c r="I239" s="765"/>
    </row>
    <row r="240" spans="9:9">
      <c r="I240" s="765"/>
    </row>
    <row r="241" spans="9:9">
      <c r="I241" s="765"/>
    </row>
    <row r="242" spans="9:9">
      <c r="I242" s="765"/>
    </row>
    <row r="243" spans="9:9">
      <c r="I243" s="765"/>
    </row>
    <row r="244" spans="9:9">
      <c r="I244" s="765"/>
    </row>
    <row r="245" spans="9:9">
      <c r="I245" s="765"/>
    </row>
    <row r="246" spans="9:9">
      <c r="I246" s="765"/>
    </row>
    <row r="247" spans="9:9">
      <c r="I247" s="765"/>
    </row>
    <row r="248" spans="9:9">
      <c r="I248" s="765"/>
    </row>
    <row r="249" spans="9:9">
      <c r="I249" s="765"/>
    </row>
    <row r="250" spans="9:9">
      <c r="I250" s="765"/>
    </row>
    <row r="251" spans="9:9">
      <c r="I251" s="765"/>
    </row>
    <row r="252" spans="9:9">
      <c r="I252" s="765"/>
    </row>
    <row r="253" spans="9:9">
      <c r="I253" s="765"/>
    </row>
    <row r="254" spans="9:9">
      <c r="I254" s="765"/>
    </row>
    <row r="255" spans="9:9">
      <c r="I255" s="765"/>
    </row>
    <row r="256" spans="9:9">
      <c r="I256" s="765"/>
    </row>
    <row r="257" spans="9:9">
      <c r="I257" s="765"/>
    </row>
    <row r="258" spans="9:9">
      <c r="I258" s="765"/>
    </row>
    <row r="259" spans="9:9">
      <c r="I259" s="765"/>
    </row>
    <row r="260" spans="9:9">
      <c r="I260" s="765"/>
    </row>
    <row r="261" spans="9:9">
      <c r="I261" s="765"/>
    </row>
    <row r="262" spans="9:9">
      <c r="I262" s="765"/>
    </row>
    <row r="263" spans="9:9">
      <c r="I263" s="765"/>
    </row>
    <row r="264" spans="9:9">
      <c r="I264" s="765"/>
    </row>
    <row r="265" spans="9:9">
      <c r="I265" s="765"/>
    </row>
    <row r="266" spans="9:9">
      <c r="I266" s="765"/>
    </row>
    <row r="267" spans="9:9">
      <c r="I267" s="765"/>
    </row>
    <row r="268" spans="9:9">
      <c r="I268" s="765"/>
    </row>
    <row r="269" spans="9:9">
      <c r="I269" s="765"/>
    </row>
    <row r="270" spans="9:9">
      <c r="I270" s="765"/>
    </row>
    <row r="271" spans="9:9">
      <c r="I271" s="765"/>
    </row>
    <row r="272" spans="9:9">
      <c r="I272" s="765"/>
    </row>
    <row r="273" spans="9:9">
      <c r="I273" s="765"/>
    </row>
    <row r="274" spans="9:9">
      <c r="I274" s="765"/>
    </row>
    <row r="275" spans="9:9">
      <c r="I275" s="765"/>
    </row>
    <row r="276" spans="9:9">
      <c r="I276" s="765"/>
    </row>
    <row r="277" spans="9:9">
      <c r="I277" s="765"/>
    </row>
    <row r="278" spans="9:9">
      <c r="I278" s="765"/>
    </row>
    <row r="279" spans="9:9">
      <c r="I279" s="765"/>
    </row>
    <row r="280" spans="9:9">
      <c r="I280" s="765"/>
    </row>
    <row r="281" spans="9:9">
      <c r="I281" s="765"/>
    </row>
    <row r="282" spans="9:9">
      <c r="I282" s="765"/>
    </row>
    <row r="283" spans="9:9">
      <c r="I283" s="765"/>
    </row>
    <row r="284" spans="9:9">
      <c r="I284" s="765"/>
    </row>
    <row r="285" spans="9:9">
      <c r="I285" s="765"/>
    </row>
    <row r="286" spans="9:9">
      <c r="I286" s="765"/>
    </row>
    <row r="287" spans="9:9">
      <c r="I287" s="765"/>
    </row>
    <row r="288" spans="9:9">
      <c r="I288" s="765"/>
    </row>
    <row r="289" spans="9:9">
      <c r="I289" s="765"/>
    </row>
    <row r="290" spans="9:9">
      <c r="I290" s="765"/>
    </row>
    <row r="291" spans="9:9">
      <c r="I291" s="765"/>
    </row>
    <row r="292" spans="9:9">
      <c r="I292" s="765"/>
    </row>
    <row r="293" spans="9:9">
      <c r="I293" s="765"/>
    </row>
    <row r="294" spans="9:9">
      <c r="I294" s="765"/>
    </row>
    <row r="295" spans="9:9">
      <c r="I295" s="765"/>
    </row>
    <row r="296" spans="9:9">
      <c r="I296" s="765"/>
    </row>
    <row r="297" spans="9:9">
      <c r="I297" s="765"/>
    </row>
    <row r="298" spans="9:9">
      <c r="I298" s="765"/>
    </row>
    <row r="299" spans="9:9">
      <c r="I299" s="765"/>
    </row>
    <row r="300" spans="9:9">
      <c r="I300" s="765"/>
    </row>
    <row r="301" spans="9:9">
      <c r="I301" s="765"/>
    </row>
    <row r="302" spans="9:9">
      <c r="I302" s="765"/>
    </row>
    <row r="303" spans="9:9">
      <c r="I303" s="765"/>
    </row>
    <row r="304" spans="9:9">
      <c r="I304" s="765"/>
    </row>
    <row r="305" spans="9:9">
      <c r="I305" s="765"/>
    </row>
    <row r="306" spans="9:9">
      <c r="I306" s="765"/>
    </row>
    <row r="307" spans="9:9">
      <c r="I307" s="765"/>
    </row>
    <row r="308" spans="9:9">
      <c r="I308" s="765"/>
    </row>
    <row r="309" spans="9:9">
      <c r="I309" s="765"/>
    </row>
    <row r="310" spans="9:9">
      <c r="I310" s="765"/>
    </row>
    <row r="311" spans="9:9">
      <c r="I311" s="765"/>
    </row>
    <row r="312" spans="9:9">
      <c r="I312" s="765"/>
    </row>
    <row r="313" spans="9:9">
      <c r="I313" s="765"/>
    </row>
    <row r="314" spans="9:9">
      <c r="I314" s="765"/>
    </row>
    <row r="315" spans="9:9">
      <c r="I315" s="765"/>
    </row>
    <row r="316" spans="9:9">
      <c r="I316" s="765"/>
    </row>
    <row r="317" spans="9:9">
      <c r="I317" s="765"/>
    </row>
    <row r="318" spans="9:9">
      <c r="I318" s="765"/>
    </row>
    <row r="319" spans="9:9">
      <c r="I319" s="765"/>
    </row>
    <row r="320" spans="9:9">
      <c r="I320" s="765"/>
    </row>
    <row r="321" spans="9:9">
      <c r="I321" s="765"/>
    </row>
    <row r="322" spans="9:9">
      <c r="I322" s="765"/>
    </row>
    <row r="323" spans="9:9">
      <c r="I323" s="765"/>
    </row>
    <row r="324" spans="9:9">
      <c r="I324" s="765"/>
    </row>
    <row r="325" spans="9:9">
      <c r="I325" s="765"/>
    </row>
    <row r="326" spans="9:9">
      <c r="I326" s="765"/>
    </row>
    <row r="327" spans="9:9">
      <c r="I327" s="765"/>
    </row>
    <row r="328" spans="9:9">
      <c r="I328" s="765"/>
    </row>
    <row r="329" spans="9:9">
      <c r="I329" s="765"/>
    </row>
    <row r="330" spans="9:9">
      <c r="I330" s="765"/>
    </row>
    <row r="331" spans="9:9">
      <c r="I331" s="765"/>
    </row>
    <row r="332" spans="9:9">
      <c r="I332" s="765"/>
    </row>
    <row r="333" spans="9:9">
      <c r="I333" s="765"/>
    </row>
    <row r="334" spans="9:9">
      <c r="I334" s="765"/>
    </row>
    <row r="335" spans="9:9">
      <c r="I335" s="765"/>
    </row>
    <row r="336" spans="9:9">
      <c r="I336" s="765"/>
    </row>
    <row r="337" spans="9:9">
      <c r="I337" s="765"/>
    </row>
    <row r="338" spans="9:9">
      <c r="I338" s="765"/>
    </row>
    <row r="339" spans="9:9">
      <c r="I339" s="765"/>
    </row>
    <row r="340" spans="9:9">
      <c r="I340" s="765"/>
    </row>
    <row r="341" spans="9:9">
      <c r="I341" s="765"/>
    </row>
    <row r="342" spans="9:9">
      <c r="I342" s="765"/>
    </row>
    <row r="343" spans="9:9">
      <c r="I343" s="765"/>
    </row>
    <row r="344" spans="9:9">
      <c r="I344" s="765"/>
    </row>
    <row r="345" spans="9:9">
      <c r="I345" s="765"/>
    </row>
    <row r="346" spans="9:9">
      <c r="I346" s="765"/>
    </row>
    <row r="347" spans="9:9">
      <c r="I347" s="765"/>
    </row>
    <row r="348" spans="9:9">
      <c r="I348" s="765"/>
    </row>
    <row r="349" spans="9:9">
      <c r="I349" s="765"/>
    </row>
    <row r="350" spans="9:9">
      <c r="I350" s="765"/>
    </row>
    <row r="351" spans="9:9">
      <c r="I351" s="765"/>
    </row>
    <row r="352" spans="9:9">
      <c r="I352" s="765"/>
    </row>
    <row r="353" spans="9:9">
      <c r="I353" s="765"/>
    </row>
    <row r="354" spans="9:9">
      <c r="I354" s="765"/>
    </row>
    <row r="355" spans="9:9">
      <c r="I355" s="765"/>
    </row>
    <row r="356" spans="9:9">
      <c r="I356" s="765"/>
    </row>
    <row r="357" spans="9:9">
      <c r="I357" s="765"/>
    </row>
    <row r="358" spans="9:9">
      <c r="I358" s="765"/>
    </row>
    <row r="359" spans="9:9">
      <c r="I359" s="765"/>
    </row>
    <row r="360" spans="9:9">
      <c r="I360" s="765"/>
    </row>
    <row r="361" spans="9:9">
      <c r="I361" s="765"/>
    </row>
    <row r="362" spans="9:9">
      <c r="I362" s="765"/>
    </row>
    <row r="363" spans="9:9">
      <c r="I363" s="765"/>
    </row>
    <row r="364" spans="9:9">
      <c r="I364" s="765"/>
    </row>
    <row r="365" spans="9:9">
      <c r="I365" s="765"/>
    </row>
    <row r="366" spans="9:9">
      <c r="I366" s="765"/>
    </row>
    <row r="367" spans="9:9">
      <c r="I367" s="765"/>
    </row>
    <row r="368" spans="9:9">
      <c r="I368" s="765"/>
    </row>
    <row r="369" spans="9:9">
      <c r="I369" s="765"/>
    </row>
    <row r="370" spans="9:9">
      <c r="I370" s="765"/>
    </row>
    <row r="371" spans="9:9">
      <c r="I371" s="765"/>
    </row>
    <row r="372" spans="9:9">
      <c r="I372" s="765"/>
    </row>
    <row r="373" spans="9:9">
      <c r="I373" s="765"/>
    </row>
    <row r="374" spans="9:9">
      <c r="I374" s="765"/>
    </row>
    <row r="375" spans="9:9">
      <c r="I375" s="765"/>
    </row>
    <row r="376" spans="9:9">
      <c r="I376" s="765"/>
    </row>
    <row r="377" spans="9:9">
      <c r="I377" s="765"/>
    </row>
    <row r="378" spans="9:9">
      <c r="I378" s="765"/>
    </row>
    <row r="379" spans="9:9">
      <c r="I379" s="765"/>
    </row>
    <row r="380" spans="9:9">
      <c r="I380" s="765"/>
    </row>
    <row r="381" spans="9:9">
      <c r="I381" s="765"/>
    </row>
    <row r="382" spans="9:9">
      <c r="I382" s="765"/>
    </row>
    <row r="383" spans="9:9">
      <c r="I383" s="765"/>
    </row>
    <row r="384" spans="9:9">
      <c r="I384" s="765"/>
    </row>
    <row r="385" spans="9:9">
      <c r="I385" s="765"/>
    </row>
    <row r="386" spans="9:9">
      <c r="I386" s="765"/>
    </row>
    <row r="387" spans="9:9">
      <c r="I387" s="765"/>
    </row>
    <row r="388" spans="9:9">
      <c r="I388" s="765"/>
    </row>
    <row r="389" spans="9:9">
      <c r="I389" s="765"/>
    </row>
    <row r="390" spans="9:9">
      <c r="I390" s="765"/>
    </row>
    <row r="391" spans="9:9">
      <c r="I391" s="765"/>
    </row>
    <row r="392" spans="9:9">
      <c r="I392" s="765"/>
    </row>
    <row r="393" spans="9:9">
      <c r="I393" s="765"/>
    </row>
    <row r="394" spans="9:9">
      <c r="I394" s="765"/>
    </row>
    <row r="395" spans="9:9">
      <c r="I395" s="765"/>
    </row>
    <row r="396" spans="9:9">
      <c r="I396" s="765"/>
    </row>
    <row r="397" spans="9:9">
      <c r="I397" s="765"/>
    </row>
    <row r="398" spans="9:9">
      <c r="I398" s="765"/>
    </row>
    <row r="399" spans="9:9">
      <c r="I399" s="765"/>
    </row>
    <row r="400" spans="9:9">
      <c r="I400" s="765"/>
    </row>
    <row r="401" spans="9:9">
      <c r="I401" s="765"/>
    </row>
    <row r="402" spans="9:9">
      <c r="I402" s="765"/>
    </row>
    <row r="403" spans="9:9">
      <c r="I403" s="765"/>
    </row>
    <row r="404" spans="9:9">
      <c r="I404" s="765"/>
    </row>
    <row r="405" spans="9:9">
      <c r="I405" s="765"/>
    </row>
    <row r="406" spans="9:9">
      <c r="I406" s="765"/>
    </row>
    <row r="407" spans="9:9">
      <c r="I407" s="765"/>
    </row>
    <row r="408" spans="9:9">
      <c r="I408" s="765"/>
    </row>
    <row r="409" spans="9:9">
      <c r="I409" s="765"/>
    </row>
    <row r="410" spans="9:9">
      <c r="I410" s="765"/>
    </row>
    <row r="411" spans="9:9">
      <c r="I411" s="765"/>
    </row>
    <row r="412" spans="9:9">
      <c r="I412" s="765"/>
    </row>
    <row r="413" spans="9:9">
      <c r="I413" s="765"/>
    </row>
    <row r="414" spans="9:9">
      <c r="I414" s="765"/>
    </row>
    <row r="415" spans="9:9">
      <c r="I415" s="765"/>
    </row>
    <row r="416" spans="9:9">
      <c r="I416" s="765"/>
    </row>
    <row r="417" spans="9:9">
      <c r="I417" s="765"/>
    </row>
    <row r="418" spans="9:9">
      <c r="I418" s="765"/>
    </row>
    <row r="419" spans="9:9">
      <c r="I419" s="765"/>
    </row>
    <row r="420" spans="9:9">
      <c r="I420" s="765"/>
    </row>
    <row r="421" spans="9:9">
      <c r="I421" s="765"/>
    </row>
    <row r="422" spans="9:9">
      <c r="I422" s="765"/>
    </row>
    <row r="423" spans="9:9">
      <c r="I423" s="765"/>
    </row>
    <row r="424" spans="9:9">
      <c r="I424" s="765"/>
    </row>
    <row r="425" spans="9:9">
      <c r="I425" s="765"/>
    </row>
    <row r="426" spans="9:9">
      <c r="I426" s="765"/>
    </row>
    <row r="427" spans="9:9">
      <c r="I427" s="765"/>
    </row>
    <row r="428" spans="9:9">
      <c r="I428" s="765"/>
    </row>
    <row r="429" spans="9:9">
      <c r="I429" s="765"/>
    </row>
    <row r="430" spans="9:9">
      <c r="I430" s="765"/>
    </row>
    <row r="431" spans="9:9">
      <c r="I431" s="765"/>
    </row>
    <row r="432" spans="9:9">
      <c r="I432" s="765"/>
    </row>
    <row r="433" spans="9:9">
      <c r="I433" s="765"/>
    </row>
    <row r="434" spans="9:9">
      <c r="I434" s="765"/>
    </row>
    <row r="435" spans="9:9">
      <c r="I435" s="765"/>
    </row>
    <row r="436" spans="9:9">
      <c r="I436" s="765"/>
    </row>
    <row r="437" spans="9:9">
      <c r="I437" s="765"/>
    </row>
    <row r="438" spans="9:9">
      <c r="I438" s="765"/>
    </row>
    <row r="439" spans="9:9">
      <c r="I439" s="765"/>
    </row>
    <row r="440" spans="9:9">
      <c r="I440" s="765"/>
    </row>
    <row r="441" spans="9:9">
      <c r="I441" s="765"/>
    </row>
    <row r="442" spans="9:9">
      <c r="I442" s="765"/>
    </row>
    <row r="443" spans="9:9">
      <c r="I443" s="765"/>
    </row>
    <row r="444" spans="9:9">
      <c r="I444" s="765"/>
    </row>
    <row r="445" spans="9:9">
      <c r="I445" s="765"/>
    </row>
    <row r="446" spans="9:9">
      <c r="I446" s="765"/>
    </row>
    <row r="447" spans="9:9">
      <c r="I447" s="765"/>
    </row>
    <row r="448" spans="9:9">
      <c r="I448" s="765"/>
    </row>
    <row r="449" spans="9:9">
      <c r="I449" s="765"/>
    </row>
    <row r="450" spans="9:9">
      <c r="I450" s="765"/>
    </row>
    <row r="451" spans="9:9">
      <c r="I451" s="765"/>
    </row>
    <row r="452" spans="9:9">
      <c r="I452" s="765"/>
    </row>
    <row r="453" spans="9:9">
      <c r="I453" s="765"/>
    </row>
    <row r="454" spans="9:9">
      <c r="I454" s="765"/>
    </row>
    <row r="455" spans="9:9">
      <c r="I455" s="765"/>
    </row>
    <row r="456" spans="9:9">
      <c r="I456" s="765"/>
    </row>
    <row r="457" spans="9:9">
      <c r="I457" s="765"/>
    </row>
    <row r="458" spans="9:9">
      <c r="I458" s="765"/>
    </row>
    <row r="459" spans="9:9">
      <c r="I459" s="765"/>
    </row>
    <row r="460" spans="9:9">
      <c r="I460" s="765"/>
    </row>
    <row r="461" spans="9:9">
      <c r="I461" s="765"/>
    </row>
    <row r="462" spans="9:9">
      <c r="I462" s="765"/>
    </row>
    <row r="463" spans="9:9">
      <c r="I463" s="765"/>
    </row>
    <row r="464" spans="9:9">
      <c r="I464" s="765"/>
    </row>
    <row r="465" spans="9:9">
      <c r="I465" s="765"/>
    </row>
    <row r="466" spans="9:9">
      <c r="I466" s="765"/>
    </row>
    <row r="467" spans="9:9">
      <c r="I467" s="765"/>
    </row>
    <row r="468" spans="9:9">
      <c r="I468" s="765"/>
    </row>
    <row r="469" spans="9:9">
      <c r="I469" s="765"/>
    </row>
    <row r="470" spans="9:9">
      <c r="I470" s="765"/>
    </row>
    <row r="471" spans="9:9">
      <c r="I471" s="765"/>
    </row>
    <row r="472" spans="9:9">
      <c r="I472" s="765"/>
    </row>
    <row r="473" spans="9:9">
      <c r="I473" s="765"/>
    </row>
    <row r="474" spans="9:9">
      <c r="I474" s="765"/>
    </row>
    <row r="475" spans="9:9">
      <c r="I475" s="765"/>
    </row>
    <row r="476" spans="9:9">
      <c r="I476" s="765"/>
    </row>
    <row r="477" spans="9:9">
      <c r="I477" s="765"/>
    </row>
    <row r="478" spans="9:9">
      <c r="I478" s="765"/>
    </row>
    <row r="479" spans="9:9">
      <c r="I479" s="765"/>
    </row>
    <row r="480" spans="9:9">
      <c r="I480" s="765"/>
    </row>
    <row r="481" spans="9:9">
      <c r="I481" s="765"/>
    </row>
    <row r="482" spans="9:9">
      <c r="I482" s="765"/>
    </row>
    <row r="483" spans="9:9">
      <c r="I483" s="765"/>
    </row>
    <row r="484" spans="9:9">
      <c r="I484" s="765"/>
    </row>
    <row r="485" spans="9:9">
      <c r="I485" s="765"/>
    </row>
    <row r="486" spans="9:9">
      <c r="I486" s="765"/>
    </row>
    <row r="487" spans="9:9">
      <c r="I487" s="765"/>
    </row>
    <row r="488" spans="9:9">
      <c r="I488" s="765"/>
    </row>
    <row r="489" spans="9:9">
      <c r="I489" s="765"/>
    </row>
    <row r="490" spans="9:9">
      <c r="I490" s="765"/>
    </row>
    <row r="491" spans="9:9">
      <c r="I491" s="765"/>
    </row>
    <row r="492" spans="9:9">
      <c r="I492" s="765"/>
    </row>
    <row r="493" spans="9:9">
      <c r="I493" s="765"/>
    </row>
    <row r="494" spans="9:9">
      <c r="I494" s="765"/>
    </row>
    <row r="495" spans="9:9">
      <c r="I495" s="765"/>
    </row>
    <row r="496" spans="9:9">
      <c r="I496" s="765"/>
    </row>
    <row r="497" spans="9:9">
      <c r="I497" s="765"/>
    </row>
    <row r="498" spans="9:9">
      <c r="I498" s="765"/>
    </row>
    <row r="499" spans="9:9">
      <c r="I499" s="765"/>
    </row>
    <row r="500" spans="9:9">
      <c r="I500" s="765"/>
    </row>
    <row r="501" spans="9:9">
      <c r="I501" s="765"/>
    </row>
    <row r="502" spans="9:9">
      <c r="I502" s="765"/>
    </row>
    <row r="503" spans="9:9">
      <c r="I503" s="765"/>
    </row>
    <row r="504" spans="9:9">
      <c r="I504" s="765"/>
    </row>
    <row r="505" spans="9:9">
      <c r="I505" s="765"/>
    </row>
    <row r="506" spans="9:9">
      <c r="I506" s="765"/>
    </row>
    <row r="507" spans="9:9">
      <c r="I507" s="765"/>
    </row>
    <row r="508" spans="9:9">
      <c r="I508" s="765"/>
    </row>
    <row r="509" spans="9:9">
      <c r="I509" s="765"/>
    </row>
    <row r="510" spans="9:9">
      <c r="I510" s="765"/>
    </row>
    <row r="511" spans="9:9">
      <c r="I511" s="765"/>
    </row>
    <row r="512" spans="9:9">
      <c r="I512" s="765"/>
    </row>
    <row r="513" spans="9:9">
      <c r="I513" s="765"/>
    </row>
    <row r="514" spans="9:9">
      <c r="I514" s="765"/>
    </row>
    <row r="515" spans="9:9">
      <c r="I515" s="765"/>
    </row>
    <row r="516" spans="9:9">
      <c r="I516" s="765"/>
    </row>
    <row r="517" spans="9:9">
      <c r="I517" s="765"/>
    </row>
    <row r="518" spans="9:9">
      <c r="I518" s="765"/>
    </row>
    <row r="519" spans="9:9">
      <c r="I519" s="765"/>
    </row>
    <row r="520" spans="9:9">
      <c r="I520" s="765"/>
    </row>
    <row r="521" spans="9:9">
      <c r="I521" s="765"/>
    </row>
    <row r="522" spans="9:9">
      <c r="I522" s="765"/>
    </row>
    <row r="523" spans="9:9">
      <c r="I523" s="765"/>
    </row>
    <row r="524" spans="9:9">
      <c r="I524" s="765"/>
    </row>
    <row r="525" spans="9:9">
      <c r="I525" s="765"/>
    </row>
    <row r="526" spans="9:9">
      <c r="I526" s="765"/>
    </row>
    <row r="527" spans="9:9">
      <c r="I527" s="765"/>
    </row>
    <row r="528" spans="9:9">
      <c r="I528" s="765"/>
    </row>
    <row r="529" spans="9:9">
      <c r="I529" s="765"/>
    </row>
    <row r="530" spans="9:9">
      <c r="I530" s="765"/>
    </row>
    <row r="531" spans="9:9">
      <c r="I531" s="765"/>
    </row>
    <row r="532" spans="9:9">
      <c r="I532" s="765"/>
    </row>
    <row r="533" spans="9:9">
      <c r="I533" s="765"/>
    </row>
    <row r="534" spans="9:9">
      <c r="I534" s="765"/>
    </row>
    <row r="535" spans="9:9">
      <c r="I535" s="765"/>
    </row>
    <row r="536" spans="9:9">
      <c r="I536" s="765"/>
    </row>
    <row r="537" spans="9:9">
      <c r="I537" s="765"/>
    </row>
    <row r="538" spans="9:9">
      <c r="I538" s="765"/>
    </row>
    <row r="539" spans="9:9">
      <c r="I539" s="765"/>
    </row>
    <row r="540" spans="9:9">
      <c r="I540" s="765"/>
    </row>
    <row r="541" spans="9:9">
      <c r="I541" s="765"/>
    </row>
    <row r="542" spans="9:9">
      <c r="I542" s="765"/>
    </row>
    <row r="543" spans="9:9">
      <c r="I543" s="765"/>
    </row>
    <row r="544" spans="9:9">
      <c r="I544" s="765"/>
    </row>
    <row r="545" spans="9:9">
      <c r="I545" s="765"/>
    </row>
    <row r="546" spans="9:9">
      <c r="I546" s="765"/>
    </row>
    <row r="547" spans="9:9">
      <c r="I547" s="765"/>
    </row>
    <row r="548" spans="9:9">
      <c r="I548" s="765"/>
    </row>
    <row r="549" spans="9:9">
      <c r="I549" s="765"/>
    </row>
    <row r="550" spans="9:9">
      <c r="I550" s="765"/>
    </row>
    <row r="551" spans="9:9">
      <c r="I551" s="765"/>
    </row>
    <row r="552" spans="9:9">
      <c r="I552" s="765"/>
    </row>
    <row r="553" spans="9:9">
      <c r="I553" s="765"/>
    </row>
    <row r="554" spans="9:9">
      <c r="I554" s="765"/>
    </row>
    <row r="555" spans="9:9">
      <c r="I555" s="765"/>
    </row>
    <row r="556" spans="9:9">
      <c r="I556" s="765"/>
    </row>
    <row r="557" spans="9:9">
      <c r="I557" s="765"/>
    </row>
    <row r="558" spans="9:9">
      <c r="I558" s="765"/>
    </row>
    <row r="559" spans="9:9">
      <c r="I559" s="765"/>
    </row>
    <row r="560" spans="9:9">
      <c r="I560" s="765"/>
    </row>
    <row r="561" spans="9:9">
      <c r="I561" s="765"/>
    </row>
    <row r="562" spans="9:9">
      <c r="I562" s="765"/>
    </row>
    <row r="563" spans="9:9">
      <c r="I563" s="765"/>
    </row>
    <row r="564" spans="9:9">
      <c r="I564" s="765"/>
    </row>
    <row r="565" spans="9:9">
      <c r="I565" s="765"/>
    </row>
    <row r="566" spans="9:9">
      <c r="I566" s="765"/>
    </row>
    <row r="567" spans="9:9">
      <c r="I567" s="765"/>
    </row>
    <row r="568" spans="9:9">
      <c r="I568" s="765"/>
    </row>
    <row r="569" spans="9:9">
      <c r="I569" s="765"/>
    </row>
    <row r="570" spans="9:9">
      <c r="I570" s="765"/>
    </row>
    <row r="571" spans="9:9">
      <c r="I571" s="765"/>
    </row>
    <row r="572" spans="9:9">
      <c r="I572" s="765"/>
    </row>
    <row r="573" spans="9:9">
      <c r="I573" s="765"/>
    </row>
    <row r="574" spans="9:9">
      <c r="I574" s="765"/>
    </row>
    <row r="575" spans="9:9">
      <c r="I575" s="765"/>
    </row>
    <row r="576" spans="9:9">
      <c r="I576" s="765"/>
    </row>
    <row r="577" spans="9:9">
      <c r="I577" s="765"/>
    </row>
    <row r="578" spans="9:9">
      <c r="I578" s="765"/>
    </row>
    <row r="579" spans="9:9">
      <c r="I579" s="765"/>
    </row>
    <row r="580" spans="9:9">
      <c r="I580" s="765"/>
    </row>
    <row r="581" spans="9:9">
      <c r="I581" s="765"/>
    </row>
    <row r="582" spans="9:9">
      <c r="I582" s="765"/>
    </row>
    <row r="583" spans="9:9">
      <c r="I583" s="765"/>
    </row>
    <row r="584" spans="9:9">
      <c r="I584" s="765"/>
    </row>
    <row r="585" spans="9:9">
      <c r="I585" s="765"/>
    </row>
    <row r="586" spans="9:9">
      <c r="I586" s="765"/>
    </row>
    <row r="587" spans="9:9">
      <c r="I587" s="765"/>
    </row>
    <row r="588" spans="9:9">
      <c r="I588" s="765"/>
    </row>
    <row r="589" spans="9:9">
      <c r="I589" s="765"/>
    </row>
    <row r="590" spans="9:9">
      <c r="I590" s="765"/>
    </row>
    <row r="591" spans="9:9">
      <c r="I591" s="765"/>
    </row>
    <row r="592" spans="9:9">
      <c r="I592" s="765"/>
    </row>
    <row r="593" spans="9:9">
      <c r="I593" s="765"/>
    </row>
    <row r="594" spans="9:9">
      <c r="I594" s="765"/>
    </row>
    <row r="595" spans="9:9">
      <c r="I595" s="765"/>
    </row>
    <row r="596" spans="9:9">
      <c r="I596" s="765"/>
    </row>
    <row r="597" spans="9:9">
      <c r="I597" s="765"/>
    </row>
    <row r="598" spans="9:9">
      <c r="I598" s="765"/>
    </row>
    <row r="599" spans="9:9">
      <c r="I599" s="765"/>
    </row>
    <row r="600" spans="9:9">
      <c r="I600" s="765"/>
    </row>
    <row r="601" spans="9:9">
      <c r="I601" s="765"/>
    </row>
    <row r="602" spans="9:9">
      <c r="I602" s="765"/>
    </row>
    <row r="603" spans="9:9">
      <c r="I603" s="765"/>
    </row>
    <row r="604" spans="9:9">
      <c r="I604" s="765"/>
    </row>
    <row r="605" spans="9:9">
      <c r="I605" s="765"/>
    </row>
    <row r="606" spans="9:9">
      <c r="I606" s="765"/>
    </row>
    <row r="607" spans="9:9">
      <c r="I607" s="765"/>
    </row>
    <row r="608" spans="9:9">
      <c r="I608" s="765"/>
    </row>
    <row r="609" spans="9:9">
      <c r="I609" s="765"/>
    </row>
    <row r="610" spans="9:9">
      <c r="I610" s="765"/>
    </row>
    <row r="611" spans="9:9">
      <c r="I611" s="765"/>
    </row>
    <row r="612" spans="9:9">
      <c r="I612" s="765"/>
    </row>
    <row r="613" spans="9:9">
      <c r="I613" s="765"/>
    </row>
    <row r="614" spans="9:9">
      <c r="I614" s="765"/>
    </row>
    <row r="615" spans="9:9">
      <c r="I615" s="765"/>
    </row>
    <row r="616" spans="9:9">
      <c r="I616" s="765"/>
    </row>
    <row r="617" spans="9:9">
      <c r="I617" s="765"/>
    </row>
    <row r="618" spans="9:9">
      <c r="I618" s="765"/>
    </row>
    <row r="619" spans="9:9">
      <c r="I619" s="765"/>
    </row>
    <row r="620" spans="9:9">
      <c r="I620" s="765"/>
    </row>
    <row r="621" spans="9:9">
      <c r="I621" s="765"/>
    </row>
    <row r="622" spans="9:9">
      <c r="I622" s="765"/>
    </row>
    <row r="623" spans="9:9">
      <c r="I623" s="765"/>
    </row>
    <row r="624" spans="9:9">
      <c r="I624" s="765"/>
    </row>
    <row r="625" spans="9:9">
      <c r="I625" s="765"/>
    </row>
    <row r="626" spans="9:9">
      <c r="I626" s="765"/>
    </row>
    <row r="627" spans="9:9">
      <c r="I627" s="765"/>
    </row>
    <row r="628" spans="9:9">
      <c r="I628" s="765"/>
    </row>
    <row r="629" spans="9:9">
      <c r="I629" s="765"/>
    </row>
    <row r="630" spans="9:9">
      <c r="I630" s="765"/>
    </row>
    <row r="631" spans="9:9">
      <c r="I631" s="765"/>
    </row>
    <row r="632" spans="9:9">
      <c r="I632" s="765"/>
    </row>
    <row r="633" spans="9:9">
      <c r="I633" s="765"/>
    </row>
    <row r="634" spans="9:9">
      <c r="I634" s="765"/>
    </row>
    <row r="635" spans="9:9">
      <c r="I635" s="765"/>
    </row>
    <row r="636" spans="9:9">
      <c r="I636" s="765"/>
    </row>
    <row r="637" spans="9:9">
      <c r="I637" s="765"/>
    </row>
    <row r="638" spans="9:9">
      <c r="I638" s="765"/>
    </row>
    <row r="639" spans="9:9">
      <c r="I639" s="765"/>
    </row>
    <row r="640" spans="9:9">
      <c r="I640" s="765"/>
    </row>
    <row r="641" spans="9:9">
      <c r="I641" s="765"/>
    </row>
    <row r="642" spans="9:9">
      <c r="I642" s="765"/>
    </row>
    <row r="643" spans="9:9">
      <c r="I643" s="765"/>
    </row>
    <row r="644" spans="9:9">
      <c r="I644" s="765"/>
    </row>
    <row r="645" spans="9:9">
      <c r="I645" s="765"/>
    </row>
    <row r="646" spans="9:9">
      <c r="I646" s="765"/>
    </row>
    <row r="647" spans="9:9">
      <c r="I647" s="765"/>
    </row>
    <row r="648" spans="9:9">
      <c r="I648" s="765"/>
    </row>
    <row r="649" spans="9:9">
      <c r="I649" s="765"/>
    </row>
    <row r="650" spans="9:9">
      <c r="I650" s="765"/>
    </row>
    <row r="651" spans="9:9">
      <c r="I651" s="765"/>
    </row>
    <row r="652" spans="9:9">
      <c r="I652" s="765"/>
    </row>
    <row r="653" spans="9:9">
      <c r="I653" s="765"/>
    </row>
    <row r="654" spans="9:9">
      <c r="I654" s="765"/>
    </row>
    <row r="655" spans="9:9">
      <c r="I655" s="765"/>
    </row>
    <row r="656" spans="9:9">
      <c r="I656" s="765"/>
    </row>
    <row r="657" spans="9:9">
      <c r="I657" s="765"/>
    </row>
    <row r="658" spans="9:9">
      <c r="I658" s="765"/>
    </row>
    <row r="659" spans="9:9">
      <c r="I659" s="765"/>
    </row>
    <row r="660" spans="9:9">
      <c r="I660" s="765"/>
    </row>
    <row r="661" spans="9:9">
      <c r="I661" s="765"/>
    </row>
    <row r="662" spans="9:9">
      <c r="I662" s="765"/>
    </row>
    <row r="663" spans="9:9">
      <c r="I663" s="765"/>
    </row>
    <row r="664" spans="9:9">
      <c r="I664" s="765"/>
    </row>
    <row r="665" spans="9:9">
      <c r="I665" s="765"/>
    </row>
    <row r="666" spans="9:9">
      <c r="I666" s="765"/>
    </row>
    <row r="667" spans="9:9">
      <c r="I667" s="765"/>
    </row>
    <row r="668" spans="9:9">
      <c r="I668" s="765"/>
    </row>
    <row r="669" spans="9:9">
      <c r="I669" s="765"/>
    </row>
    <row r="670" spans="9:9">
      <c r="I670" s="765"/>
    </row>
    <row r="671" spans="9:9">
      <c r="I671" s="765"/>
    </row>
    <row r="672" spans="9:9">
      <c r="I672" s="765"/>
    </row>
    <row r="673" spans="9:9">
      <c r="I673" s="765"/>
    </row>
    <row r="674" spans="9:9">
      <c r="I674" s="765"/>
    </row>
    <row r="675" spans="9:9">
      <c r="I675" s="765"/>
    </row>
    <row r="676" spans="9:9">
      <c r="I676" s="765"/>
    </row>
    <row r="677" spans="9:9">
      <c r="I677" s="765"/>
    </row>
    <row r="678" spans="9:9">
      <c r="I678" s="765"/>
    </row>
    <row r="679" spans="9:9">
      <c r="I679" s="765"/>
    </row>
    <row r="680" spans="9:9">
      <c r="I680" s="765"/>
    </row>
    <row r="681" spans="9:9">
      <c r="I681" s="765"/>
    </row>
    <row r="682" spans="9:9">
      <c r="I682" s="765"/>
    </row>
    <row r="683" spans="9:9">
      <c r="I683" s="765"/>
    </row>
    <row r="684" spans="9:9">
      <c r="I684" s="765"/>
    </row>
    <row r="685" spans="9:9">
      <c r="I685" s="765"/>
    </row>
    <row r="686" spans="9:9">
      <c r="I686" s="765"/>
    </row>
    <row r="687" spans="9:9">
      <c r="I687" s="765"/>
    </row>
    <row r="688" spans="9:9">
      <c r="I688" s="765"/>
    </row>
    <row r="689" spans="9:9">
      <c r="I689" s="765"/>
    </row>
    <row r="690" spans="9:9">
      <c r="I690" s="765"/>
    </row>
    <row r="691" spans="9:9">
      <c r="I691" s="765"/>
    </row>
    <row r="692" spans="9:9">
      <c r="I692" s="765"/>
    </row>
    <row r="693" spans="9:9">
      <c r="I693" s="765"/>
    </row>
    <row r="694" spans="9:9">
      <c r="I694" s="765"/>
    </row>
    <row r="695" spans="9:9">
      <c r="I695" s="765"/>
    </row>
    <row r="696" spans="9:9">
      <c r="I696" s="765"/>
    </row>
    <row r="697" spans="9:9">
      <c r="I697" s="765"/>
    </row>
    <row r="698" spans="9:9">
      <c r="I698" s="765"/>
    </row>
    <row r="699" spans="9:9">
      <c r="I699" s="765"/>
    </row>
    <row r="700" spans="9:9">
      <c r="I700" s="765"/>
    </row>
    <row r="701" spans="9:9">
      <c r="I701" s="765"/>
    </row>
    <row r="702" spans="9:9">
      <c r="I702" s="765"/>
    </row>
    <row r="703" spans="9:9">
      <c r="I703" s="765"/>
    </row>
    <row r="704" spans="9:9">
      <c r="I704" s="765"/>
    </row>
    <row r="705" spans="9:9">
      <c r="I705" s="765"/>
    </row>
    <row r="706" spans="9:9">
      <c r="I706" s="765"/>
    </row>
    <row r="707" spans="9:9">
      <c r="I707" s="765"/>
    </row>
    <row r="708" spans="9:9">
      <c r="I708" s="765"/>
    </row>
    <row r="709" spans="9:9">
      <c r="I709" s="765"/>
    </row>
    <row r="710" spans="9:9">
      <c r="I710" s="765"/>
    </row>
    <row r="711" spans="9:9">
      <c r="I711" s="765"/>
    </row>
    <row r="712" spans="9:9">
      <c r="I712" s="765"/>
    </row>
    <row r="713" spans="9:9">
      <c r="I713" s="765"/>
    </row>
    <row r="714" spans="9:9">
      <c r="I714" s="765"/>
    </row>
    <row r="715" spans="9:9">
      <c r="I715" s="765"/>
    </row>
    <row r="716" spans="9:9">
      <c r="I716" s="765"/>
    </row>
    <row r="717" spans="9:9">
      <c r="I717" s="765"/>
    </row>
    <row r="718" spans="9:9">
      <c r="I718" s="765"/>
    </row>
    <row r="719" spans="9:9">
      <c r="I719" s="765"/>
    </row>
    <row r="720" spans="9:9">
      <c r="I720" s="765"/>
    </row>
    <row r="721" spans="9:9">
      <c r="I721" s="765"/>
    </row>
    <row r="722" spans="9:9">
      <c r="I722" s="765"/>
    </row>
    <row r="723" spans="9:9">
      <c r="I723" s="765"/>
    </row>
    <row r="724" spans="9:9">
      <c r="I724" s="765"/>
    </row>
    <row r="725" spans="9:9">
      <c r="I725" s="765"/>
    </row>
    <row r="726" spans="9:9">
      <c r="I726" s="765"/>
    </row>
    <row r="727" spans="9:9">
      <c r="I727" s="765"/>
    </row>
    <row r="728" spans="9:9">
      <c r="I728" s="765"/>
    </row>
    <row r="729" spans="9:9">
      <c r="I729" s="765"/>
    </row>
    <row r="730" spans="9:9">
      <c r="I730" s="765"/>
    </row>
    <row r="731" spans="9:9">
      <c r="I731" s="765"/>
    </row>
    <row r="732" spans="9:9">
      <c r="I732" s="765"/>
    </row>
    <row r="733" spans="9:9">
      <c r="I733" s="765"/>
    </row>
    <row r="734" spans="9:9">
      <c r="I734" s="765"/>
    </row>
    <row r="735" spans="9:9">
      <c r="I735" s="765"/>
    </row>
    <row r="736" spans="9:9">
      <c r="I736" s="765"/>
    </row>
    <row r="737" spans="9:9">
      <c r="I737" s="765"/>
    </row>
    <row r="738" spans="9:9">
      <c r="I738" s="765"/>
    </row>
    <row r="739" spans="9:9">
      <c r="I739" s="765"/>
    </row>
    <row r="740" spans="9:9">
      <c r="I740" s="765"/>
    </row>
    <row r="741" spans="9:9">
      <c r="I741" s="765"/>
    </row>
    <row r="742" spans="9:9">
      <c r="I742" s="765"/>
    </row>
    <row r="743" spans="9:9">
      <c r="I743" s="765"/>
    </row>
    <row r="744" spans="9:9">
      <c r="I744" s="765"/>
    </row>
    <row r="745" spans="9:9">
      <c r="I745" s="765"/>
    </row>
    <row r="746" spans="9:9">
      <c r="I746" s="765"/>
    </row>
    <row r="747" spans="9:9">
      <c r="I747" s="765"/>
    </row>
    <row r="748" spans="9:9">
      <c r="I748" s="765"/>
    </row>
    <row r="749" spans="9:9">
      <c r="I749" s="765"/>
    </row>
    <row r="750" spans="9:9">
      <c r="I750" s="765"/>
    </row>
    <row r="751" spans="9:9">
      <c r="I751" s="765"/>
    </row>
    <row r="752" spans="9:9">
      <c r="I752" s="765"/>
    </row>
    <row r="753" spans="9:9">
      <c r="I753" s="765"/>
    </row>
    <row r="754" spans="9:9">
      <c r="I754" s="765"/>
    </row>
    <row r="755" spans="9:9">
      <c r="I755" s="765"/>
    </row>
    <row r="756" spans="9:9">
      <c r="I756" s="765"/>
    </row>
    <row r="757" spans="9:9">
      <c r="I757" s="765"/>
    </row>
    <row r="758" spans="9:9">
      <c r="I758" s="765"/>
    </row>
    <row r="759" spans="9:9">
      <c r="I759" s="765"/>
    </row>
    <row r="760" spans="9:9">
      <c r="I760" s="765"/>
    </row>
    <row r="761" spans="9:9">
      <c r="I761" s="765"/>
    </row>
    <row r="762" spans="9:9">
      <c r="I762" s="765"/>
    </row>
    <row r="763" spans="9:9">
      <c r="I763" s="765"/>
    </row>
    <row r="764" spans="9:9">
      <c r="I764" s="765"/>
    </row>
    <row r="765" spans="9:9">
      <c r="I765" s="765"/>
    </row>
    <row r="766" spans="9:9">
      <c r="I766" s="765"/>
    </row>
    <row r="767" spans="9:9">
      <c r="I767" s="765"/>
    </row>
    <row r="768" spans="9:9">
      <c r="I768" s="765"/>
    </row>
    <row r="769" spans="9:9">
      <c r="I769" s="765"/>
    </row>
    <row r="770" spans="9:9">
      <c r="I770" s="765"/>
    </row>
    <row r="771" spans="9:9">
      <c r="I771" s="765"/>
    </row>
    <row r="772" spans="9:9">
      <c r="I772" s="765"/>
    </row>
    <row r="773" spans="9:9">
      <c r="I773" s="765"/>
    </row>
    <row r="774" spans="9:9">
      <c r="I774" s="765"/>
    </row>
    <row r="775" spans="9:9">
      <c r="I775" s="765"/>
    </row>
    <row r="776" spans="9:9">
      <c r="I776" s="765"/>
    </row>
    <row r="777" spans="9:9">
      <c r="I777" s="765"/>
    </row>
    <row r="778" spans="9:9">
      <c r="I778" s="765"/>
    </row>
    <row r="779" spans="9:9">
      <c r="I779" s="765"/>
    </row>
    <row r="780" spans="9:9">
      <c r="I780" s="765"/>
    </row>
    <row r="781" spans="9:9">
      <c r="I781" s="765"/>
    </row>
    <row r="782" spans="9:9">
      <c r="I782" s="765"/>
    </row>
    <row r="783" spans="9:9">
      <c r="I783" s="765"/>
    </row>
    <row r="784" spans="9:9">
      <c r="I784" s="765"/>
    </row>
    <row r="785" spans="9:9">
      <c r="I785" s="765"/>
    </row>
    <row r="786" spans="9:9">
      <c r="I786" s="765"/>
    </row>
    <row r="787" spans="9:9">
      <c r="I787" s="765"/>
    </row>
    <row r="788" spans="9:9">
      <c r="I788" s="765"/>
    </row>
    <row r="789" spans="9:9">
      <c r="I789" s="765"/>
    </row>
    <row r="790" spans="9:9">
      <c r="I790" s="765"/>
    </row>
    <row r="791" spans="9:9">
      <c r="I791" s="765"/>
    </row>
    <row r="792" spans="9:9">
      <c r="I792" s="765"/>
    </row>
    <row r="793" spans="9:9">
      <c r="I793" s="765"/>
    </row>
    <row r="794" spans="9:9">
      <c r="I794" s="765"/>
    </row>
    <row r="795" spans="9:9">
      <c r="I795" s="765"/>
    </row>
    <row r="796" spans="9:9">
      <c r="I796" s="765"/>
    </row>
    <row r="797" spans="9:9">
      <c r="I797" s="765"/>
    </row>
    <row r="798" spans="9:9">
      <c r="I798" s="765"/>
    </row>
    <row r="799" spans="9:9">
      <c r="I799" s="765"/>
    </row>
    <row r="800" spans="9:9">
      <c r="I800" s="765"/>
    </row>
    <row r="801" spans="9:9">
      <c r="I801" s="765"/>
    </row>
    <row r="802" spans="9:9">
      <c r="I802" s="765"/>
    </row>
    <row r="803" spans="9:9">
      <c r="I803" s="765"/>
    </row>
    <row r="804" spans="9:9">
      <c r="I804" s="765"/>
    </row>
    <row r="805" spans="9:9">
      <c r="I805" s="765"/>
    </row>
    <row r="806" spans="9:9">
      <c r="I806" s="765"/>
    </row>
    <row r="807" spans="9:9">
      <c r="I807" s="765"/>
    </row>
    <row r="808" spans="9:9">
      <c r="I808" s="765"/>
    </row>
    <row r="809" spans="9:9">
      <c r="I809" s="765"/>
    </row>
    <row r="810" spans="9:9">
      <c r="I810" s="765"/>
    </row>
    <row r="811" spans="9:9">
      <c r="I811" s="765"/>
    </row>
    <row r="812" spans="9:9">
      <c r="I812" s="765"/>
    </row>
    <row r="813" spans="9:9">
      <c r="I813" s="765"/>
    </row>
    <row r="814" spans="9:9">
      <c r="I814" s="765"/>
    </row>
    <row r="815" spans="9:9">
      <c r="I815" s="765"/>
    </row>
    <row r="816" spans="9:9">
      <c r="I816" s="765"/>
    </row>
    <row r="817" spans="9:9">
      <c r="I817" s="765"/>
    </row>
    <row r="818" spans="9:9">
      <c r="I818" s="765"/>
    </row>
    <row r="819" spans="9:9">
      <c r="I819" s="765"/>
    </row>
    <row r="820" spans="9:9">
      <c r="I820" s="765"/>
    </row>
    <row r="821" spans="9:9">
      <c r="I821" s="765"/>
    </row>
    <row r="822" spans="9:9">
      <c r="I822" s="765"/>
    </row>
    <row r="823" spans="9:9">
      <c r="I823" s="765"/>
    </row>
    <row r="824" spans="9:9">
      <c r="I824" s="765"/>
    </row>
    <row r="825" spans="9:9">
      <c r="I825" s="765"/>
    </row>
    <row r="826" spans="9:9">
      <c r="I826" s="765"/>
    </row>
    <row r="827" spans="9:9">
      <c r="I827" s="765"/>
    </row>
    <row r="828" spans="9:9">
      <c r="I828" s="765"/>
    </row>
    <row r="829" spans="9:9">
      <c r="I829" s="765"/>
    </row>
    <row r="830" spans="9:9">
      <c r="I830" s="765"/>
    </row>
    <row r="831" spans="9:9">
      <c r="I831" s="765"/>
    </row>
    <row r="832" spans="9:9">
      <c r="I832" s="765"/>
    </row>
    <row r="833" spans="9:9">
      <c r="I833" s="765"/>
    </row>
    <row r="834" spans="9:9">
      <c r="I834" s="765"/>
    </row>
    <row r="835" spans="9:9">
      <c r="I835" s="765"/>
    </row>
    <row r="836" spans="9:9">
      <c r="I836" s="765"/>
    </row>
    <row r="837" spans="9:9">
      <c r="I837" s="765"/>
    </row>
    <row r="838" spans="9:9">
      <c r="I838" s="765"/>
    </row>
    <row r="839" spans="9:9">
      <c r="I839" s="765"/>
    </row>
    <row r="840" spans="9:9">
      <c r="I840" s="765"/>
    </row>
    <row r="841" spans="9:9">
      <c r="I841" s="765"/>
    </row>
    <row r="842" spans="9:9">
      <c r="I842" s="765"/>
    </row>
    <row r="843" spans="9:9">
      <c r="I843" s="765"/>
    </row>
    <row r="844" spans="9:9">
      <c r="I844" s="765"/>
    </row>
    <row r="845" spans="9:9">
      <c r="I845" s="765"/>
    </row>
    <row r="846" spans="9:9">
      <c r="I846" s="765"/>
    </row>
    <row r="847" spans="9:9">
      <c r="I847" s="765"/>
    </row>
    <row r="848" spans="9:9">
      <c r="I848" s="765"/>
    </row>
    <row r="849" spans="9:9">
      <c r="I849" s="765"/>
    </row>
    <row r="850" spans="9:9">
      <c r="I850" s="765"/>
    </row>
    <row r="851" spans="9:9">
      <c r="I851" s="765"/>
    </row>
    <row r="852" spans="9:9">
      <c r="I852" s="765"/>
    </row>
    <row r="853" spans="9:9">
      <c r="I853" s="765"/>
    </row>
    <row r="854" spans="9:9">
      <c r="I854" s="765"/>
    </row>
    <row r="855" spans="9:9">
      <c r="I855" s="765"/>
    </row>
    <row r="856" spans="9:9">
      <c r="I856" s="765"/>
    </row>
    <row r="857" spans="9:9">
      <c r="I857" s="765"/>
    </row>
    <row r="858" spans="9:9">
      <c r="I858" s="765"/>
    </row>
    <row r="859" spans="9:9">
      <c r="I859" s="765"/>
    </row>
    <row r="860" spans="9:9">
      <c r="I860" s="765"/>
    </row>
    <row r="861" spans="9:9">
      <c r="I861" s="765"/>
    </row>
    <row r="862" spans="9:9">
      <c r="I862" s="765"/>
    </row>
    <row r="863" spans="9:9">
      <c r="I863" s="765"/>
    </row>
    <row r="864" spans="9:9">
      <c r="I864" s="765"/>
    </row>
    <row r="865" spans="9:9">
      <c r="I865" s="765"/>
    </row>
    <row r="866" spans="9:9">
      <c r="I866" s="765"/>
    </row>
    <row r="867" spans="9:9">
      <c r="I867" s="765"/>
    </row>
    <row r="868" spans="9:9">
      <c r="I868" s="765"/>
    </row>
    <row r="869" spans="9:9">
      <c r="I869" s="765"/>
    </row>
    <row r="870" spans="9:9">
      <c r="I870" s="765"/>
    </row>
    <row r="871" spans="9:9">
      <c r="I871" s="765"/>
    </row>
    <row r="872" spans="9:9">
      <c r="I872" s="765"/>
    </row>
    <row r="873" spans="9:9">
      <c r="I873" s="765"/>
    </row>
    <row r="874" spans="9:9">
      <c r="I874" s="765"/>
    </row>
    <row r="875" spans="9:9">
      <c r="I875" s="765"/>
    </row>
    <row r="876" spans="9:9">
      <c r="I876" s="765"/>
    </row>
    <row r="877" spans="9:9">
      <c r="I877" s="765"/>
    </row>
    <row r="878" spans="9:9">
      <c r="I878" s="765"/>
    </row>
    <row r="879" spans="9:9">
      <c r="I879" s="765"/>
    </row>
    <row r="880" spans="9:9">
      <c r="I880" s="765"/>
    </row>
    <row r="881" spans="9:9">
      <c r="I881" s="765"/>
    </row>
    <row r="882" spans="9:9">
      <c r="I882" s="765"/>
    </row>
    <row r="883" spans="9:9">
      <c r="I883" s="765"/>
    </row>
    <row r="884" spans="9:9">
      <c r="I884" s="765"/>
    </row>
    <row r="885" spans="9:9">
      <c r="I885" s="765"/>
    </row>
    <row r="886" spans="9:9">
      <c r="I886" s="765"/>
    </row>
    <row r="887" spans="9:9">
      <c r="I887" s="765"/>
    </row>
    <row r="888" spans="9:9">
      <c r="I888" s="765"/>
    </row>
    <row r="889" spans="9:9">
      <c r="I889" s="765"/>
    </row>
    <row r="890" spans="9:9">
      <c r="I890" s="765"/>
    </row>
    <row r="891" spans="9:9">
      <c r="I891" s="765"/>
    </row>
    <row r="892" spans="9:9">
      <c r="I892" s="765"/>
    </row>
    <row r="893" spans="9:9">
      <c r="I893" s="765"/>
    </row>
    <row r="894" spans="9:9">
      <c r="I894" s="765"/>
    </row>
    <row r="895" spans="9:9">
      <c r="I895" s="765"/>
    </row>
    <row r="896" spans="9:9">
      <c r="I896" s="765"/>
    </row>
    <row r="897" spans="9:9">
      <c r="I897" s="765"/>
    </row>
    <row r="898" spans="9:9">
      <c r="I898" s="765"/>
    </row>
    <row r="899" spans="9:9">
      <c r="I899" s="765"/>
    </row>
    <row r="900" spans="9:9">
      <c r="I900" s="765"/>
    </row>
    <row r="901" spans="9:9">
      <c r="I901" s="765"/>
    </row>
    <row r="902" spans="9:9">
      <c r="I902" s="765"/>
    </row>
    <row r="903" spans="9:9">
      <c r="I903" s="765"/>
    </row>
    <row r="904" spans="9:9">
      <c r="I904" s="765"/>
    </row>
    <row r="905" spans="9:9">
      <c r="I905" s="765"/>
    </row>
    <row r="906" spans="9:9">
      <c r="I906" s="765"/>
    </row>
    <row r="907" spans="9:9">
      <c r="I907" s="765"/>
    </row>
    <row r="908" spans="9:9">
      <c r="I908" s="765"/>
    </row>
    <row r="909" spans="9:9">
      <c r="I909" s="765"/>
    </row>
    <row r="910" spans="9:9">
      <c r="I910" s="765"/>
    </row>
    <row r="911" spans="9:9">
      <c r="I911" s="765"/>
    </row>
    <row r="912" spans="9:9">
      <c r="I912" s="765"/>
    </row>
    <row r="913" spans="9:9">
      <c r="I913" s="765"/>
    </row>
    <row r="914" spans="9:9">
      <c r="I914" s="765"/>
    </row>
    <row r="915" spans="9:9">
      <c r="I915" s="765"/>
    </row>
    <row r="916" spans="9:9">
      <c r="I916" s="765"/>
    </row>
    <row r="917" spans="9:9">
      <c r="I917" s="765"/>
    </row>
    <row r="918" spans="9:9">
      <c r="I918" s="765"/>
    </row>
    <row r="919" spans="9:9">
      <c r="I919" s="765"/>
    </row>
    <row r="920" spans="9:9">
      <c r="I920" s="765"/>
    </row>
    <row r="921" spans="9:9">
      <c r="I921" s="765"/>
    </row>
    <row r="922" spans="9:9">
      <c r="I922" s="765"/>
    </row>
    <row r="923" spans="9:9">
      <c r="I923" s="765"/>
    </row>
    <row r="924" spans="9:9">
      <c r="I924" s="765"/>
    </row>
    <row r="925" spans="9:9">
      <c r="I925" s="765"/>
    </row>
    <row r="926" spans="9:9">
      <c r="I926" s="765"/>
    </row>
    <row r="927" spans="9:9">
      <c r="I927" s="765"/>
    </row>
    <row r="928" spans="9:9">
      <c r="I928" s="765"/>
    </row>
    <row r="929" spans="9:9">
      <c r="I929" s="765"/>
    </row>
    <row r="930" spans="9:9">
      <c r="I930" s="765"/>
    </row>
    <row r="931" spans="9:9">
      <c r="I931" s="765"/>
    </row>
    <row r="932" spans="9:9">
      <c r="I932" s="765"/>
    </row>
    <row r="933" spans="9:9">
      <c r="I933" s="765"/>
    </row>
    <row r="934" spans="9:9">
      <c r="I934" s="765"/>
    </row>
    <row r="935" spans="9:9">
      <c r="I935" s="765"/>
    </row>
    <row r="936" spans="9:9">
      <c r="I936" s="765"/>
    </row>
    <row r="937" spans="9:9">
      <c r="I937" s="765"/>
    </row>
    <row r="938" spans="9:9">
      <c r="I938" s="765"/>
    </row>
    <row r="939" spans="9:9">
      <c r="I939" s="765"/>
    </row>
    <row r="940" spans="9:9">
      <c r="I940" s="765"/>
    </row>
    <row r="941" spans="9:9">
      <c r="I941" s="765"/>
    </row>
    <row r="942" spans="9:9">
      <c r="I942" s="765"/>
    </row>
    <row r="943" spans="9:9">
      <c r="I943" s="765"/>
    </row>
    <row r="944" spans="9:9">
      <c r="I944" s="765"/>
    </row>
    <row r="945" spans="9:9">
      <c r="I945" s="765"/>
    </row>
    <row r="946" spans="9:9">
      <c r="I946" s="765"/>
    </row>
    <row r="947" spans="9:9">
      <c r="I947" s="765"/>
    </row>
    <row r="948" spans="9:9">
      <c r="I948" s="765"/>
    </row>
    <row r="949" spans="9:9">
      <c r="I949" s="765"/>
    </row>
    <row r="950" spans="9:9">
      <c r="I950" s="765"/>
    </row>
    <row r="951" spans="9:9">
      <c r="I951" s="765"/>
    </row>
    <row r="952" spans="9:9">
      <c r="I952" s="765"/>
    </row>
    <row r="953" spans="9:9">
      <c r="I953" s="765"/>
    </row>
    <row r="954" spans="9:9">
      <c r="I954" s="765"/>
    </row>
    <row r="955" spans="9:9">
      <c r="I955" s="765"/>
    </row>
    <row r="956" spans="9:9">
      <c r="I956" s="765"/>
    </row>
    <row r="957" spans="9:9">
      <c r="I957" s="765"/>
    </row>
    <row r="958" spans="9:9">
      <c r="I958" s="765"/>
    </row>
    <row r="959" spans="9:9">
      <c r="I959" s="765"/>
    </row>
    <row r="960" spans="9:9">
      <c r="I960" s="765"/>
    </row>
    <row r="961" spans="9:9">
      <c r="I961" s="765"/>
    </row>
    <row r="962" spans="9:9">
      <c r="I962" s="765"/>
    </row>
    <row r="963" spans="9:9">
      <c r="I963" s="765"/>
    </row>
    <row r="964" spans="9:9">
      <c r="I964" s="765"/>
    </row>
    <row r="965" spans="9:9">
      <c r="I965" s="765"/>
    </row>
    <row r="966" spans="9:9">
      <c r="I966" s="765"/>
    </row>
    <row r="967" spans="9:9">
      <c r="I967" s="765"/>
    </row>
    <row r="968" spans="9:9">
      <c r="I968" s="765"/>
    </row>
    <row r="969" spans="9:9">
      <c r="I969" s="765"/>
    </row>
    <row r="970" spans="9:9">
      <c r="I970" s="765"/>
    </row>
    <row r="971" spans="9:9">
      <c r="I971" s="765"/>
    </row>
    <row r="972" spans="9:9">
      <c r="I972" s="765"/>
    </row>
    <row r="973" spans="9:9">
      <c r="I973" s="765"/>
    </row>
    <row r="974" spans="9:9">
      <c r="I974" s="765"/>
    </row>
    <row r="975" spans="9:9">
      <c r="I975" s="765"/>
    </row>
    <row r="976" spans="9:9">
      <c r="I976" s="765"/>
    </row>
    <row r="977" spans="9:9">
      <c r="I977" s="765"/>
    </row>
    <row r="978" spans="9:9">
      <c r="I978" s="765"/>
    </row>
    <row r="979" spans="9:9">
      <c r="I979" s="765"/>
    </row>
    <row r="980" spans="9:9">
      <c r="I980" s="765"/>
    </row>
    <row r="981" spans="9:9">
      <c r="I981" s="765"/>
    </row>
    <row r="982" spans="9:9">
      <c r="I982" s="765"/>
    </row>
    <row r="983" spans="9:9">
      <c r="I983" s="765"/>
    </row>
    <row r="984" spans="9:9">
      <c r="I984" s="765"/>
    </row>
    <row r="985" spans="9:9">
      <c r="I985" s="765"/>
    </row>
    <row r="986" spans="9:9">
      <c r="I986" s="765"/>
    </row>
    <row r="987" spans="9:9">
      <c r="I987" s="765"/>
    </row>
    <row r="988" spans="9:9">
      <c r="I988" s="765"/>
    </row>
    <row r="989" spans="9:9">
      <c r="I989" s="765"/>
    </row>
    <row r="990" spans="9:9">
      <c r="I990" s="765"/>
    </row>
    <row r="991" spans="9:9">
      <c r="I991" s="765"/>
    </row>
    <row r="992" spans="9:9">
      <c r="I992" s="765"/>
    </row>
    <row r="993" spans="9:9">
      <c r="I993" s="765"/>
    </row>
    <row r="994" spans="9:9">
      <c r="I994" s="765"/>
    </row>
    <row r="995" spans="9:9">
      <c r="I995" s="765"/>
    </row>
    <row r="996" spans="9:9">
      <c r="I996" s="765"/>
    </row>
    <row r="997" spans="9:9">
      <c r="I997" s="765"/>
    </row>
    <row r="998" spans="9:9">
      <c r="I998" s="765"/>
    </row>
    <row r="999" spans="9:9">
      <c r="I999" s="765"/>
    </row>
    <row r="1000" spans="9:9">
      <c r="I1000" s="765"/>
    </row>
    <row r="1001" spans="9:9">
      <c r="I1001" s="765"/>
    </row>
    <row r="1002" spans="9:9">
      <c r="I1002" s="765"/>
    </row>
    <row r="1003" spans="9:9">
      <c r="I1003" s="765"/>
    </row>
    <row r="1004" spans="9:9">
      <c r="I1004" s="765"/>
    </row>
    <row r="1005" spans="9:9">
      <c r="I1005" s="765"/>
    </row>
    <row r="1006" spans="9:9">
      <c r="I1006" s="765"/>
    </row>
    <row r="1007" spans="9:9">
      <c r="I1007" s="765"/>
    </row>
    <row r="1008" spans="9:9">
      <c r="I1008" s="765"/>
    </row>
    <row r="1009" spans="9:9">
      <c r="I1009" s="765"/>
    </row>
    <row r="1010" spans="9:9">
      <c r="I1010" s="765"/>
    </row>
    <row r="1011" spans="9:9">
      <c r="I1011" s="765"/>
    </row>
    <row r="1012" spans="9:9">
      <c r="I1012" s="765"/>
    </row>
    <row r="1013" spans="9:9">
      <c r="I1013" s="765"/>
    </row>
    <row r="1014" spans="9:9">
      <c r="I1014" s="765"/>
    </row>
    <row r="1015" spans="9:9">
      <c r="I1015" s="765"/>
    </row>
    <row r="1016" spans="9:9">
      <c r="I1016" s="765"/>
    </row>
    <row r="1017" spans="9:9">
      <c r="I1017" s="765"/>
    </row>
    <row r="1018" spans="9:9">
      <c r="I1018" s="765"/>
    </row>
    <row r="1019" spans="9:9">
      <c r="I1019" s="765"/>
    </row>
    <row r="1020" spans="9:9">
      <c r="I1020" s="765"/>
    </row>
    <row r="1021" spans="9:9">
      <c r="I1021" s="765"/>
    </row>
    <row r="1022" spans="9:9">
      <c r="I1022" s="765"/>
    </row>
    <row r="1023" spans="9:9">
      <c r="I1023" s="765"/>
    </row>
    <row r="1024" spans="9:9">
      <c r="I1024" s="765"/>
    </row>
    <row r="1025" spans="9:9">
      <c r="I1025" s="765"/>
    </row>
    <row r="1026" spans="9:9">
      <c r="I1026" s="765"/>
    </row>
    <row r="1027" spans="9:9">
      <c r="I1027" s="765"/>
    </row>
    <row r="1028" spans="9:9">
      <c r="I1028" s="765"/>
    </row>
    <row r="1029" spans="9:9">
      <c r="I1029" s="765"/>
    </row>
    <row r="1030" spans="9:9">
      <c r="I1030" s="765"/>
    </row>
    <row r="1031" spans="9:9">
      <c r="I1031" s="765"/>
    </row>
    <row r="1032" spans="9:9">
      <c r="I1032" s="765"/>
    </row>
    <row r="1033" spans="9:9">
      <c r="I1033" s="765"/>
    </row>
    <row r="1034" spans="9:9">
      <c r="I1034" s="765"/>
    </row>
    <row r="1035" spans="9:9">
      <c r="I1035" s="765"/>
    </row>
    <row r="1036" spans="9:9">
      <c r="I1036" s="765"/>
    </row>
    <row r="1037" spans="9:9">
      <c r="I1037" s="765"/>
    </row>
    <row r="1038" spans="9:9">
      <c r="I1038" s="765"/>
    </row>
    <row r="1039" spans="9:9">
      <c r="I1039" s="765"/>
    </row>
    <row r="1040" spans="9:9">
      <c r="I1040" s="765"/>
    </row>
    <row r="1041" spans="9:9">
      <c r="I1041" s="765"/>
    </row>
    <row r="1042" spans="9:9">
      <c r="I1042" s="765"/>
    </row>
    <row r="1043" spans="9:9">
      <c r="I1043" s="765"/>
    </row>
    <row r="1044" spans="9:9">
      <c r="I1044" s="765"/>
    </row>
    <row r="1045" spans="9:9">
      <c r="I1045" s="765"/>
    </row>
    <row r="1046" spans="9:9">
      <c r="I1046" s="765"/>
    </row>
    <row r="1047" spans="9:9">
      <c r="I1047" s="765"/>
    </row>
    <row r="1048" spans="9:9">
      <c r="I1048" s="765"/>
    </row>
    <row r="1049" spans="9:9">
      <c r="I1049" s="765"/>
    </row>
    <row r="1050" spans="9:9">
      <c r="I1050" s="765"/>
    </row>
    <row r="1051" spans="9:9">
      <c r="I1051" s="765"/>
    </row>
    <row r="1052" spans="9:9">
      <c r="I1052" s="765"/>
    </row>
    <row r="1053" spans="9:9">
      <c r="I1053" s="765"/>
    </row>
    <row r="1054" spans="9:9">
      <c r="I1054" s="765"/>
    </row>
    <row r="1055" spans="9:9">
      <c r="I1055" s="765"/>
    </row>
    <row r="1056" spans="9:9">
      <c r="I1056" s="765"/>
    </row>
    <row r="1057" spans="9:9">
      <c r="I1057" s="765"/>
    </row>
    <row r="1058" spans="9:9">
      <c r="I1058" s="765"/>
    </row>
    <row r="1059" spans="9:9">
      <c r="I1059" s="765"/>
    </row>
    <row r="1060" spans="9:9">
      <c r="I1060" s="765"/>
    </row>
    <row r="1061" spans="9:9">
      <c r="I1061" s="765"/>
    </row>
    <row r="1062" spans="9:9">
      <c r="I1062" s="765"/>
    </row>
    <row r="1063" spans="9:9">
      <c r="I1063" s="765"/>
    </row>
    <row r="1064" spans="9:9">
      <c r="I1064" s="765"/>
    </row>
    <row r="1065" spans="9:9">
      <c r="I1065" s="765"/>
    </row>
    <row r="1066" spans="9:9">
      <c r="I1066" s="765"/>
    </row>
    <row r="1067" spans="9:9">
      <c r="I1067" s="765"/>
    </row>
    <row r="1068" spans="9:9">
      <c r="I1068" s="765"/>
    </row>
    <row r="1069" spans="9:9">
      <c r="I1069" s="765"/>
    </row>
    <row r="1070" spans="9:9">
      <c r="I1070" s="765"/>
    </row>
    <row r="1071" spans="9:9">
      <c r="I1071" s="765"/>
    </row>
    <row r="1072" spans="9:9">
      <c r="I1072" s="765"/>
    </row>
    <row r="1073" spans="9:9">
      <c r="I1073" s="765"/>
    </row>
    <row r="1074" spans="9:9">
      <c r="I1074" s="765"/>
    </row>
    <row r="1075" spans="9:9">
      <c r="I1075" s="765"/>
    </row>
    <row r="1076" spans="9:9">
      <c r="I1076" s="765"/>
    </row>
    <row r="1077" spans="9:9">
      <c r="I1077" s="765"/>
    </row>
    <row r="1078" spans="9:9">
      <c r="I1078" s="765"/>
    </row>
    <row r="1079" spans="9:9">
      <c r="I1079" s="765"/>
    </row>
    <row r="1080" spans="9:9">
      <c r="I1080" s="765"/>
    </row>
    <row r="1081" spans="9:9">
      <c r="I1081" s="765"/>
    </row>
    <row r="1082" spans="9:9">
      <c r="I1082" s="765"/>
    </row>
    <row r="1083" spans="9:9">
      <c r="I1083" s="765"/>
    </row>
    <row r="1084" spans="9:9">
      <c r="I1084" s="765"/>
    </row>
    <row r="1085" spans="9:9">
      <c r="I1085" s="765"/>
    </row>
    <row r="1086" spans="9:9">
      <c r="I1086" s="765"/>
    </row>
    <row r="1087" spans="9:9">
      <c r="I1087" s="765"/>
    </row>
    <row r="1088" spans="9:9">
      <c r="I1088" s="765"/>
    </row>
    <row r="1089" spans="9:9">
      <c r="I1089" s="765"/>
    </row>
    <row r="1090" spans="9:9">
      <c r="I1090" s="765"/>
    </row>
    <row r="1091" spans="9:9">
      <c r="I1091" s="765"/>
    </row>
    <row r="1092" spans="9:9">
      <c r="I1092" s="765"/>
    </row>
    <row r="1093" spans="9:9">
      <c r="I1093" s="765"/>
    </row>
    <row r="1094" spans="9:9">
      <c r="I1094" s="765"/>
    </row>
    <row r="1095" spans="9:9">
      <c r="I1095" s="765"/>
    </row>
    <row r="1096" spans="9:9">
      <c r="I1096" s="765"/>
    </row>
    <row r="1097" spans="9:9">
      <c r="I1097" s="765"/>
    </row>
    <row r="1098" spans="9:9">
      <c r="I1098" s="765"/>
    </row>
    <row r="1099" spans="9:9">
      <c r="I1099" s="765"/>
    </row>
    <row r="1100" spans="9:9">
      <c r="I1100" s="765"/>
    </row>
    <row r="1101" spans="9:9">
      <c r="I1101" s="765"/>
    </row>
    <row r="1102" spans="9:9">
      <c r="I1102" s="765"/>
    </row>
    <row r="1103" spans="9:9">
      <c r="I1103" s="765"/>
    </row>
    <row r="1104" spans="9:9">
      <c r="I1104" s="765"/>
    </row>
    <row r="1105" spans="9:9">
      <c r="I1105" s="765"/>
    </row>
    <row r="1106" spans="9:9">
      <c r="I1106" s="765"/>
    </row>
    <row r="1107" spans="9:9">
      <c r="I1107" s="765"/>
    </row>
    <row r="1108" spans="9:9">
      <c r="I1108" s="765"/>
    </row>
    <row r="1109" spans="9:9">
      <c r="I1109" s="765"/>
    </row>
    <row r="1110" spans="9:9">
      <c r="I1110" s="765"/>
    </row>
    <row r="1111" spans="9:9">
      <c r="I1111" s="765"/>
    </row>
    <row r="1112" spans="9:9">
      <c r="I1112" s="765"/>
    </row>
    <row r="1113" spans="9:9">
      <c r="I1113" s="765"/>
    </row>
    <row r="1114" spans="9:9">
      <c r="I1114" s="765"/>
    </row>
    <row r="1115" spans="9:9">
      <c r="I1115" s="765"/>
    </row>
    <row r="1116" spans="9:9">
      <c r="I1116" s="765"/>
    </row>
    <row r="1117" spans="9:9">
      <c r="I1117" s="765"/>
    </row>
    <row r="1118" spans="9:9">
      <c r="I1118" s="765"/>
    </row>
    <row r="1119" spans="9:9">
      <c r="I1119" s="765"/>
    </row>
    <row r="1120" spans="9:9">
      <c r="I1120" s="765"/>
    </row>
    <row r="1121" spans="9:9">
      <c r="I1121" s="765"/>
    </row>
    <row r="1122" spans="9:9">
      <c r="I1122" s="765"/>
    </row>
    <row r="1123" spans="9:9">
      <c r="I1123" s="765"/>
    </row>
    <row r="1124" spans="9:9">
      <c r="I1124" s="765"/>
    </row>
    <row r="1125" spans="9:9">
      <c r="I1125" s="765"/>
    </row>
    <row r="1126" spans="9:9">
      <c r="I1126" s="765"/>
    </row>
    <row r="1127" spans="9:9">
      <c r="I1127" s="765"/>
    </row>
    <row r="1128" spans="9:9">
      <c r="I1128" s="765"/>
    </row>
    <row r="1129" spans="9:9">
      <c r="I1129" s="765"/>
    </row>
    <row r="1130" spans="9:9">
      <c r="I1130" s="765"/>
    </row>
    <row r="1131" spans="9:9">
      <c r="I1131" s="765"/>
    </row>
    <row r="1132" spans="9:9">
      <c r="I1132" s="765"/>
    </row>
    <row r="1133" spans="9:9">
      <c r="I1133" s="765"/>
    </row>
    <row r="1134" spans="9:9">
      <c r="I1134" s="765"/>
    </row>
    <row r="1135" spans="9:9">
      <c r="I1135" s="765"/>
    </row>
    <row r="1136" spans="9:9">
      <c r="I1136" s="765"/>
    </row>
    <row r="1137" spans="9:9">
      <c r="I1137" s="765"/>
    </row>
    <row r="1138" spans="9:9">
      <c r="I1138" s="765"/>
    </row>
    <row r="1139" spans="9:9">
      <c r="I1139" s="765"/>
    </row>
    <row r="1140" spans="9:9">
      <c r="I1140" s="765"/>
    </row>
    <row r="1141" spans="9:9">
      <c r="I1141" s="765"/>
    </row>
    <row r="1142" spans="9:9">
      <c r="I1142" s="765"/>
    </row>
    <row r="1143" spans="9:9">
      <c r="I1143" s="765"/>
    </row>
    <row r="1144" spans="9:9">
      <c r="I1144" s="765"/>
    </row>
    <row r="1145" spans="9:9">
      <c r="I1145" s="765"/>
    </row>
    <row r="1146" spans="9:9">
      <c r="I1146" s="765"/>
    </row>
    <row r="1147" spans="9:9">
      <c r="I1147" s="765"/>
    </row>
    <row r="1148" spans="9:9">
      <c r="I1148" s="765"/>
    </row>
    <row r="1149" spans="9:9">
      <c r="I1149" s="765"/>
    </row>
    <row r="1150" spans="9:9">
      <c r="I1150" s="765"/>
    </row>
    <row r="1151" spans="9:9">
      <c r="I1151" s="765"/>
    </row>
    <row r="1152" spans="9:9">
      <c r="I1152" s="765"/>
    </row>
    <row r="1153" spans="9:9">
      <c r="I1153" s="765"/>
    </row>
    <row r="1154" spans="9:9">
      <c r="I1154" s="765"/>
    </row>
    <row r="1155" spans="9:9">
      <c r="I1155" s="765"/>
    </row>
    <row r="1156" spans="9:9">
      <c r="I1156" s="765"/>
    </row>
    <row r="1157" spans="9:9">
      <c r="I1157" s="765"/>
    </row>
    <row r="1158" spans="9:9">
      <c r="I1158" s="765"/>
    </row>
    <row r="1159" spans="9:9">
      <c r="I1159" s="765"/>
    </row>
    <row r="1160" spans="9:9">
      <c r="I1160" s="765"/>
    </row>
    <row r="1161" spans="9:9">
      <c r="I1161" s="765"/>
    </row>
    <row r="1162" spans="9:9">
      <c r="I1162" s="765"/>
    </row>
    <row r="1163" spans="9:9">
      <c r="I1163" s="765"/>
    </row>
    <row r="1164" spans="9:9">
      <c r="I1164" s="765"/>
    </row>
    <row r="1165" spans="9:9">
      <c r="I1165" s="765"/>
    </row>
    <row r="1166" spans="9:9">
      <c r="I1166" s="765"/>
    </row>
    <row r="1167" spans="9:9">
      <c r="I1167" s="765"/>
    </row>
    <row r="1168" spans="9:9">
      <c r="I1168" s="765"/>
    </row>
    <row r="1169" spans="9:9">
      <c r="I1169" s="765"/>
    </row>
    <row r="1170" spans="9:9">
      <c r="I1170" s="765"/>
    </row>
    <row r="1171" spans="9:9">
      <c r="I1171" s="765"/>
    </row>
    <row r="1172" spans="9:9">
      <c r="I1172" s="765"/>
    </row>
    <row r="1173" spans="9:9">
      <c r="I1173" s="765"/>
    </row>
    <row r="1174" spans="9:9">
      <c r="I1174" s="765"/>
    </row>
    <row r="1175" spans="9:9">
      <c r="I1175" s="765"/>
    </row>
    <row r="1176" spans="9:9">
      <c r="I1176" s="765"/>
    </row>
    <row r="1177" spans="9:9">
      <c r="I1177" s="765"/>
    </row>
    <row r="1178" spans="9:9">
      <c r="I1178" s="765"/>
    </row>
    <row r="1179" spans="9:9">
      <c r="I1179" s="765"/>
    </row>
    <row r="1180" spans="9:9">
      <c r="I1180" s="765"/>
    </row>
    <row r="1181" spans="9:9">
      <c r="I1181" s="765"/>
    </row>
    <row r="1182" spans="9:9">
      <c r="I1182" s="765"/>
    </row>
    <row r="1183" spans="9:9">
      <c r="I1183" s="765"/>
    </row>
    <row r="1184" spans="9:9">
      <c r="I1184" s="765"/>
    </row>
    <row r="1185" spans="9:9">
      <c r="I1185" s="765"/>
    </row>
    <row r="1186" spans="9:9">
      <c r="I1186" s="765"/>
    </row>
    <row r="1187" spans="9:9">
      <c r="I1187" s="765"/>
    </row>
    <row r="1188" spans="9:9">
      <c r="I1188" s="765"/>
    </row>
    <row r="1189" spans="9:9">
      <c r="I1189" s="765"/>
    </row>
    <row r="1190" spans="9:9">
      <c r="I1190" s="765"/>
    </row>
    <row r="1191" spans="9:9">
      <c r="I1191" s="765"/>
    </row>
    <row r="1192" spans="9:9">
      <c r="I1192" s="765"/>
    </row>
    <row r="1193" spans="9:9">
      <c r="I1193" s="765"/>
    </row>
    <row r="1194" spans="9:9">
      <c r="I1194" s="765"/>
    </row>
    <row r="1195" spans="9:9">
      <c r="I1195" s="765"/>
    </row>
    <row r="1196" spans="9:9">
      <c r="I1196" s="765"/>
    </row>
    <row r="1197" spans="9:9">
      <c r="I1197" s="765"/>
    </row>
    <row r="1198" spans="9:9">
      <c r="I1198" s="765"/>
    </row>
    <row r="1199" spans="9:9">
      <c r="I1199" s="765"/>
    </row>
    <row r="1200" spans="9:9">
      <c r="I1200" s="765"/>
    </row>
    <row r="1201" spans="9:9">
      <c r="I1201" s="765"/>
    </row>
    <row r="1202" spans="9:9">
      <c r="I1202" s="765"/>
    </row>
    <row r="1203" spans="9:9">
      <c r="I1203" s="765"/>
    </row>
    <row r="1204" spans="9:9">
      <c r="I1204" s="765"/>
    </row>
    <row r="1205" spans="9:9">
      <c r="I1205" s="765"/>
    </row>
    <row r="1206" spans="9:9">
      <c r="I1206" s="765"/>
    </row>
    <row r="1207" spans="9:9">
      <c r="I1207" s="765"/>
    </row>
    <row r="1208" spans="9:9">
      <c r="I1208" s="765"/>
    </row>
    <row r="1209" spans="9:9">
      <c r="I1209" s="765"/>
    </row>
    <row r="1210" spans="9:9">
      <c r="I1210" s="765"/>
    </row>
    <row r="1211" spans="9:9">
      <c r="I1211" s="765"/>
    </row>
    <row r="1212" spans="9:9">
      <c r="I1212" s="765"/>
    </row>
    <row r="1213" spans="9:9">
      <c r="I1213" s="765"/>
    </row>
    <row r="1214" spans="9:9">
      <c r="I1214" s="765"/>
    </row>
    <row r="1215" spans="9:9">
      <c r="I1215" s="765"/>
    </row>
    <row r="1216" spans="9:9">
      <c r="I1216" s="765"/>
    </row>
    <row r="1217" spans="9:9">
      <c r="I1217" s="765"/>
    </row>
    <row r="1218" spans="9:9">
      <c r="I1218" s="765"/>
    </row>
    <row r="1219" spans="9:9">
      <c r="I1219" s="765"/>
    </row>
    <row r="1220" spans="9:9">
      <c r="I1220" s="765"/>
    </row>
    <row r="1221" spans="9:9">
      <c r="I1221" s="765"/>
    </row>
    <row r="1222" spans="9:9">
      <c r="I1222" s="765"/>
    </row>
    <row r="1223" spans="9:9">
      <c r="I1223" s="765"/>
    </row>
    <row r="1224" spans="9:9">
      <c r="I1224" s="765"/>
    </row>
    <row r="1225" spans="9:9">
      <c r="I1225" s="765"/>
    </row>
    <row r="1226" spans="9:9">
      <c r="I1226" s="765"/>
    </row>
    <row r="1227" spans="9:9">
      <c r="I1227" s="765"/>
    </row>
    <row r="1228" spans="9:9">
      <c r="I1228" s="765"/>
    </row>
    <row r="1229" spans="9:9">
      <c r="I1229" s="765"/>
    </row>
    <row r="1230" spans="9:9">
      <c r="I1230" s="765"/>
    </row>
    <row r="1231" spans="9:9">
      <c r="I1231" s="765"/>
    </row>
    <row r="1232" spans="9:9">
      <c r="I1232" s="765"/>
    </row>
    <row r="1233" spans="9:9">
      <c r="I1233" s="765"/>
    </row>
    <row r="1234" spans="9:9">
      <c r="I1234" s="765"/>
    </row>
    <row r="1235" spans="9:9">
      <c r="I1235" s="765"/>
    </row>
    <row r="1236" spans="9:9">
      <c r="I1236" s="765"/>
    </row>
    <row r="1237" spans="9:9">
      <c r="I1237" s="765"/>
    </row>
    <row r="1238" spans="9:9">
      <c r="I1238" s="765"/>
    </row>
    <row r="1239" spans="9:9">
      <c r="I1239" s="765"/>
    </row>
    <row r="1240" spans="9:9">
      <c r="I1240" s="765"/>
    </row>
    <row r="1241" spans="9:9">
      <c r="I1241" s="765"/>
    </row>
    <row r="1242" spans="9:9">
      <c r="I1242" s="765"/>
    </row>
    <row r="1243" spans="9:9">
      <c r="I1243" s="765"/>
    </row>
    <row r="1244" spans="9:9">
      <c r="I1244" s="765"/>
    </row>
    <row r="1245" spans="9:9">
      <c r="I1245" s="765"/>
    </row>
    <row r="1246" spans="9:9">
      <c r="I1246" s="765"/>
    </row>
    <row r="1247" spans="9:9">
      <c r="I1247" s="765"/>
    </row>
    <row r="1248" spans="9:9">
      <c r="I1248" s="765"/>
    </row>
    <row r="1249" spans="9:9">
      <c r="I1249" s="765"/>
    </row>
    <row r="1250" spans="9:9">
      <c r="I1250" s="765"/>
    </row>
    <row r="1251" spans="9:9">
      <c r="I1251" s="765"/>
    </row>
    <row r="1252" spans="9:9">
      <c r="I1252" s="765"/>
    </row>
    <row r="1253" spans="9:9">
      <c r="I1253" s="765"/>
    </row>
    <row r="1254" spans="9:9">
      <c r="I1254" s="765"/>
    </row>
    <row r="1255" spans="9:9">
      <c r="I1255" s="765"/>
    </row>
    <row r="1256" spans="9:9">
      <c r="I1256" s="765"/>
    </row>
    <row r="1257" spans="9:9">
      <c r="I1257" s="765"/>
    </row>
    <row r="1258" spans="9:9">
      <c r="I1258" s="765"/>
    </row>
    <row r="1259" spans="9:9">
      <c r="I1259" s="765"/>
    </row>
    <row r="1260" spans="9:9">
      <c r="I1260" s="765"/>
    </row>
    <row r="1261" spans="9:9">
      <c r="I1261" s="765"/>
    </row>
    <row r="1262" spans="9:9">
      <c r="I1262" s="765"/>
    </row>
    <row r="1263" spans="9:9">
      <c r="I1263" s="765"/>
    </row>
    <row r="1264" spans="9:9">
      <c r="I1264" s="765"/>
    </row>
    <row r="1265" spans="9:9">
      <c r="I1265" s="765"/>
    </row>
    <row r="1266" spans="9:9">
      <c r="I1266" s="765"/>
    </row>
    <row r="1267" spans="9:9">
      <c r="I1267" s="765"/>
    </row>
    <row r="1268" spans="9:9">
      <c r="I1268" s="765"/>
    </row>
    <row r="1269" spans="9:9">
      <c r="I1269" s="765"/>
    </row>
    <row r="1270" spans="9:9">
      <c r="I1270" s="765"/>
    </row>
    <row r="1271" spans="9:9">
      <c r="I1271" s="765"/>
    </row>
    <row r="1272" spans="9:9">
      <c r="I1272" s="765"/>
    </row>
    <row r="1273" spans="9:9">
      <c r="I1273" s="765"/>
    </row>
    <row r="1274" spans="9:9">
      <c r="I1274" s="765"/>
    </row>
    <row r="1275" spans="9:9">
      <c r="I1275" s="765"/>
    </row>
    <row r="1276" spans="9:9">
      <c r="I1276" s="765"/>
    </row>
    <row r="1277" spans="9:9">
      <c r="I1277" s="765"/>
    </row>
    <row r="1278" spans="9:9">
      <c r="I1278" s="765"/>
    </row>
    <row r="1279" spans="9:9">
      <c r="I1279" s="765"/>
    </row>
    <row r="1280" spans="9:9">
      <c r="I1280" s="765"/>
    </row>
    <row r="1281" spans="9:9">
      <c r="I1281" s="765"/>
    </row>
    <row r="1282" spans="9:9">
      <c r="I1282" s="765"/>
    </row>
    <row r="1283" spans="9:9">
      <c r="I1283" s="765"/>
    </row>
    <row r="1284" spans="9:9">
      <c r="I1284" s="765"/>
    </row>
    <row r="1285" spans="9:9">
      <c r="I1285" s="765"/>
    </row>
    <row r="1286" spans="9:9">
      <c r="I1286" s="765"/>
    </row>
    <row r="1287" spans="9:9">
      <c r="I1287" s="765"/>
    </row>
    <row r="1288" spans="9:9">
      <c r="I1288" s="765"/>
    </row>
    <row r="1289" spans="9:9">
      <c r="I1289" s="765"/>
    </row>
    <row r="1290" spans="9:9">
      <c r="I1290" s="765"/>
    </row>
    <row r="1291" spans="9:9">
      <c r="I1291" s="765"/>
    </row>
    <row r="1292" spans="9:9">
      <c r="I1292" s="765"/>
    </row>
    <row r="1293" spans="9:9">
      <c r="I1293" s="765"/>
    </row>
    <row r="1294" spans="9:9">
      <c r="I1294" s="765"/>
    </row>
    <row r="1295" spans="9:9">
      <c r="I1295" s="765"/>
    </row>
    <row r="1296" spans="9:9">
      <c r="I1296" s="765"/>
    </row>
    <row r="1297" spans="9:9">
      <c r="I1297" s="765"/>
    </row>
    <row r="1298" spans="9:9">
      <c r="I1298" s="765"/>
    </row>
    <row r="1299" spans="9:9">
      <c r="I1299" s="765"/>
    </row>
    <row r="1300" spans="9:9">
      <c r="I1300" s="765"/>
    </row>
    <row r="1301" spans="9:9">
      <c r="I1301" s="765"/>
    </row>
    <row r="1302" spans="9:9">
      <c r="I1302" s="765"/>
    </row>
    <row r="1303" spans="9:9">
      <c r="I1303" s="765"/>
    </row>
    <row r="1304" spans="9:9">
      <c r="I1304" s="765"/>
    </row>
    <row r="1305" spans="9:9">
      <c r="I1305" s="765"/>
    </row>
    <row r="1306" spans="9:9">
      <c r="I1306" s="765"/>
    </row>
    <row r="1307" spans="9:9">
      <c r="I1307" s="765"/>
    </row>
    <row r="1308" spans="9:9">
      <c r="I1308" s="765"/>
    </row>
    <row r="1309" spans="9:9">
      <c r="I1309" s="765"/>
    </row>
    <row r="1310" spans="9:9">
      <c r="I1310" s="765"/>
    </row>
    <row r="1311" spans="9:9">
      <c r="I1311" s="765"/>
    </row>
    <row r="1312" spans="9:9">
      <c r="I1312" s="765"/>
    </row>
    <row r="1313" spans="9:9">
      <c r="I1313" s="765"/>
    </row>
    <row r="1314" spans="9:9">
      <c r="I1314" s="765"/>
    </row>
    <row r="1315" spans="9:9">
      <c r="I1315" s="765"/>
    </row>
    <row r="1316" spans="9:9">
      <c r="I1316" s="765"/>
    </row>
    <row r="1317" spans="9:9">
      <c r="I1317" s="765"/>
    </row>
    <row r="1318" spans="9:9">
      <c r="I1318" s="765"/>
    </row>
    <row r="1319" spans="9:9">
      <c r="I1319" s="765"/>
    </row>
    <row r="1320" spans="9:9">
      <c r="I1320" s="765"/>
    </row>
    <row r="1321" spans="9:9">
      <c r="I1321" s="765"/>
    </row>
    <row r="1322" spans="9:9">
      <c r="I1322" s="765"/>
    </row>
    <row r="1323" spans="9:9">
      <c r="I1323" s="765"/>
    </row>
    <row r="1324" spans="9:9">
      <c r="I1324" s="765"/>
    </row>
    <row r="1325" spans="9:9">
      <c r="I1325" s="765"/>
    </row>
    <row r="1326" spans="9:9">
      <c r="I1326" s="765"/>
    </row>
    <row r="1327" spans="9:9">
      <c r="I1327" s="765"/>
    </row>
    <row r="1328" spans="9:9">
      <c r="I1328" s="765"/>
    </row>
    <row r="1329" spans="9:9">
      <c r="I1329" s="765"/>
    </row>
    <row r="1330" spans="9:9">
      <c r="I1330" s="765"/>
    </row>
    <row r="1331" spans="9:9">
      <c r="I1331" s="765"/>
    </row>
    <row r="1332" spans="9:9">
      <c r="I1332" s="765"/>
    </row>
    <row r="1333" spans="9:9">
      <c r="I1333" s="765"/>
    </row>
    <row r="1334" spans="9:9">
      <c r="I1334" s="765"/>
    </row>
    <row r="1335" spans="9:9">
      <c r="I1335" s="765"/>
    </row>
    <row r="1336" spans="9:9">
      <c r="I1336" s="765"/>
    </row>
    <row r="1337" spans="9:9">
      <c r="I1337" s="765"/>
    </row>
    <row r="1338" spans="9:9">
      <c r="I1338" s="765"/>
    </row>
    <row r="1339" spans="9:9">
      <c r="I1339" s="765"/>
    </row>
    <row r="1340" spans="9:9">
      <c r="I1340" s="765"/>
    </row>
    <row r="1341" spans="9:9">
      <c r="I1341" s="765"/>
    </row>
    <row r="1342" spans="9:9">
      <c r="I1342" s="765"/>
    </row>
    <row r="1343" spans="9:9">
      <c r="I1343" s="765"/>
    </row>
    <row r="1344" spans="9:9">
      <c r="I1344" s="765"/>
    </row>
    <row r="1345" spans="9:9">
      <c r="I1345" s="765"/>
    </row>
    <row r="1346" spans="9:9">
      <c r="I1346" s="765"/>
    </row>
    <row r="1347" spans="9:9">
      <c r="I1347" s="765"/>
    </row>
    <row r="1348" spans="9:9">
      <c r="I1348" s="765"/>
    </row>
    <row r="1349" spans="9:9">
      <c r="I1349" s="765"/>
    </row>
    <row r="1350" spans="9:9">
      <c r="I1350" s="765"/>
    </row>
    <row r="1351" spans="9:9">
      <c r="I1351" s="765"/>
    </row>
    <row r="1352" spans="9:9">
      <c r="I1352" s="765"/>
    </row>
    <row r="1353" spans="9:9">
      <c r="I1353" s="765"/>
    </row>
    <row r="1354" spans="9:9">
      <c r="I1354" s="765"/>
    </row>
    <row r="1355" spans="9:9">
      <c r="I1355" s="765"/>
    </row>
    <row r="1356" spans="9:9">
      <c r="I1356" s="765"/>
    </row>
    <row r="1357" spans="9:9">
      <c r="I1357" s="765"/>
    </row>
    <row r="1358" spans="9:9">
      <c r="I1358" s="765"/>
    </row>
    <row r="1359" spans="9:9">
      <c r="I1359" s="765"/>
    </row>
    <row r="1360" spans="9:9">
      <c r="I1360" s="765"/>
    </row>
    <row r="1361" spans="9:9">
      <c r="I1361" s="765"/>
    </row>
    <row r="1362" spans="9:9">
      <c r="I1362" s="765"/>
    </row>
    <row r="1363" spans="9:9">
      <c r="I1363" s="765"/>
    </row>
    <row r="1364" spans="9:9">
      <c r="I1364" s="765"/>
    </row>
    <row r="1365" spans="9:9">
      <c r="I1365" s="765"/>
    </row>
    <row r="1366" spans="9:9">
      <c r="I1366" s="765"/>
    </row>
    <row r="1367" spans="9:9">
      <c r="I1367" s="765"/>
    </row>
    <row r="1368" spans="9:9">
      <c r="I1368" s="765"/>
    </row>
    <row r="1369" spans="9:9">
      <c r="I1369" s="765"/>
    </row>
    <row r="1370" spans="9:9">
      <c r="I1370" s="765"/>
    </row>
    <row r="1371" spans="9:9">
      <c r="I1371" s="765"/>
    </row>
    <row r="1372" spans="9:9">
      <c r="I1372" s="765"/>
    </row>
    <row r="1373" spans="9:9">
      <c r="I1373" s="765"/>
    </row>
    <row r="1374" spans="9:9">
      <c r="I1374" s="765"/>
    </row>
    <row r="1375" spans="9:9">
      <c r="I1375" s="765"/>
    </row>
    <row r="1376" spans="9:9">
      <c r="I1376" s="765"/>
    </row>
    <row r="1377" spans="9:9">
      <c r="I1377" s="765"/>
    </row>
    <row r="1378" spans="9:9">
      <c r="I1378" s="765"/>
    </row>
    <row r="1379" spans="9:9">
      <c r="I1379" s="765"/>
    </row>
    <row r="1380" spans="9:9">
      <c r="I1380" s="765"/>
    </row>
    <row r="1381" spans="9:9">
      <c r="I1381" s="765"/>
    </row>
    <row r="1382" spans="9:9">
      <c r="I1382" s="765"/>
    </row>
    <row r="1383" spans="9:9">
      <c r="I1383" s="765"/>
    </row>
    <row r="1384" spans="9:9">
      <c r="I1384" s="765"/>
    </row>
    <row r="1385" spans="9:9">
      <c r="I1385" s="765"/>
    </row>
    <row r="1386" spans="9:9">
      <c r="I1386" s="765"/>
    </row>
    <row r="1387" spans="9:9">
      <c r="I1387" s="765"/>
    </row>
    <row r="1388" spans="9:9">
      <c r="I1388" s="765"/>
    </row>
    <row r="1389" spans="9:9">
      <c r="I1389" s="765"/>
    </row>
    <row r="1390" spans="9:9">
      <c r="I1390" s="765"/>
    </row>
    <row r="1391" spans="9:9">
      <c r="I1391" s="765"/>
    </row>
    <row r="1392" spans="9:9">
      <c r="I1392" s="765"/>
    </row>
    <row r="1393" spans="9:9">
      <c r="I1393" s="765"/>
    </row>
    <row r="1394" spans="9:9">
      <c r="I1394" s="765"/>
    </row>
    <row r="1395" spans="9:9">
      <c r="I1395" s="765"/>
    </row>
    <row r="1396" spans="9:9">
      <c r="I1396" s="765"/>
    </row>
    <row r="1397" spans="9:9">
      <c r="I1397" s="765"/>
    </row>
    <row r="1398" spans="9:9">
      <c r="I1398" s="765"/>
    </row>
    <row r="1399" spans="9:9">
      <c r="I1399" s="765"/>
    </row>
    <row r="1400" spans="9:9">
      <c r="I1400" s="765"/>
    </row>
    <row r="1401" spans="9:9">
      <c r="I1401" s="765"/>
    </row>
    <row r="1402" spans="9:9">
      <c r="I1402" s="765"/>
    </row>
    <row r="1403" spans="9:9">
      <c r="I1403" s="765"/>
    </row>
    <row r="1404" spans="9:9">
      <c r="I1404" s="765"/>
    </row>
    <row r="1405" spans="9:9">
      <c r="I1405" s="765"/>
    </row>
    <row r="1406" spans="9:9">
      <c r="I1406" s="765"/>
    </row>
    <row r="1407" spans="9:9">
      <c r="I1407" s="765"/>
    </row>
    <row r="1408" spans="9:9">
      <c r="I1408" s="765"/>
    </row>
    <row r="1409" spans="9:9">
      <c r="I1409" s="765"/>
    </row>
    <row r="1410" spans="9:9">
      <c r="I1410" s="765"/>
    </row>
    <row r="1411" spans="9:9">
      <c r="I1411" s="765"/>
    </row>
    <row r="1412" spans="9:9">
      <c r="I1412" s="765"/>
    </row>
    <row r="1413" spans="9:9">
      <c r="I1413" s="765"/>
    </row>
    <row r="1414" spans="9:9">
      <c r="I1414" s="765"/>
    </row>
    <row r="1415" spans="9:9">
      <c r="I1415" s="765"/>
    </row>
    <row r="1416" spans="9:9">
      <c r="I1416" s="765"/>
    </row>
    <row r="1417" spans="9:9">
      <c r="I1417" s="765"/>
    </row>
    <row r="1418" spans="9:9">
      <c r="I1418" s="765"/>
    </row>
    <row r="1419" spans="9:9">
      <c r="I1419" s="765"/>
    </row>
    <row r="1420" spans="9:9">
      <c r="I1420" s="765"/>
    </row>
    <row r="1421" spans="9:9">
      <c r="I1421" s="765"/>
    </row>
    <row r="1422" spans="9:9">
      <c r="I1422" s="765"/>
    </row>
    <row r="1423" spans="9:9">
      <c r="I1423" s="765"/>
    </row>
    <row r="1424" spans="9:9">
      <c r="I1424" s="765"/>
    </row>
    <row r="1425" spans="9:9">
      <c r="I1425" s="765"/>
    </row>
    <row r="1426" spans="9:9">
      <c r="I1426" s="765"/>
    </row>
    <row r="1427" spans="9:9">
      <c r="I1427" s="765"/>
    </row>
    <row r="1428" spans="9:9">
      <c r="I1428" s="765"/>
    </row>
    <row r="1429" spans="9:9">
      <c r="I1429" s="765"/>
    </row>
    <row r="1430" spans="9:9">
      <c r="I1430" s="765"/>
    </row>
    <row r="1431" spans="9:9">
      <c r="I1431" s="765"/>
    </row>
    <row r="1432" spans="9:9">
      <c r="I1432" s="765"/>
    </row>
    <row r="1433" spans="9:9">
      <c r="I1433" s="765"/>
    </row>
    <row r="1434" spans="9:9">
      <c r="I1434" s="765"/>
    </row>
    <row r="1435" spans="9:9">
      <c r="I1435" s="765"/>
    </row>
    <row r="1436" spans="9:9">
      <c r="I1436" s="765"/>
    </row>
  </sheetData>
  <mergeCells count="2">
    <mergeCell ref="A51:I51"/>
    <mergeCell ref="A53:I53"/>
  </mergeCells>
  <printOptions horizontalCentered="1"/>
  <pageMargins left="0.7" right="0.5" top="0.49" bottom="0.25" header="0.48" footer="0.25"/>
  <pageSetup scale="59" orientation="landscape"/>
  <headerFooter scaleWithDoc="0">
    <oddFooter>&amp;R&amp;8 91</odd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60"/>
  <sheetViews>
    <sheetView showGridLines="0" zoomScale="80" zoomScaleNormal="70" zoomScalePageLayoutView="70" workbookViewId="0"/>
  </sheetViews>
  <sheetFormatPr baseColWidth="10" defaultColWidth="8.85546875" defaultRowHeight="15" x14ac:dyDescent="0"/>
  <cols>
    <col min="1" max="1" width="52.42578125" style="768" customWidth="1"/>
    <col min="2" max="2" width="2.140625" style="768" customWidth="1"/>
    <col min="3" max="3" width="22.5703125" style="768" bestFit="1" customWidth="1"/>
    <col min="4" max="4" width="2.140625" style="768" customWidth="1"/>
    <col min="5" max="5" width="17.42578125" style="768" customWidth="1"/>
    <col min="6" max="6" width="2.140625" style="768" customWidth="1"/>
    <col min="7" max="7" width="17.42578125" style="768" customWidth="1"/>
    <col min="8" max="8" width="2.140625" style="768" customWidth="1"/>
    <col min="9" max="9" width="17.42578125" style="768" customWidth="1"/>
    <col min="10" max="10" width="2.140625" style="768" customWidth="1"/>
    <col min="11" max="11" width="18.85546875" style="768" customWidth="1"/>
    <col min="12" max="12" width="2.140625" style="768" customWidth="1"/>
    <col min="13" max="14" width="2.140625" style="769" customWidth="1"/>
    <col min="15" max="15" width="17.42578125" style="769" customWidth="1"/>
    <col min="16" max="16" width="2.140625" style="769" customWidth="1"/>
    <col min="17" max="17" width="17.42578125" style="769" customWidth="1"/>
    <col min="18" max="18" width="2.5703125" style="768" customWidth="1"/>
    <col min="19" max="19" width="17.140625" style="768" customWidth="1"/>
    <col min="20" max="16384" width="8.85546875" style="768"/>
  </cols>
  <sheetData>
    <row r="1" spans="1:17">
      <c r="A1" s="1582" t="s">
        <v>1443</v>
      </c>
    </row>
    <row r="3" spans="1:17" ht="18">
      <c r="A3" s="767" t="s">
        <v>0</v>
      </c>
      <c r="Q3" s="770" t="s">
        <v>590</v>
      </c>
    </row>
    <row r="4" spans="1:17" ht="18">
      <c r="A4" s="767" t="s">
        <v>591</v>
      </c>
    </row>
    <row r="5" spans="1:17" ht="18">
      <c r="A5" s="767" t="s">
        <v>2585</v>
      </c>
    </row>
    <row r="6" spans="1:17" ht="18">
      <c r="A6" s="767"/>
    </row>
    <row r="7" spans="1:17" ht="18">
      <c r="A7" s="767"/>
    </row>
    <row r="9" spans="1:17" ht="17">
      <c r="C9" s="2425" t="s">
        <v>592</v>
      </c>
      <c r="D9" s="2425"/>
      <c r="E9" s="2425"/>
      <c r="F9" s="2425"/>
      <c r="G9" s="2425"/>
      <c r="H9" s="2425"/>
      <c r="I9" s="2425"/>
      <c r="J9" s="2425"/>
      <c r="K9" s="2425"/>
      <c r="O9" s="2425" t="s">
        <v>593</v>
      </c>
      <c r="P9" s="2426"/>
      <c r="Q9" s="2426"/>
    </row>
    <row r="10" spans="1:17">
      <c r="K10" s="769"/>
      <c r="L10" s="769"/>
      <c r="M10" s="771"/>
      <c r="O10" s="768"/>
      <c r="P10" s="768"/>
      <c r="Q10" s="768"/>
    </row>
    <row r="11" spans="1:17" s="772" customFormat="1" ht="17">
      <c r="C11" s="773" t="s">
        <v>594</v>
      </c>
      <c r="E11" s="2425" t="s">
        <v>595</v>
      </c>
      <c r="F11" s="2425"/>
      <c r="G11" s="2425"/>
      <c r="K11" s="774" t="s">
        <v>594</v>
      </c>
      <c r="L11" s="775"/>
      <c r="M11" s="776"/>
      <c r="N11" s="775"/>
    </row>
    <row r="12" spans="1:17" s="772" customFormat="1" ht="17">
      <c r="A12" s="777" t="s">
        <v>596</v>
      </c>
      <c r="C12" s="778" t="s">
        <v>2593</v>
      </c>
      <c r="E12" s="777" t="s">
        <v>597</v>
      </c>
      <c r="F12" s="774"/>
      <c r="G12" s="777" t="s">
        <v>598</v>
      </c>
      <c r="I12" s="777" t="s">
        <v>599</v>
      </c>
      <c r="K12" s="778" t="s">
        <v>2592</v>
      </c>
      <c r="L12" s="775"/>
      <c r="M12" s="776"/>
      <c r="N12" s="775"/>
      <c r="O12" s="778" t="s">
        <v>2592</v>
      </c>
      <c r="Q12" s="778" t="s">
        <v>1927</v>
      </c>
    </row>
    <row r="13" spans="1:17">
      <c r="B13" s="779"/>
      <c r="C13" s="779"/>
      <c r="D13" s="779"/>
      <c r="E13" s="779"/>
      <c r="F13" s="779"/>
      <c r="G13" s="779"/>
      <c r="H13" s="779"/>
      <c r="I13" s="779"/>
      <c r="J13" s="779"/>
      <c r="K13" s="780"/>
      <c r="L13" s="780"/>
      <c r="M13" s="781"/>
      <c r="N13" s="780"/>
      <c r="O13" s="780"/>
      <c r="P13" s="779"/>
      <c r="Q13" s="780"/>
    </row>
    <row r="14" spans="1:17">
      <c r="A14" s="782" t="s">
        <v>600</v>
      </c>
      <c r="B14" s="768" t="s">
        <v>6</v>
      </c>
      <c r="C14" s="779"/>
      <c r="D14" s="779"/>
      <c r="E14" s="779"/>
      <c r="F14" s="779"/>
      <c r="G14" s="779"/>
      <c r="H14" s="779"/>
      <c r="I14" s="779"/>
      <c r="J14" s="779"/>
      <c r="K14" s="780"/>
      <c r="L14" s="780"/>
      <c r="M14" s="781"/>
      <c r="N14" s="780"/>
      <c r="O14" s="780"/>
      <c r="P14" s="779"/>
      <c r="Q14" s="780"/>
    </row>
    <row r="15" spans="1:17">
      <c r="A15" s="783" t="s">
        <v>2550</v>
      </c>
      <c r="B15" s="768" t="s">
        <v>6</v>
      </c>
      <c r="C15" s="784">
        <v>151044395.19</v>
      </c>
      <c r="D15" s="785"/>
      <c r="E15" s="784">
        <v>0</v>
      </c>
      <c r="F15" s="785"/>
      <c r="G15" s="784">
        <v>0</v>
      </c>
      <c r="H15" s="785"/>
      <c r="I15" s="784">
        <v>44088768.140000001</v>
      </c>
      <c r="J15" s="785"/>
      <c r="K15" s="784">
        <f>ROUND(SUM(C15)+SUM(E15)+SUM(G15)-SUM(I15),2)</f>
        <v>106955627.05</v>
      </c>
      <c r="L15" s="769"/>
      <c r="M15" s="771"/>
      <c r="N15" s="785"/>
      <c r="O15" s="784">
        <v>4951534.67</v>
      </c>
      <c r="P15" s="785"/>
      <c r="Q15" s="784">
        <v>9150971.4499999993</v>
      </c>
    </row>
    <row r="16" spans="1:17">
      <c r="A16" s="782" t="s">
        <v>601</v>
      </c>
      <c r="B16" s="768" t="s">
        <v>6</v>
      </c>
      <c r="C16" s="786"/>
      <c r="D16" s="779"/>
      <c r="E16" s="787"/>
      <c r="F16" s="788"/>
      <c r="G16" s="787"/>
      <c r="H16" s="779"/>
      <c r="I16" s="786"/>
      <c r="J16" s="779"/>
      <c r="K16" s="786"/>
      <c r="L16" s="779"/>
      <c r="M16" s="781"/>
      <c r="N16" s="779"/>
      <c r="O16" s="789"/>
      <c r="P16" s="779"/>
      <c r="Q16" s="789"/>
    </row>
    <row r="17" spans="1:17">
      <c r="A17" s="768" t="s">
        <v>602</v>
      </c>
      <c r="B17" s="768" t="s">
        <v>6</v>
      </c>
      <c r="C17" s="790">
        <v>9754327.5999999996</v>
      </c>
      <c r="D17" s="779"/>
      <c r="E17" s="791">
        <v>0</v>
      </c>
      <c r="F17" s="792"/>
      <c r="G17" s="791">
        <v>0</v>
      </c>
      <c r="H17" s="779"/>
      <c r="I17" s="790">
        <v>6743375.5099999998</v>
      </c>
      <c r="J17" s="779"/>
      <c r="K17" s="790">
        <f>ROUND(SUM(C17)+SUM(E17)+SUM(G17)-SUM(I17),2)</f>
        <v>3010952.09</v>
      </c>
      <c r="L17" s="779"/>
      <c r="M17" s="781"/>
      <c r="N17" s="779"/>
      <c r="O17" s="793">
        <v>302387.62</v>
      </c>
      <c r="P17" s="779"/>
      <c r="Q17" s="793">
        <v>656917.62</v>
      </c>
    </row>
    <row r="18" spans="1:17">
      <c r="A18" s="768" t="s">
        <v>603</v>
      </c>
      <c r="B18" s="768" t="s">
        <v>6</v>
      </c>
      <c r="C18" s="790">
        <v>0</v>
      </c>
      <c r="D18" s="779"/>
      <c r="E18" s="791">
        <v>0</v>
      </c>
      <c r="F18" s="794"/>
      <c r="G18" s="791">
        <v>0</v>
      </c>
      <c r="H18" s="779"/>
      <c r="I18" s="790">
        <v>0</v>
      </c>
      <c r="J18" s="779"/>
      <c r="K18" s="790">
        <f t="shared" ref="K18:K21" si="0">ROUND(SUM(C18)+SUM(E18)+SUM(G18)-SUM(I18),2)</f>
        <v>0</v>
      </c>
      <c r="L18" s="779"/>
      <c r="M18" s="781"/>
      <c r="N18" s="779"/>
      <c r="O18" s="793">
        <v>0</v>
      </c>
      <c r="P18" s="779"/>
      <c r="Q18" s="793">
        <v>376.74</v>
      </c>
    </row>
    <row r="19" spans="1:17">
      <c r="A19" s="768" t="s">
        <v>604</v>
      </c>
      <c r="B19" s="768" t="s">
        <v>6</v>
      </c>
      <c r="C19" s="790">
        <v>429426360.5</v>
      </c>
      <c r="D19" s="779"/>
      <c r="E19" s="791">
        <v>0</v>
      </c>
      <c r="F19" s="795"/>
      <c r="G19" s="790">
        <v>0</v>
      </c>
      <c r="H19" s="779"/>
      <c r="I19" s="790">
        <v>26882315.890000001</v>
      </c>
      <c r="J19" s="779"/>
      <c r="K19" s="790">
        <f t="shared" si="0"/>
        <v>402544044.61000001</v>
      </c>
      <c r="L19" s="779"/>
      <c r="M19" s="781"/>
      <c r="N19" s="779"/>
      <c r="O19" s="793">
        <v>15292838.51</v>
      </c>
      <c r="P19" s="779"/>
      <c r="Q19" s="793">
        <v>16532867.720000001</v>
      </c>
    </row>
    <row r="20" spans="1:17">
      <c r="A20" s="768" t="s">
        <v>605</v>
      </c>
      <c r="B20" s="768" t="s">
        <v>6</v>
      </c>
      <c r="C20" s="790">
        <v>42810106.090000004</v>
      </c>
      <c r="D20" s="779"/>
      <c r="E20" s="791">
        <v>0</v>
      </c>
      <c r="F20" s="795"/>
      <c r="G20" s="791">
        <v>0</v>
      </c>
      <c r="H20" s="779"/>
      <c r="I20" s="790">
        <v>5684197.6699999999</v>
      </c>
      <c r="J20" s="779"/>
      <c r="K20" s="790">
        <f t="shared" si="0"/>
        <v>37125908.420000002</v>
      </c>
      <c r="L20" s="779"/>
      <c r="M20" s="781"/>
      <c r="N20" s="779"/>
      <c r="O20" s="793">
        <v>777868.31</v>
      </c>
      <c r="P20" s="779"/>
      <c r="Q20" s="793">
        <v>1063745.7</v>
      </c>
    </row>
    <row r="21" spans="1:17">
      <c r="A21" s="768" t="s">
        <v>606</v>
      </c>
      <c r="B21" s="768" t="s">
        <v>6</v>
      </c>
      <c r="C21" s="790">
        <v>91604900.75</v>
      </c>
      <c r="D21" s="779"/>
      <c r="E21" s="791">
        <v>0</v>
      </c>
      <c r="F21" s="795"/>
      <c r="G21" s="790">
        <v>0</v>
      </c>
      <c r="H21" s="779"/>
      <c r="I21" s="790">
        <v>12340510.199999999</v>
      </c>
      <c r="J21" s="779"/>
      <c r="K21" s="790">
        <f t="shared" si="0"/>
        <v>79264390.549999997</v>
      </c>
      <c r="L21" s="779"/>
      <c r="M21" s="781"/>
      <c r="N21" s="779"/>
      <c r="O21" s="793">
        <v>3768087.51</v>
      </c>
      <c r="P21" s="779"/>
      <c r="Q21" s="793">
        <v>3352018.31</v>
      </c>
    </row>
    <row r="22" spans="1:17">
      <c r="A22" s="782" t="s">
        <v>607</v>
      </c>
      <c r="B22" s="779" t="s">
        <v>6</v>
      </c>
      <c r="C22" s="786"/>
      <c r="D22" s="779"/>
      <c r="E22" s="787"/>
      <c r="F22" s="796"/>
      <c r="G22" s="787"/>
      <c r="H22" s="779"/>
      <c r="I22" s="786"/>
      <c r="J22" s="779"/>
      <c r="K22" s="786"/>
      <c r="L22" s="779"/>
      <c r="M22" s="781"/>
      <c r="N22" s="779"/>
      <c r="O22" s="789"/>
      <c r="P22" s="779"/>
      <c r="Q22" s="789"/>
    </row>
    <row r="23" spans="1:17">
      <c r="A23" s="768" t="s">
        <v>608</v>
      </c>
      <c r="B23" s="768" t="s">
        <v>6</v>
      </c>
      <c r="C23" s="797">
        <v>0</v>
      </c>
      <c r="D23" s="779"/>
      <c r="E23" s="791">
        <v>0</v>
      </c>
      <c r="F23" s="794"/>
      <c r="G23" s="791">
        <v>0</v>
      </c>
      <c r="H23" s="779"/>
      <c r="I23" s="797">
        <v>0</v>
      </c>
      <c r="J23" s="779"/>
      <c r="K23" s="790">
        <f>ROUND(SUM(C23)+SUM(E23)+SUM(G23)-SUM(I23),2)</f>
        <v>0</v>
      </c>
      <c r="L23" s="779"/>
      <c r="M23" s="781"/>
      <c r="N23" s="779"/>
      <c r="O23" s="797">
        <v>0</v>
      </c>
      <c r="P23" s="779"/>
      <c r="Q23" s="797">
        <v>0</v>
      </c>
    </row>
    <row r="24" spans="1:17" ht="14.25" customHeight="1">
      <c r="A24" s="768" t="s">
        <v>609</v>
      </c>
      <c r="B24" s="768" t="s">
        <v>6</v>
      </c>
      <c r="C24" s="790">
        <v>5286209.05</v>
      </c>
      <c r="D24" s="779"/>
      <c r="E24" s="791">
        <v>0</v>
      </c>
      <c r="F24" s="794"/>
      <c r="G24" s="791">
        <v>0</v>
      </c>
      <c r="H24" s="779"/>
      <c r="I24" s="790">
        <v>2712050.29</v>
      </c>
      <c r="J24" s="779"/>
      <c r="K24" s="790">
        <f t="shared" ref="K24:K56" si="1">ROUND(SUM(C24)+SUM(E24)+SUM(G24)-SUM(I24),2)</f>
        <v>2574158.7599999998</v>
      </c>
      <c r="L24" s="779"/>
      <c r="M24" s="781"/>
      <c r="N24" s="779"/>
      <c r="O24" s="793">
        <v>171353.98</v>
      </c>
      <c r="P24" s="779"/>
      <c r="Q24" s="793">
        <v>273740.01</v>
      </c>
    </row>
    <row r="25" spans="1:17">
      <c r="A25" s="782" t="s">
        <v>2612</v>
      </c>
      <c r="B25" s="779" t="s">
        <v>6</v>
      </c>
      <c r="C25" s="786" t="s">
        <v>6</v>
      </c>
      <c r="D25" s="779"/>
      <c r="E25" s="787"/>
      <c r="F25" s="796"/>
      <c r="G25" s="787"/>
      <c r="H25" s="779"/>
      <c r="I25" s="786"/>
      <c r="J25" s="779"/>
      <c r="K25" s="790" t="s">
        <v>6</v>
      </c>
      <c r="L25" s="779"/>
      <c r="M25" s="781"/>
      <c r="N25" s="779"/>
      <c r="O25" s="789"/>
      <c r="P25" s="779"/>
      <c r="Q25" s="789"/>
    </row>
    <row r="26" spans="1:17">
      <c r="A26" s="768" t="s">
        <v>610</v>
      </c>
      <c r="B26" s="768" t="s">
        <v>6</v>
      </c>
      <c r="C26" s="798">
        <v>2986458.23</v>
      </c>
      <c r="D26" s="779"/>
      <c r="E26" s="791">
        <v>0</v>
      </c>
      <c r="F26" s="792"/>
      <c r="G26" s="791">
        <v>0</v>
      </c>
      <c r="H26" s="779"/>
      <c r="I26" s="790">
        <v>2491604.94</v>
      </c>
      <c r="J26" s="779"/>
      <c r="K26" s="790">
        <f t="shared" si="1"/>
        <v>494853.29</v>
      </c>
      <c r="L26" s="779"/>
      <c r="M26" s="781"/>
      <c r="N26" s="779"/>
      <c r="O26" s="793">
        <v>86827.17</v>
      </c>
      <c r="P26" s="779"/>
      <c r="Q26" s="793">
        <v>194136.6</v>
      </c>
    </row>
    <row r="27" spans="1:17">
      <c r="A27" s="768" t="s">
        <v>611</v>
      </c>
      <c r="B27" s="768" t="s">
        <v>6</v>
      </c>
      <c r="C27" s="798">
        <v>10029155.140000001</v>
      </c>
      <c r="D27" s="779"/>
      <c r="E27" s="791">
        <v>0</v>
      </c>
      <c r="F27" s="799"/>
      <c r="G27" s="791">
        <v>0</v>
      </c>
      <c r="H27" s="779"/>
      <c r="I27" s="790">
        <v>3357286.96</v>
      </c>
      <c r="J27" s="779"/>
      <c r="K27" s="790">
        <f t="shared" si="1"/>
        <v>6671868.1799999997</v>
      </c>
      <c r="L27" s="779"/>
      <c r="M27" s="781"/>
      <c r="N27" s="779"/>
      <c r="O27" s="793">
        <v>408774.21</v>
      </c>
      <c r="P27" s="779"/>
      <c r="Q27" s="793">
        <v>489754.57</v>
      </c>
    </row>
    <row r="28" spans="1:17">
      <c r="A28" s="768" t="s">
        <v>612</v>
      </c>
      <c r="B28" s="768" t="s">
        <v>12</v>
      </c>
      <c r="C28" s="790">
        <v>40929864.299999997</v>
      </c>
      <c r="D28" s="779"/>
      <c r="E28" s="791">
        <v>0</v>
      </c>
      <c r="F28" s="799"/>
      <c r="G28" s="791">
        <v>0</v>
      </c>
      <c r="H28" s="779"/>
      <c r="I28" s="790">
        <v>11228183.550000001</v>
      </c>
      <c r="J28" s="779"/>
      <c r="K28" s="790">
        <f t="shared" si="1"/>
        <v>29701680.75</v>
      </c>
      <c r="L28" s="779"/>
      <c r="M28" s="781"/>
      <c r="N28" s="779"/>
      <c r="O28" s="793">
        <v>1449961.62</v>
      </c>
      <c r="P28" s="779"/>
      <c r="Q28" s="793">
        <v>1855917.29</v>
      </c>
    </row>
    <row r="29" spans="1:17">
      <c r="A29" s="782" t="s">
        <v>613</v>
      </c>
      <c r="B29" s="779" t="s">
        <v>6</v>
      </c>
      <c r="C29" s="786" t="s">
        <v>6</v>
      </c>
      <c r="D29" s="779"/>
      <c r="E29" s="787"/>
      <c r="F29" s="796"/>
      <c r="G29" s="787"/>
      <c r="H29" s="779"/>
      <c r="I29" s="786"/>
      <c r="J29" s="779"/>
      <c r="K29" s="790" t="s">
        <v>6</v>
      </c>
      <c r="L29" s="779"/>
      <c r="M29" s="781"/>
      <c r="N29" s="779"/>
      <c r="O29" s="789"/>
      <c r="P29" s="779"/>
      <c r="Q29" s="789"/>
    </row>
    <row r="30" spans="1:17">
      <c r="A30" s="2208" t="s">
        <v>2613</v>
      </c>
      <c r="B30" s="768" t="s">
        <v>6</v>
      </c>
      <c r="C30" s="790">
        <v>20036912.739999998</v>
      </c>
      <c r="D30" s="779"/>
      <c r="E30" s="791">
        <v>0</v>
      </c>
      <c r="F30" s="792"/>
      <c r="G30" s="791">
        <v>0</v>
      </c>
      <c r="H30" s="779"/>
      <c r="I30" s="790">
        <v>4547719.8099999996</v>
      </c>
      <c r="J30" s="779"/>
      <c r="K30" s="790">
        <f t="shared" si="1"/>
        <v>15489192.93</v>
      </c>
      <c r="L30" s="779"/>
      <c r="M30" s="781"/>
      <c r="N30" s="779"/>
      <c r="O30" s="793">
        <v>538920.32999999996</v>
      </c>
      <c r="P30" s="779"/>
      <c r="Q30" s="793">
        <v>736482.81</v>
      </c>
    </row>
    <row r="31" spans="1:17">
      <c r="A31" s="768" t="s">
        <v>614</v>
      </c>
      <c r="B31" s="768" t="s">
        <v>6</v>
      </c>
      <c r="C31" s="790">
        <v>226116165.97</v>
      </c>
      <c r="D31" s="779"/>
      <c r="E31" s="791">
        <v>0</v>
      </c>
      <c r="F31" s="792"/>
      <c r="G31" s="791">
        <v>0</v>
      </c>
      <c r="H31" s="779"/>
      <c r="I31" s="790">
        <v>46980744.030000001</v>
      </c>
      <c r="J31" s="779"/>
      <c r="K31" s="790">
        <f t="shared" si="1"/>
        <v>179135421.94</v>
      </c>
      <c r="L31" s="779"/>
      <c r="M31" s="781"/>
      <c r="N31" s="779"/>
      <c r="O31" s="793">
        <v>8122623.6399999997</v>
      </c>
      <c r="P31" s="779"/>
      <c r="Q31" s="793">
        <v>10511030.08</v>
      </c>
    </row>
    <row r="32" spans="1:17">
      <c r="A32" s="782" t="s">
        <v>615</v>
      </c>
      <c r="B32" s="768" t="s">
        <v>6</v>
      </c>
      <c r="C32" s="797">
        <v>0</v>
      </c>
      <c r="D32" s="779"/>
      <c r="E32" s="791">
        <v>0</v>
      </c>
      <c r="F32" s="794"/>
      <c r="G32" s="791">
        <v>0</v>
      </c>
      <c r="H32" s="779"/>
      <c r="I32" s="797">
        <v>0</v>
      </c>
      <c r="J32" s="779"/>
      <c r="K32" s="790">
        <f t="shared" si="1"/>
        <v>0</v>
      </c>
      <c r="L32" s="779"/>
      <c r="M32" s="781"/>
      <c r="N32" s="779"/>
      <c r="O32" s="797">
        <v>0</v>
      </c>
      <c r="P32" s="779"/>
      <c r="Q32" s="797">
        <v>0</v>
      </c>
    </row>
    <row r="33" spans="1:17">
      <c r="A33" s="782" t="s">
        <v>616</v>
      </c>
      <c r="B33" s="779" t="s">
        <v>6</v>
      </c>
      <c r="C33" s="786" t="s">
        <v>6</v>
      </c>
      <c r="D33" s="779"/>
      <c r="E33" s="787"/>
      <c r="F33" s="796"/>
      <c r="G33" s="787"/>
      <c r="H33" s="779"/>
      <c r="I33" s="786"/>
      <c r="J33" s="779"/>
      <c r="K33" s="790" t="s">
        <v>6</v>
      </c>
      <c r="L33" s="779"/>
      <c r="M33" s="781"/>
      <c r="N33" s="779"/>
      <c r="O33" s="789"/>
      <c r="P33" s="779"/>
      <c r="Q33" s="789"/>
    </row>
    <row r="34" spans="1:17">
      <c r="A34" s="768" t="s">
        <v>617</v>
      </c>
      <c r="B34" s="768" t="s">
        <v>6</v>
      </c>
      <c r="C34" s="790">
        <v>19890000</v>
      </c>
      <c r="D34" s="779"/>
      <c r="E34" s="791">
        <v>0</v>
      </c>
      <c r="F34" s="794"/>
      <c r="G34" s="791">
        <v>0</v>
      </c>
      <c r="H34" s="779"/>
      <c r="I34" s="790">
        <v>3770000</v>
      </c>
      <c r="J34" s="779"/>
      <c r="K34" s="790">
        <f t="shared" si="1"/>
        <v>16120000</v>
      </c>
      <c r="L34" s="779"/>
      <c r="M34" s="781"/>
      <c r="N34" s="779"/>
      <c r="O34" s="793">
        <v>584100</v>
      </c>
      <c r="P34" s="779"/>
      <c r="Q34" s="793">
        <v>698100</v>
      </c>
    </row>
    <row r="35" spans="1:17">
      <c r="A35" s="768" t="s">
        <v>618</v>
      </c>
      <c r="B35" s="768" t="s">
        <v>6</v>
      </c>
      <c r="C35" s="790">
        <v>17285000</v>
      </c>
      <c r="D35" s="779"/>
      <c r="E35" s="791">
        <v>0</v>
      </c>
      <c r="F35" s="794"/>
      <c r="G35" s="791">
        <v>0</v>
      </c>
      <c r="H35" s="779"/>
      <c r="I35" s="790">
        <v>3310000</v>
      </c>
      <c r="J35" s="779"/>
      <c r="K35" s="790">
        <f t="shared" si="1"/>
        <v>13975000</v>
      </c>
      <c r="L35" s="779"/>
      <c r="M35" s="781"/>
      <c r="N35" s="779"/>
      <c r="O35" s="793">
        <v>503900</v>
      </c>
      <c r="P35" s="779"/>
      <c r="Q35" s="793">
        <v>578230</v>
      </c>
    </row>
    <row r="36" spans="1:17">
      <c r="A36" s="768" t="s">
        <v>619</v>
      </c>
      <c r="B36" s="768" t="s">
        <v>6</v>
      </c>
      <c r="C36" s="800">
        <v>0</v>
      </c>
      <c r="D36" s="779"/>
      <c r="E36" s="791">
        <v>0</v>
      </c>
      <c r="F36" s="794"/>
      <c r="G36" s="791">
        <v>0</v>
      </c>
      <c r="H36" s="779"/>
      <c r="I36" s="797">
        <v>0</v>
      </c>
      <c r="J36" s="779"/>
      <c r="K36" s="790">
        <f t="shared" si="1"/>
        <v>0</v>
      </c>
      <c r="L36" s="779"/>
      <c r="M36" s="781"/>
      <c r="N36" s="779"/>
      <c r="O36" s="797">
        <v>0</v>
      </c>
      <c r="P36" s="779"/>
      <c r="Q36" s="797">
        <v>0</v>
      </c>
    </row>
    <row r="37" spans="1:17">
      <c r="A37" s="782" t="s">
        <v>620</v>
      </c>
      <c r="B37" s="768" t="s">
        <v>6</v>
      </c>
      <c r="C37" s="800">
        <v>0</v>
      </c>
      <c r="D37" s="779"/>
      <c r="E37" s="791">
        <v>0</v>
      </c>
      <c r="F37" s="794"/>
      <c r="G37" s="791">
        <v>0</v>
      </c>
      <c r="H37" s="779"/>
      <c r="I37" s="797">
        <v>0</v>
      </c>
      <c r="J37" s="779"/>
      <c r="K37" s="790">
        <f t="shared" si="1"/>
        <v>0</v>
      </c>
      <c r="L37" s="779"/>
      <c r="M37" s="781"/>
      <c r="N37" s="779"/>
      <c r="O37" s="797">
        <v>0</v>
      </c>
      <c r="P37" s="779"/>
      <c r="Q37" s="797">
        <v>0</v>
      </c>
    </row>
    <row r="38" spans="1:17">
      <c r="A38" s="782" t="s">
        <v>621</v>
      </c>
      <c r="B38" s="768" t="s">
        <v>6</v>
      </c>
      <c r="C38" s="790">
        <v>9270.0499999999993</v>
      </c>
      <c r="D38" s="779"/>
      <c r="E38" s="791">
        <v>0</v>
      </c>
      <c r="F38" s="794"/>
      <c r="G38" s="791">
        <v>0</v>
      </c>
      <c r="H38" s="779"/>
      <c r="I38" s="790">
        <v>2918.6</v>
      </c>
      <c r="J38" s="779"/>
      <c r="K38" s="790">
        <f t="shared" si="1"/>
        <v>6351.45</v>
      </c>
      <c r="L38" s="779"/>
      <c r="M38" s="781"/>
      <c r="N38" s="779"/>
      <c r="O38" s="793">
        <v>370.8</v>
      </c>
      <c r="P38" s="779"/>
      <c r="Q38" s="793">
        <v>482.99</v>
      </c>
    </row>
    <row r="39" spans="1:17">
      <c r="A39" s="782" t="s">
        <v>622</v>
      </c>
      <c r="B39" s="768" t="s">
        <v>6</v>
      </c>
      <c r="C39" s="790">
        <v>38693774.380000003</v>
      </c>
      <c r="D39" s="779"/>
      <c r="E39" s="791">
        <v>0</v>
      </c>
      <c r="F39" s="795"/>
      <c r="G39" s="791">
        <v>0</v>
      </c>
      <c r="H39" s="779"/>
      <c r="I39" s="790">
        <v>7447407.9800000004</v>
      </c>
      <c r="J39" s="779"/>
      <c r="K39" s="790">
        <f t="shared" si="1"/>
        <v>31246366.399999999</v>
      </c>
      <c r="L39" s="779"/>
      <c r="M39" s="781"/>
      <c r="N39" s="779"/>
      <c r="O39" s="793">
        <v>1423839.1</v>
      </c>
      <c r="P39" s="779"/>
      <c r="Q39" s="793">
        <v>1814866.76</v>
      </c>
    </row>
    <row r="40" spans="1:17">
      <c r="A40" s="782" t="s">
        <v>623</v>
      </c>
      <c r="B40" s="768" t="s">
        <v>6</v>
      </c>
      <c r="C40" s="790">
        <v>747162.13</v>
      </c>
      <c r="D40" s="779"/>
      <c r="E40" s="791">
        <v>0</v>
      </c>
      <c r="F40" s="794"/>
      <c r="G40" s="791">
        <v>0</v>
      </c>
      <c r="H40" s="779"/>
      <c r="I40" s="790">
        <v>449723.49</v>
      </c>
      <c r="J40" s="779"/>
      <c r="K40" s="790">
        <f t="shared" si="1"/>
        <v>297438.64</v>
      </c>
      <c r="L40" s="779"/>
      <c r="M40" s="781"/>
      <c r="N40" s="779"/>
      <c r="O40" s="793">
        <v>26288.73</v>
      </c>
      <c r="P40" s="779"/>
      <c r="Q40" s="793">
        <v>45693.02</v>
      </c>
    </row>
    <row r="41" spans="1:17">
      <c r="A41" s="782" t="s">
        <v>624</v>
      </c>
      <c r="B41" s="779" t="s">
        <v>6</v>
      </c>
      <c r="C41" s="786" t="s">
        <v>6</v>
      </c>
      <c r="D41" s="779"/>
      <c r="E41" s="787"/>
      <c r="F41" s="796"/>
      <c r="G41" s="787"/>
      <c r="H41" s="779"/>
      <c r="I41" s="786"/>
      <c r="J41" s="779"/>
      <c r="K41" s="790" t="s">
        <v>6</v>
      </c>
      <c r="L41" s="779"/>
      <c r="M41" s="781"/>
      <c r="N41" s="779"/>
      <c r="O41" s="789"/>
      <c r="P41" s="779"/>
      <c r="Q41" s="789"/>
    </row>
    <row r="42" spans="1:17">
      <c r="A42" s="768" t="s">
        <v>625</v>
      </c>
      <c r="B42" s="768" t="s">
        <v>6</v>
      </c>
      <c r="C42" s="790">
        <v>855692480.44000006</v>
      </c>
      <c r="D42" s="779"/>
      <c r="E42" s="791">
        <v>0</v>
      </c>
      <c r="F42" s="801"/>
      <c r="G42" s="790">
        <v>0</v>
      </c>
      <c r="H42" s="779"/>
      <c r="I42" s="790">
        <v>53663190.07</v>
      </c>
      <c r="J42" s="779"/>
      <c r="K42" s="790">
        <f t="shared" si="1"/>
        <v>802029290.37</v>
      </c>
      <c r="L42" s="779"/>
      <c r="M42" s="781"/>
      <c r="N42" s="779"/>
      <c r="O42" s="793">
        <v>38055126.359999999</v>
      </c>
      <c r="P42" s="779"/>
      <c r="Q42" s="793">
        <v>36785952.130000003</v>
      </c>
    </row>
    <row r="43" spans="1:17">
      <c r="A43" s="768" t="s">
        <v>626</v>
      </c>
      <c r="B43" s="768" t="s">
        <v>6</v>
      </c>
      <c r="C43" s="791">
        <v>17492917.890000001</v>
      </c>
      <c r="D43" s="779"/>
      <c r="E43" s="791">
        <v>0</v>
      </c>
      <c r="F43" s="799"/>
      <c r="G43" s="791">
        <v>0</v>
      </c>
      <c r="H43" s="779"/>
      <c r="I43" s="791">
        <v>2473809.85</v>
      </c>
      <c r="J43" s="779"/>
      <c r="K43" s="790">
        <f t="shared" si="1"/>
        <v>15019108.039999999</v>
      </c>
      <c r="L43" s="779"/>
      <c r="M43" s="781"/>
      <c r="N43" s="779"/>
      <c r="O43" s="793">
        <v>806690.04</v>
      </c>
      <c r="P43" s="779"/>
      <c r="Q43" s="793">
        <v>589712.62</v>
      </c>
    </row>
    <row r="44" spans="1:17">
      <c r="A44" s="768" t="s">
        <v>627</v>
      </c>
      <c r="B44" s="768" t="s">
        <v>6</v>
      </c>
      <c r="C44" s="791">
        <v>51322171.859999999</v>
      </c>
      <c r="D44" s="779"/>
      <c r="E44" s="791">
        <v>0</v>
      </c>
      <c r="F44" s="799"/>
      <c r="G44" s="791">
        <v>0</v>
      </c>
      <c r="H44" s="779"/>
      <c r="I44" s="791">
        <v>2619079.36</v>
      </c>
      <c r="J44" s="779"/>
      <c r="K44" s="790">
        <f t="shared" si="1"/>
        <v>48703092.5</v>
      </c>
      <c r="L44" s="779"/>
      <c r="M44" s="781"/>
      <c r="N44" s="779"/>
      <c r="O44" s="793">
        <v>2214033.37</v>
      </c>
      <c r="P44" s="779"/>
      <c r="Q44" s="793">
        <v>2308409.17</v>
      </c>
    </row>
    <row r="45" spans="1:17">
      <c r="A45" s="768" t="s">
        <v>628</v>
      </c>
      <c r="B45" s="768" t="s">
        <v>6</v>
      </c>
      <c r="C45" s="791">
        <v>82762796.200000003</v>
      </c>
      <c r="D45" s="779"/>
      <c r="E45" s="791">
        <v>0</v>
      </c>
      <c r="F45" s="799"/>
      <c r="G45" s="791">
        <v>0</v>
      </c>
      <c r="H45" s="779"/>
      <c r="I45" s="791">
        <v>3111383.13</v>
      </c>
      <c r="J45" s="779"/>
      <c r="K45" s="790">
        <f t="shared" si="1"/>
        <v>79651413.069999993</v>
      </c>
      <c r="L45" s="779"/>
      <c r="M45" s="781"/>
      <c r="N45" s="779"/>
      <c r="O45" s="793">
        <v>3786378.25</v>
      </c>
      <c r="P45" s="779"/>
      <c r="Q45" s="793">
        <v>3495470.16</v>
      </c>
    </row>
    <row r="46" spans="1:17">
      <c r="A46" s="768" t="s">
        <v>629</v>
      </c>
      <c r="B46" s="768" t="s">
        <v>6</v>
      </c>
      <c r="C46" s="791">
        <v>7992060.7699999996</v>
      </c>
      <c r="D46" s="779"/>
      <c r="E46" s="791">
        <v>0</v>
      </c>
      <c r="F46" s="794"/>
      <c r="G46" s="791">
        <v>0</v>
      </c>
      <c r="H46" s="779"/>
      <c r="I46" s="791">
        <v>1723729.69</v>
      </c>
      <c r="J46" s="779"/>
      <c r="K46" s="790">
        <f t="shared" si="1"/>
        <v>6268331.0800000001</v>
      </c>
      <c r="L46" s="779"/>
      <c r="M46" s="781"/>
      <c r="N46" s="779"/>
      <c r="O46" s="793">
        <v>362697.18</v>
      </c>
      <c r="P46" s="779"/>
      <c r="Q46" s="793">
        <v>433574.77</v>
      </c>
    </row>
    <row r="47" spans="1:17">
      <c r="A47" s="768" t="s">
        <v>630</v>
      </c>
      <c r="B47" s="768" t="s">
        <v>6</v>
      </c>
      <c r="C47" s="790">
        <v>877031335.38999999</v>
      </c>
      <c r="D47" s="779"/>
      <c r="E47" s="791">
        <v>0</v>
      </c>
      <c r="F47" s="795"/>
      <c r="G47" s="790">
        <v>0</v>
      </c>
      <c r="H47" s="779"/>
      <c r="I47" s="790">
        <v>38944442.259999998</v>
      </c>
      <c r="J47" s="779"/>
      <c r="K47" s="790">
        <f t="shared" si="1"/>
        <v>838086893.13</v>
      </c>
      <c r="L47" s="779"/>
      <c r="M47" s="781"/>
      <c r="N47" s="779"/>
      <c r="O47" s="793">
        <v>38201473.460000001</v>
      </c>
      <c r="P47" s="779"/>
      <c r="Q47" s="793">
        <v>39487750.890000001</v>
      </c>
    </row>
    <row r="48" spans="1:17">
      <c r="A48" s="782" t="s">
        <v>631</v>
      </c>
      <c r="B48" s="779" t="s">
        <v>6</v>
      </c>
      <c r="C48" s="786" t="s">
        <v>6</v>
      </c>
      <c r="D48" s="779"/>
      <c r="E48" s="787"/>
      <c r="F48" s="796"/>
      <c r="G48" s="787"/>
      <c r="H48" s="779"/>
      <c r="I48" s="786"/>
      <c r="J48" s="779"/>
      <c r="K48" s="790" t="s">
        <v>6</v>
      </c>
      <c r="L48" s="779"/>
      <c r="M48" s="781"/>
      <c r="N48" s="779"/>
      <c r="O48" s="789"/>
      <c r="P48" s="779"/>
      <c r="Q48" s="789"/>
    </row>
    <row r="49" spans="1:21">
      <c r="A49" s="768" t="s">
        <v>632</v>
      </c>
      <c r="B49" s="768" t="s">
        <v>6</v>
      </c>
      <c r="C49" s="790">
        <v>1808681.4</v>
      </c>
      <c r="D49" s="779"/>
      <c r="E49" s="791">
        <v>0</v>
      </c>
      <c r="F49" s="794"/>
      <c r="G49" s="791">
        <v>0</v>
      </c>
      <c r="H49" s="779"/>
      <c r="I49" s="790">
        <v>381335.32</v>
      </c>
      <c r="J49" s="779"/>
      <c r="K49" s="790">
        <f t="shared" si="1"/>
        <v>1427346.08</v>
      </c>
      <c r="L49" s="779"/>
      <c r="M49" s="781"/>
      <c r="N49" s="779"/>
      <c r="O49" s="793">
        <v>84018.73</v>
      </c>
      <c r="P49" s="779"/>
      <c r="Q49" s="793">
        <v>115657.4</v>
      </c>
    </row>
    <row r="50" spans="1:21">
      <c r="A50" s="768" t="s">
        <v>633</v>
      </c>
      <c r="B50" s="768" t="s">
        <v>6</v>
      </c>
      <c r="C50" s="790">
        <v>0</v>
      </c>
      <c r="D50" s="779"/>
      <c r="E50" s="791">
        <v>0</v>
      </c>
      <c r="F50" s="794"/>
      <c r="G50" s="791">
        <v>0</v>
      </c>
      <c r="H50" s="779"/>
      <c r="I50" s="790">
        <v>0</v>
      </c>
      <c r="J50" s="779"/>
      <c r="K50" s="790">
        <f t="shared" si="1"/>
        <v>0</v>
      </c>
      <c r="L50" s="779"/>
      <c r="M50" s="781"/>
      <c r="N50" s="779"/>
      <c r="O50" s="793">
        <v>0</v>
      </c>
      <c r="P50" s="779"/>
      <c r="Q50" s="793">
        <v>0</v>
      </c>
    </row>
    <row r="51" spans="1:21">
      <c r="A51" s="768" t="s">
        <v>634</v>
      </c>
      <c r="B51" s="768" t="s">
        <v>6</v>
      </c>
      <c r="C51" s="790">
        <v>7849619.1600000001</v>
      </c>
      <c r="D51" s="779"/>
      <c r="E51" s="791">
        <v>0</v>
      </c>
      <c r="F51" s="794"/>
      <c r="G51" s="791">
        <v>0</v>
      </c>
      <c r="H51" s="779"/>
      <c r="I51" s="790">
        <v>2073633.78</v>
      </c>
      <c r="J51" s="779"/>
      <c r="K51" s="790">
        <f t="shared" si="1"/>
        <v>5775985.3799999999</v>
      </c>
      <c r="L51" s="779"/>
      <c r="M51" s="781"/>
      <c r="N51" s="779"/>
      <c r="O51" s="793">
        <v>283009.87</v>
      </c>
      <c r="P51" s="779"/>
      <c r="Q51" s="793">
        <v>398640.44</v>
      </c>
    </row>
    <row r="52" spans="1:21">
      <c r="A52" s="782" t="s">
        <v>2537</v>
      </c>
      <c r="C52" s="797">
        <v>0</v>
      </c>
      <c r="D52" s="779"/>
      <c r="E52" s="791">
        <v>0</v>
      </c>
      <c r="F52" s="794"/>
      <c r="G52" s="791">
        <v>0</v>
      </c>
      <c r="H52" s="779"/>
      <c r="I52" s="797">
        <v>0</v>
      </c>
      <c r="J52" s="779"/>
      <c r="K52" s="790">
        <f>ROUND(SUM(C52)+SUM(E52)+SUM(G52)-SUM(I52),2)</f>
        <v>0</v>
      </c>
      <c r="L52" s="779"/>
      <c r="M52" s="781"/>
      <c r="N52" s="779"/>
      <c r="O52" s="797">
        <v>0</v>
      </c>
      <c r="P52" s="779"/>
      <c r="Q52" s="797">
        <v>0</v>
      </c>
    </row>
    <row r="53" spans="1:21">
      <c r="A53" s="782" t="s">
        <v>635</v>
      </c>
      <c r="B53" s="779" t="s">
        <v>6</v>
      </c>
      <c r="C53" s="786" t="s">
        <v>6</v>
      </c>
      <c r="D53" s="779"/>
      <c r="E53" s="787"/>
      <c r="F53" s="796"/>
      <c r="G53" s="787"/>
      <c r="H53" s="779"/>
      <c r="I53" s="786" t="s">
        <v>6</v>
      </c>
      <c r="J53" s="779"/>
      <c r="K53" s="790" t="s">
        <v>6</v>
      </c>
      <c r="L53" s="779"/>
      <c r="M53" s="781"/>
      <c r="N53" s="779"/>
      <c r="O53" s="2206"/>
      <c r="P53" s="779"/>
      <c r="Q53" s="789"/>
    </row>
    <row r="54" spans="1:21">
      <c r="A54" s="768" t="s">
        <v>636</v>
      </c>
      <c r="B54" s="768" t="s">
        <v>6</v>
      </c>
      <c r="C54" s="790">
        <v>9069490.5800000001</v>
      </c>
      <c r="D54" s="779"/>
      <c r="E54" s="791">
        <v>0</v>
      </c>
      <c r="F54" s="794"/>
      <c r="G54" s="791">
        <v>0</v>
      </c>
      <c r="H54" s="779"/>
      <c r="I54" s="790">
        <v>3222875.6</v>
      </c>
      <c r="J54" s="779"/>
      <c r="K54" s="790">
        <f t="shared" si="1"/>
        <v>5846614.9800000004</v>
      </c>
      <c r="L54" s="779"/>
      <c r="M54" s="781"/>
      <c r="N54" s="779"/>
      <c r="O54" s="793">
        <v>291604.63</v>
      </c>
      <c r="P54" s="779"/>
      <c r="Q54" s="793">
        <v>431550.71</v>
      </c>
    </row>
    <row r="55" spans="1:21">
      <c r="A55" s="768" t="s">
        <v>637</v>
      </c>
      <c r="B55" s="768" t="s">
        <v>6</v>
      </c>
      <c r="C55" s="797">
        <v>0</v>
      </c>
      <c r="D55" s="779"/>
      <c r="E55" s="791">
        <v>0</v>
      </c>
      <c r="F55" s="794"/>
      <c r="G55" s="791">
        <v>0</v>
      </c>
      <c r="H55" s="779"/>
      <c r="I55" s="797">
        <v>0</v>
      </c>
      <c r="J55" s="779"/>
      <c r="K55" s="790">
        <f t="shared" si="1"/>
        <v>0</v>
      </c>
      <c r="L55" s="779"/>
      <c r="M55" s="781"/>
      <c r="N55" s="779"/>
      <c r="O55" s="797">
        <v>0</v>
      </c>
      <c r="P55" s="779"/>
      <c r="Q55" s="797">
        <v>0</v>
      </c>
    </row>
    <row r="56" spans="1:21">
      <c r="A56" s="768" t="s">
        <v>638</v>
      </c>
      <c r="B56" s="768" t="s">
        <v>6</v>
      </c>
      <c r="C56" s="790">
        <v>78383.649999999994</v>
      </c>
      <c r="D56" s="779"/>
      <c r="E56" s="791">
        <v>0</v>
      </c>
      <c r="F56" s="794"/>
      <c r="G56" s="791">
        <v>0</v>
      </c>
      <c r="H56" s="779"/>
      <c r="I56" s="791">
        <v>39713.879999999997</v>
      </c>
      <c r="J56" s="779"/>
      <c r="K56" s="790">
        <f t="shared" si="1"/>
        <v>38669.769999999997</v>
      </c>
      <c r="L56" s="779"/>
      <c r="M56" s="781"/>
      <c r="N56" s="779"/>
      <c r="O56" s="793">
        <v>3010.63</v>
      </c>
      <c r="P56" s="779"/>
      <c r="Q56" s="793">
        <v>5063.22</v>
      </c>
    </row>
    <row r="57" spans="1:21" s="782" customFormat="1" ht="16" thickBot="1">
      <c r="A57" s="782" t="s">
        <v>639</v>
      </c>
      <c r="B57" s="768" t="s">
        <v>6</v>
      </c>
      <c r="C57" s="802">
        <f>ROUND(SUM(C15:C56),2)</f>
        <v>3017749999.46</v>
      </c>
      <c r="D57" s="785"/>
      <c r="E57" s="802">
        <f>ROUND(SUM(E15:E56),2)</f>
        <v>0</v>
      </c>
      <c r="F57" s="785"/>
      <c r="G57" s="802">
        <f>ROUND(SUM(G15:G56),2)</f>
        <v>0</v>
      </c>
      <c r="H57" s="785"/>
      <c r="I57" s="802">
        <f>ROUND(SUM(I15:I56),2)</f>
        <v>290290000</v>
      </c>
      <c r="J57" s="785"/>
      <c r="K57" s="802">
        <f>ROUND(SUM(K15:K56),2)</f>
        <v>2727459999.46</v>
      </c>
      <c r="L57" s="783"/>
      <c r="M57" s="803"/>
      <c r="N57" s="785"/>
      <c r="O57" s="802">
        <f>ROUND(SUM(O15:O56),2)</f>
        <v>122497718.72</v>
      </c>
      <c r="P57" s="804"/>
      <c r="Q57" s="802">
        <f>ROUND(SUM(Q15:Q56),2)</f>
        <v>132007113.18000001</v>
      </c>
    </row>
    <row r="58" spans="1:21" ht="16" thickTop="1">
      <c r="K58" s="805" t="s">
        <v>6</v>
      </c>
      <c r="L58" s="769"/>
      <c r="P58" s="768"/>
      <c r="Q58" s="768"/>
    </row>
    <row r="59" spans="1:21" s="806" customFormat="1" ht="15" customHeight="1">
      <c r="A59" s="806" t="s">
        <v>640</v>
      </c>
    </row>
    <row r="60" spans="1:21" s="806" customFormat="1" ht="12">
      <c r="A60" s="810"/>
      <c r="C60" s="807"/>
      <c r="D60" s="807"/>
      <c r="E60" s="811"/>
      <c r="F60" s="811"/>
      <c r="G60" s="811"/>
      <c r="H60" s="807"/>
      <c r="I60" s="812"/>
      <c r="K60" s="808"/>
      <c r="M60" s="808"/>
      <c r="O60" s="809"/>
      <c r="Q60" s="807"/>
      <c r="S60" s="809"/>
      <c r="U60" s="809"/>
    </row>
  </sheetData>
  <mergeCells count="3">
    <mergeCell ref="C9:K9"/>
    <mergeCell ref="O9:Q9"/>
    <mergeCell ref="E11:G11"/>
  </mergeCells>
  <pageMargins left="0.75" right="0.5" top="0.7" bottom="0.25" header="0.5" footer="0.25"/>
  <pageSetup scale="52" orientation="landscape"/>
  <headerFooter scaleWithDoc="0">
    <oddFooter>&amp;R&amp;8 92</oddFoot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109"/>
  <sheetViews>
    <sheetView showGridLines="0" showOutlineSymbols="0" zoomScale="70" zoomScaleNormal="70" zoomScaleSheetLayoutView="70" zoomScalePageLayoutView="70" workbookViewId="0"/>
  </sheetViews>
  <sheetFormatPr baseColWidth="10" defaultColWidth="8.85546875" defaultRowHeight="15" x14ac:dyDescent="0"/>
  <cols>
    <col min="1" max="1" width="51" style="815" customWidth="1"/>
    <col min="2" max="2" width="2.5703125" style="814" customWidth="1"/>
    <col min="3" max="3" width="13" style="815" customWidth="1"/>
    <col min="4" max="4" width="2.140625" style="531" customWidth="1"/>
    <col min="5" max="5" width="13" style="815" customWidth="1"/>
    <col min="6" max="6" width="5.5703125" style="815" customWidth="1"/>
    <col min="7" max="7" width="2.140625" style="815" customWidth="1"/>
    <col min="8" max="8" width="17.42578125" style="815" customWidth="1"/>
    <col min="9" max="9" width="5.5703125" style="816" customWidth="1"/>
    <col min="10" max="10" width="2" style="815" customWidth="1"/>
    <col min="11" max="11" width="17.42578125" style="815" customWidth="1"/>
    <col min="12" max="12" width="5.5703125" style="815" customWidth="1"/>
    <col min="13" max="13" width="2" style="815" customWidth="1"/>
    <col min="14" max="14" width="17.42578125" style="815" customWidth="1"/>
    <col min="15" max="15" width="5.5703125" style="815" customWidth="1"/>
    <col min="16" max="16" width="2.140625" style="815" customWidth="1"/>
    <col min="17" max="17" width="17.42578125" style="815" customWidth="1"/>
    <col min="18" max="16384" width="8.85546875" style="815"/>
  </cols>
  <sheetData>
    <row r="1" spans="1:17">
      <c r="A1" s="1582" t="s">
        <v>1443</v>
      </c>
    </row>
    <row r="3" spans="1:17" ht="17">
      <c r="A3" s="813" t="s">
        <v>0</v>
      </c>
      <c r="O3" s="814"/>
    </row>
    <row r="4" spans="1:17" ht="20">
      <c r="A4" s="813" t="s">
        <v>641</v>
      </c>
      <c r="O4" s="814"/>
      <c r="Q4" s="817" t="s">
        <v>642</v>
      </c>
    </row>
    <row r="5" spans="1:17" ht="17">
      <c r="A5" s="813" t="s">
        <v>643</v>
      </c>
      <c r="O5" s="814"/>
    </row>
    <row r="6" spans="1:17" ht="17">
      <c r="A6" s="813" t="s">
        <v>2689</v>
      </c>
      <c r="O6" s="814"/>
    </row>
    <row r="7" spans="1:17" ht="17">
      <c r="A7" s="813" t="s">
        <v>6</v>
      </c>
      <c r="O7" s="814"/>
    </row>
    <row r="8" spans="1:17" ht="17">
      <c r="A8" s="813"/>
      <c r="O8" s="814"/>
    </row>
    <row r="9" spans="1:17" ht="17">
      <c r="A9" s="813"/>
      <c r="O9" s="814"/>
    </row>
    <row r="10" spans="1:17" ht="17">
      <c r="A10" s="813"/>
      <c r="O10" s="814"/>
    </row>
    <row r="11" spans="1:17">
      <c r="C11" s="818" t="s">
        <v>644</v>
      </c>
      <c r="D11" s="819"/>
      <c r="E11" s="818" t="s">
        <v>644</v>
      </c>
      <c r="F11" s="818"/>
      <c r="K11" s="818" t="s">
        <v>645</v>
      </c>
      <c r="N11" s="818" t="s">
        <v>646</v>
      </c>
      <c r="O11" s="814"/>
      <c r="Q11" s="818" t="s">
        <v>276</v>
      </c>
    </row>
    <row r="12" spans="1:17">
      <c r="C12" s="818" t="s">
        <v>647</v>
      </c>
      <c r="D12" s="819"/>
      <c r="E12" s="818" t="s">
        <v>648</v>
      </c>
      <c r="F12" s="818"/>
      <c r="H12" s="818" t="s">
        <v>645</v>
      </c>
      <c r="I12" s="820"/>
      <c r="K12" s="818" t="s">
        <v>649</v>
      </c>
      <c r="L12" s="818"/>
      <c r="N12" s="818" t="s">
        <v>650</v>
      </c>
      <c r="O12" s="821"/>
      <c r="Q12" s="818" t="s">
        <v>153</v>
      </c>
    </row>
    <row r="13" spans="1:17">
      <c r="A13" s="822" t="s">
        <v>596</v>
      </c>
      <c r="C13" s="822" t="s">
        <v>598</v>
      </c>
      <c r="D13" s="819"/>
      <c r="E13" s="822" t="s">
        <v>651</v>
      </c>
      <c r="F13" s="819"/>
      <c r="H13" s="822" t="s">
        <v>646</v>
      </c>
      <c r="I13" s="820"/>
      <c r="K13" s="822" t="s">
        <v>652</v>
      </c>
      <c r="L13" s="818"/>
      <c r="N13" s="822" t="s">
        <v>653</v>
      </c>
      <c r="O13" s="821"/>
      <c r="Q13" s="822" t="s">
        <v>594</v>
      </c>
    </row>
    <row r="14" spans="1:17" ht="12.75" customHeight="1">
      <c r="O14" s="814"/>
    </row>
    <row r="15" spans="1:17">
      <c r="A15" s="823" t="s">
        <v>600</v>
      </c>
      <c r="E15" s="824"/>
      <c r="O15" s="814"/>
    </row>
    <row r="16" spans="1:17">
      <c r="A16" s="825" t="s">
        <v>2565</v>
      </c>
      <c r="B16" s="814" t="s">
        <v>6</v>
      </c>
      <c r="C16" s="826">
        <v>1989</v>
      </c>
      <c r="E16" s="827">
        <v>2031</v>
      </c>
      <c r="F16" s="826"/>
      <c r="G16" s="828"/>
      <c r="H16" s="829">
        <v>3000000000</v>
      </c>
      <c r="I16" s="830"/>
      <c r="J16" s="828"/>
      <c r="K16" s="1707">
        <v>2979768596.2799997</v>
      </c>
      <c r="L16" s="831"/>
      <c r="M16" s="828"/>
      <c r="N16" s="829">
        <f>ROUND(SUM(H16-K16),1)</f>
        <v>20231403.699999999</v>
      </c>
      <c r="O16" s="832"/>
      <c r="P16" s="828"/>
      <c r="Q16" s="1715">
        <v>106955627</v>
      </c>
    </row>
    <row r="17" spans="1:18">
      <c r="A17" s="823" t="s">
        <v>601</v>
      </c>
      <c r="C17" s="833"/>
      <c r="D17" s="834"/>
      <c r="E17" s="827"/>
      <c r="F17" s="833"/>
      <c r="G17" s="814"/>
      <c r="H17" s="835"/>
      <c r="I17" s="836"/>
      <c r="J17" s="814"/>
      <c r="K17" s="1703"/>
      <c r="L17" s="832"/>
      <c r="M17" s="814"/>
      <c r="N17" s="837"/>
      <c r="O17" s="832"/>
      <c r="P17" s="814"/>
      <c r="Q17" s="1710"/>
    </row>
    <row r="18" spans="1:18">
      <c r="A18" s="815" t="s">
        <v>602</v>
      </c>
      <c r="B18" s="814" t="s">
        <v>6</v>
      </c>
      <c r="C18" s="826">
        <v>1997</v>
      </c>
      <c r="E18" s="827">
        <v>2022</v>
      </c>
      <c r="F18" s="826"/>
      <c r="H18" s="835">
        <v>230000000</v>
      </c>
      <c r="I18" s="830"/>
      <c r="K18" s="1702">
        <v>200291164.93000001</v>
      </c>
      <c r="L18" s="831"/>
      <c r="N18" s="838">
        <f>ROUND(SUM(H18-K18),1)</f>
        <v>29708835.100000001</v>
      </c>
      <c r="O18" s="832"/>
      <c r="P18" s="814"/>
      <c r="Q18" s="1709">
        <v>3010952</v>
      </c>
    </row>
    <row r="19" spans="1:18">
      <c r="A19" s="815" t="s">
        <v>603</v>
      </c>
      <c r="B19" s="814" t="s">
        <v>6</v>
      </c>
      <c r="C19" s="826">
        <v>1998</v>
      </c>
      <c r="E19" s="827">
        <v>2015</v>
      </c>
      <c r="F19" s="826"/>
      <c r="H19" s="835">
        <v>355000000</v>
      </c>
      <c r="I19" s="830"/>
      <c r="K19" s="1702">
        <v>355000000</v>
      </c>
      <c r="L19" s="831"/>
      <c r="N19" s="838">
        <f t="shared" ref="N19:N40" si="0">ROUND(SUM(H19-K19),1)</f>
        <v>0</v>
      </c>
      <c r="O19" s="832"/>
      <c r="P19" s="814"/>
      <c r="Q19" s="1709">
        <v>0</v>
      </c>
    </row>
    <row r="20" spans="1:18">
      <c r="A20" s="815" t="s">
        <v>604</v>
      </c>
      <c r="B20" s="814" t="s">
        <v>6</v>
      </c>
      <c r="C20" s="826">
        <v>1997</v>
      </c>
      <c r="E20" s="827">
        <v>2045</v>
      </c>
      <c r="F20" s="826"/>
      <c r="H20" s="835">
        <v>790000000</v>
      </c>
      <c r="I20" s="830"/>
      <c r="K20" s="1702">
        <v>728183917.49000001</v>
      </c>
      <c r="L20" s="831" t="s">
        <v>654</v>
      </c>
      <c r="N20" s="838">
        <f t="shared" si="0"/>
        <v>61816082.5</v>
      </c>
      <c r="O20" s="832"/>
      <c r="P20" s="814"/>
      <c r="Q20" s="1709">
        <v>402544045</v>
      </c>
    </row>
    <row r="21" spans="1:18">
      <c r="A21" s="815" t="s">
        <v>605</v>
      </c>
      <c r="B21" s="814" t="s">
        <v>6</v>
      </c>
      <c r="C21" s="826">
        <v>1999</v>
      </c>
      <c r="E21" s="827">
        <v>2040</v>
      </c>
      <c r="F21" s="826"/>
      <c r="H21" s="835">
        <v>175000000</v>
      </c>
      <c r="I21" s="830"/>
      <c r="K21" s="1702">
        <v>172096401.81999999</v>
      </c>
      <c r="L21" s="831" t="s">
        <v>654</v>
      </c>
      <c r="N21" s="838">
        <f t="shared" si="0"/>
        <v>2903598.2</v>
      </c>
      <c r="O21" s="832"/>
      <c r="P21" s="814"/>
      <c r="Q21" s="1709">
        <v>37125908</v>
      </c>
    </row>
    <row r="22" spans="1:18">
      <c r="A22" s="815" t="s">
        <v>606</v>
      </c>
      <c r="B22" s="814" t="s">
        <v>6</v>
      </c>
      <c r="C22" s="826">
        <v>1998</v>
      </c>
      <c r="E22" s="827">
        <v>2035</v>
      </c>
      <c r="F22" s="826"/>
      <c r="H22" s="835">
        <v>200000000</v>
      </c>
      <c r="I22" s="830"/>
      <c r="K22" s="1702">
        <v>176917397.25999999</v>
      </c>
      <c r="L22" s="831"/>
      <c r="N22" s="838">
        <f t="shared" si="0"/>
        <v>23082602.699999999</v>
      </c>
      <c r="O22" s="832"/>
      <c r="P22" s="814"/>
      <c r="Q22" s="1709">
        <v>79264391</v>
      </c>
    </row>
    <row r="23" spans="1:18">
      <c r="A23" s="823" t="s">
        <v>607</v>
      </c>
      <c r="C23" s="814"/>
      <c r="D23" s="833"/>
      <c r="E23" s="839"/>
      <c r="F23" s="833"/>
      <c r="G23" s="833"/>
      <c r="H23" s="840"/>
      <c r="I23" s="832"/>
      <c r="J23" s="836"/>
      <c r="K23" s="1704"/>
      <c r="L23" s="832"/>
      <c r="M23" s="832"/>
      <c r="N23" s="838" t="s">
        <v>6</v>
      </c>
      <c r="O23" s="832"/>
      <c r="P23" s="832"/>
      <c r="Q23" s="1709"/>
      <c r="R23" s="832"/>
    </row>
    <row r="24" spans="1:18">
      <c r="A24" s="815" t="s">
        <v>608</v>
      </c>
      <c r="B24" s="814" t="s">
        <v>6</v>
      </c>
      <c r="C24" s="826">
        <v>1981</v>
      </c>
      <c r="E24" s="827">
        <v>1995</v>
      </c>
      <c r="F24" s="826"/>
      <c r="H24" s="835">
        <v>100000000</v>
      </c>
      <c r="I24" s="830"/>
      <c r="K24" s="1708">
        <v>100000000</v>
      </c>
      <c r="L24" s="831"/>
      <c r="N24" s="838">
        <f t="shared" si="0"/>
        <v>0</v>
      </c>
      <c r="O24" s="832"/>
      <c r="P24" s="814"/>
      <c r="Q24" s="1709">
        <v>0</v>
      </c>
    </row>
    <row r="25" spans="1:18">
      <c r="A25" s="815" t="s">
        <v>609</v>
      </c>
      <c r="B25" s="814" t="s">
        <v>6</v>
      </c>
      <c r="C25" s="826">
        <v>1981</v>
      </c>
      <c r="E25" s="827">
        <v>2033</v>
      </c>
      <c r="F25" s="826"/>
      <c r="H25" s="835">
        <v>400000000</v>
      </c>
      <c r="I25" s="830"/>
      <c r="K25" s="1708">
        <v>400000000</v>
      </c>
      <c r="L25" s="831"/>
      <c r="N25" s="838">
        <f t="shared" si="0"/>
        <v>0</v>
      </c>
      <c r="O25" s="832"/>
      <c r="P25" s="814"/>
      <c r="Q25" s="1709">
        <v>2574159</v>
      </c>
    </row>
    <row r="26" spans="1:18">
      <c r="A26" s="823" t="s">
        <v>2612</v>
      </c>
      <c r="C26" s="814"/>
      <c r="D26" s="833"/>
      <c r="E26" s="839"/>
      <c r="F26" s="833"/>
      <c r="G26" s="833"/>
      <c r="H26" s="840"/>
      <c r="I26" s="832"/>
      <c r="J26" s="836"/>
      <c r="K26" s="1708"/>
      <c r="L26" s="832"/>
      <c r="M26" s="832"/>
      <c r="N26" s="838"/>
      <c r="O26" s="832"/>
      <c r="P26" s="832"/>
      <c r="Q26" s="1711"/>
      <c r="R26" s="832"/>
    </row>
    <row r="27" spans="1:18">
      <c r="A27" s="815" t="s">
        <v>610</v>
      </c>
      <c r="B27" s="814" t="s">
        <v>6</v>
      </c>
      <c r="C27" s="826">
        <v>1977</v>
      </c>
      <c r="E27" s="827">
        <v>2021</v>
      </c>
      <c r="F27" s="826"/>
      <c r="H27" s="835">
        <v>150000000</v>
      </c>
      <c r="I27" s="830"/>
      <c r="K27" s="1708">
        <v>137646893</v>
      </c>
      <c r="L27" s="831" t="s">
        <v>654</v>
      </c>
      <c r="N27" s="838">
        <f t="shared" si="0"/>
        <v>12353107</v>
      </c>
      <c r="O27" s="832"/>
      <c r="P27" s="814"/>
      <c r="Q27" s="1709">
        <v>494853</v>
      </c>
    </row>
    <row r="28" spans="1:18">
      <c r="A28" s="815" t="s">
        <v>611</v>
      </c>
      <c r="B28" s="814" t="s">
        <v>6</v>
      </c>
      <c r="C28" s="826">
        <v>1976</v>
      </c>
      <c r="E28" s="827">
        <v>2029</v>
      </c>
      <c r="F28" s="826"/>
      <c r="H28" s="835">
        <v>350000000</v>
      </c>
      <c r="I28" s="830"/>
      <c r="K28" s="1708">
        <v>342645602</v>
      </c>
      <c r="L28" s="831"/>
      <c r="N28" s="838">
        <f t="shared" si="0"/>
        <v>7354398</v>
      </c>
      <c r="O28" s="832"/>
      <c r="P28" s="814"/>
      <c r="Q28" s="1709">
        <v>6671868</v>
      </c>
    </row>
    <row r="29" spans="1:18">
      <c r="A29" s="815" t="s">
        <v>612</v>
      </c>
      <c r="B29" s="814" t="s">
        <v>6</v>
      </c>
      <c r="C29" s="826">
        <v>1976</v>
      </c>
      <c r="E29" s="827">
        <v>2043</v>
      </c>
      <c r="F29" s="826"/>
      <c r="H29" s="835">
        <v>650000000</v>
      </c>
      <c r="I29" s="830"/>
      <c r="K29" s="1708">
        <v>647667912</v>
      </c>
      <c r="L29" s="831"/>
      <c r="N29" s="838">
        <f t="shared" si="0"/>
        <v>2332088</v>
      </c>
      <c r="O29" s="832"/>
      <c r="P29" s="814"/>
      <c r="Q29" s="1709">
        <v>29701681</v>
      </c>
    </row>
    <row r="30" spans="1:18">
      <c r="A30" s="823" t="s">
        <v>613</v>
      </c>
      <c r="C30" s="814"/>
      <c r="D30" s="833"/>
      <c r="E30" s="839"/>
      <c r="F30" s="833"/>
      <c r="G30" s="833"/>
      <c r="H30" s="840"/>
      <c r="I30" s="832"/>
      <c r="J30" s="836"/>
      <c r="K30" s="1708"/>
      <c r="L30" s="832"/>
      <c r="M30" s="832"/>
      <c r="N30" s="838" t="s">
        <v>6</v>
      </c>
      <c r="O30" s="832"/>
      <c r="P30" s="832"/>
      <c r="Q30" s="1711"/>
      <c r="R30" s="832"/>
    </row>
    <row r="31" spans="1:18">
      <c r="A31" s="1769" t="s">
        <v>2613</v>
      </c>
      <c r="B31" s="814" t="s">
        <v>6</v>
      </c>
      <c r="C31" s="826">
        <v>1989</v>
      </c>
      <c r="E31" s="827">
        <v>2035</v>
      </c>
      <c r="F31" s="826"/>
      <c r="H31" s="835">
        <v>250000000</v>
      </c>
      <c r="I31" s="830"/>
      <c r="K31" s="1708">
        <v>248964527.31999999</v>
      </c>
      <c r="L31" s="831"/>
      <c r="N31" s="838">
        <f t="shared" si="0"/>
        <v>1035472.7</v>
      </c>
      <c r="O31" s="832"/>
      <c r="P31" s="814"/>
      <c r="Q31" s="1709">
        <v>15489193</v>
      </c>
    </row>
    <row r="32" spans="1:18">
      <c r="A32" s="497" t="s">
        <v>655</v>
      </c>
      <c r="B32" s="814" t="s">
        <v>6</v>
      </c>
      <c r="C32" s="826">
        <v>1989</v>
      </c>
      <c r="E32" s="827">
        <v>2033</v>
      </c>
      <c r="F32" s="826"/>
      <c r="H32" s="835">
        <v>1200000000</v>
      </c>
      <c r="I32" s="830"/>
      <c r="K32" s="1708">
        <v>1151010575.8699999</v>
      </c>
      <c r="L32" s="831"/>
      <c r="N32" s="838">
        <f t="shared" si="0"/>
        <v>48989424.100000001</v>
      </c>
      <c r="O32" s="832"/>
      <c r="P32" s="814"/>
      <c r="Q32" s="1709">
        <v>179135422</v>
      </c>
    </row>
    <row r="33" spans="1:18">
      <c r="A33" s="823" t="s">
        <v>616</v>
      </c>
      <c r="C33" s="814"/>
      <c r="D33" s="833"/>
      <c r="E33" s="839"/>
      <c r="F33" s="833"/>
      <c r="G33" s="833"/>
      <c r="H33" s="840"/>
      <c r="I33" s="832"/>
      <c r="J33" s="836"/>
      <c r="K33" s="1708"/>
      <c r="L33" s="832"/>
      <c r="M33" s="832"/>
      <c r="N33" s="838" t="s">
        <v>6</v>
      </c>
      <c r="O33" s="832"/>
      <c r="P33" s="832"/>
      <c r="Q33" s="1711"/>
      <c r="R33" s="832"/>
    </row>
    <row r="34" spans="1:18">
      <c r="A34" s="1769" t="s">
        <v>617</v>
      </c>
      <c r="B34" s="814" t="s">
        <v>6</v>
      </c>
      <c r="C34" s="826">
        <v>1941</v>
      </c>
      <c r="E34" s="827">
        <v>2024</v>
      </c>
      <c r="F34" s="826"/>
      <c r="H34" s="835">
        <v>960000000</v>
      </c>
      <c r="I34" s="830"/>
      <c r="K34" s="1708">
        <v>952072000</v>
      </c>
      <c r="L34" s="831"/>
      <c r="N34" s="838">
        <f t="shared" si="0"/>
        <v>7928000</v>
      </c>
      <c r="O34" s="832"/>
      <c r="P34" s="814"/>
      <c r="Q34" s="1709">
        <v>16120000</v>
      </c>
    </row>
    <row r="35" spans="1:18">
      <c r="A35" s="815" t="s">
        <v>618</v>
      </c>
      <c r="B35" s="814" t="s">
        <v>6</v>
      </c>
      <c r="C35" s="826">
        <v>1957</v>
      </c>
      <c r="E35" s="827">
        <v>2023</v>
      </c>
      <c r="F35" s="826"/>
      <c r="H35" s="835">
        <v>150000000</v>
      </c>
      <c r="I35" s="830"/>
      <c r="K35" s="1708">
        <v>149500000</v>
      </c>
      <c r="L35" s="831"/>
      <c r="N35" s="838">
        <f t="shared" si="0"/>
        <v>500000</v>
      </c>
      <c r="O35" s="832"/>
      <c r="P35" s="814"/>
      <c r="Q35" s="1709">
        <v>13975000</v>
      </c>
    </row>
    <row r="36" spans="1:18">
      <c r="A36" s="815" t="s">
        <v>619</v>
      </c>
      <c r="B36" s="814" t="s">
        <v>6</v>
      </c>
      <c r="C36" s="826">
        <v>1957</v>
      </c>
      <c r="E36" s="827">
        <v>2009</v>
      </c>
      <c r="F36" s="826"/>
      <c r="H36" s="835">
        <v>25000000</v>
      </c>
      <c r="I36" s="830"/>
      <c r="K36" s="1708">
        <v>23425000</v>
      </c>
      <c r="L36" s="831"/>
      <c r="N36" s="838">
        <f t="shared" si="0"/>
        <v>1575000</v>
      </c>
      <c r="O36" s="832"/>
      <c r="P36" s="814"/>
      <c r="Q36" s="1709">
        <v>0</v>
      </c>
    </row>
    <row r="37" spans="1:18">
      <c r="A37" s="823" t="s">
        <v>2582</v>
      </c>
      <c r="B37" s="814" t="s">
        <v>6</v>
      </c>
      <c r="C37" s="826">
        <v>1970</v>
      </c>
      <c r="E37" s="827">
        <v>2010</v>
      </c>
      <c r="F37" s="826"/>
      <c r="H37" s="835">
        <v>200000000</v>
      </c>
      <c r="I37" s="830"/>
      <c r="K37" s="1708">
        <v>199770000</v>
      </c>
      <c r="L37" s="831"/>
      <c r="N37" s="838">
        <f t="shared" si="0"/>
        <v>230000</v>
      </c>
      <c r="O37" s="832"/>
      <c r="P37" s="814"/>
      <c r="Q37" s="1709">
        <v>0</v>
      </c>
    </row>
    <row r="38" spans="1:18">
      <c r="A38" s="823" t="s">
        <v>2581</v>
      </c>
      <c r="B38" s="814" t="s">
        <v>6</v>
      </c>
      <c r="C38" s="826">
        <v>1959</v>
      </c>
      <c r="E38" s="827">
        <v>2018</v>
      </c>
      <c r="F38" s="826"/>
      <c r="H38" s="835">
        <v>100000000</v>
      </c>
      <c r="I38" s="830"/>
      <c r="K38" s="1708">
        <v>99228000</v>
      </c>
      <c r="L38" s="831"/>
      <c r="N38" s="838">
        <f t="shared" si="0"/>
        <v>772000</v>
      </c>
      <c r="O38" s="832"/>
      <c r="P38" s="814"/>
      <c r="Q38" s="1709">
        <v>6351</v>
      </c>
    </row>
    <row r="39" spans="1:18">
      <c r="A39" s="823" t="s">
        <v>622</v>
      </c>
      <c r="B39" s="814" t="s">
        <v>6</v>
      </c>
      <c r="C39" s="826">
        <v>1968</v>
      </c>
      <c r="E39" s="827">
        <v>2043</v>
      </c>
      <c r="F39" s="826"/>
      <c r="H39" s="835">
        <v>1000000000</v>
      </c>
      <c r="I39" s="830"/>
      <c r="K39" s="1708">
        <v>980075995.15999997</v>
      </c>
      <c r="L39" s="831"/>
      <c r="N39" s="838">
        <f t="shared" si="0"/>
        <v>19924004.800000001</v>
      </c>
      <c r="O39" s="832"/>
      <c r="P39" s="814"/>
      <c r="Q39" s="1709">
        <v>31246366</v>
      </c>
    </row>
    <row r="40" spans="1:18">
      <c r="A40" s="823" t="s">
        <v>623</v>
      </c>
      <c r="B40" s="814" t="s">
        <v>6</v>
      </c>
      <c r="C40" s="826">
        <v>1977</v>
      </c>
      <c r="E40" s="827">
        <v>2017</v>
      </c>
      <c r="F40" s="826"/>
      <c r="H40" s="835">
        <v>250000000</v>
      </c>
      <c r="I40" s="830"/>
      <c r="K40" s="1708">
        <v>250000000</v>
      </c>
      <c r="L40" s="831"/>
      <c r="N40" s="838">
        <f t="shared" si="0"/>
        <v>0</v>
      </c>
      <c r="O40" s="832"/>
      <c r="P40" s="814"/>
      <c r="Q40" s="1709">
        <v>297439</v>
      </c>
    </row>
    <row r="41" spans="1:18" ht="17.25" customHeight="1">
      <c r="A41" s="823" t="s">
        <v>624</v>
      </c>
      <c r="C41" s="814"/>
      <c r="D41" s="833"/>
      <c r="E41" s="839"/>
      <c r="F41" s="833"/>
      <c r="G41" s="833"/>
      <c r="H41" s="840"/>
      <c r="I41" s="832"/>
      <c r="J41" s="836"/>
      <c r="K41" s="1704"/>
      <c r="L41" s="832"/>
      <c r="M41" s="832"/>
      <c r="N41" s="841"/>
      <c r="O41" s="832"/>
      <c r="P41" s="832"/>
      <c r="Q41" s="1711"/>
      <c r="R41" s="832"/>
    </row>
    <row r="42" spans="1:18" ht="15" customHeight="1">
      <c r="A42" s="1990" t="s">
        <v>2534</v>
      </c>
      <c r="C42" s="814"/>
      <c r="D42" s="833"/>
      <c r="E42" s="839"/>
      <c r="F42" s="833"/>
      <c r="G42" s="833"/>
      <c r="H42" s="840"/>
      <c r="I42" s="832"/>
      <c r="J42" s="836"/>
      <c r="K42" s="1704"/>
      <c r="L42" s="832"/>
      <c r="M42" s="832"/>
      <c r="N42" s="841"/>
      <c r="O42" s="832"/>
      <c r="P42" s="832"/>
      <c r="Q42" s="1711"/>
      <c r="R42" s="832"/>
    </row>
    <row r="43" spans="1:18">
      <c r="A43" s="815" t="s">
        <v>656</v>
      </c>
      <c r="B43" s="814" t="s">
        <v>6</v>
      </c>
      <c r="C43" s="826">
        <v>2006</v>
      </c>
      <c r="E43" s="827">
        <v>2042</v>
      </c>
      <c r="F43" s="826"/>
      <c r="H43" s="842">
        <v>0</v>
      </c>
      <c r="I43" s="826"/>
      <c r="K43" s="1702">
        <v>1142172937.95</v>
      </c>
      <c r="L43" s="843" t="s">
        <v>309</v>
      </c>
      <c r="N43" s="594">
        <v>0</v>
      </c>
      <c r="O43" s="826"/>
      <c r="P43" s="814"/>
      <c r="Q43" s="1712">
        <v>802029290</v>
      </c>
    </row>
    <row r="44" spans="1:18">
      <c r="A44" s="815" t="s">
        <v>657</v>
      </c>
      <c r="B44" s="814" t="s">
        <v>6</v>
      </c>
      <c r="C44" s="844">
        <v>2009</v>
      </c>
      <c r="E44" s="827">
        <v>2025</v>
      </c>
      <c r="F44" s="844"/>
      <c r="H44" s="842">
        <v>0</v>
      </c>
      <c r="I44" s="826"/>
      <c r="K44" s="1702">
        <v>28422423</v>
      </c>
      <c r="L44" s="843" t="s">
        <v>309</v>
      </c>
      <c r="N44" s="594">
        <v>0</v>
      </c>
      <c r="O44" s="826"/>
      <c r="P44" s="814"/>
      <c r="Q44" s="1712">
        <v>15019108</v>
      </c>
    </row>
    <row r="45" spans="1:18">
      <c r="A45" s="815" t="s">
        <v>658</v>
      </c>
      <c r="B45" s="814" t="s">
        <v>6</v>
      </c>
      <c r="C45" s="844">
        <v>2009</v>
      </c>
      <c r="E45" s="827">
        <v>2043</v>
      </c>
      <c r="F45" s="844"/>
      <c r="H45" s="842">
        <v>0</v>
      </c>
      <c r="I45" s="843"/>
      <c r="K45" s="1702">
        <v>64187404</v>
      </c>
      <c r="L45" s="843" t="s">
        <v>309</v>
      </c>
      <c r="N45" s="845">
        <v>0</v>
      </c>
      <c r="O45" s="843"/>
      <c r="P45" s="814"/>
      <c r="Q45" s="1713">
        <v>48703093</v>
      </c>
    </row>
    <row r="46" spans="1:18">
      <c r="A46" s="815" t="s">
        <v>659</v>
      </c>
      <c r="B46" s="814" t="s">
        <v>6</v>
      </c>
      <c r="C46" s="844">
        <v>2007</v>
      </c>
      <c r="E46" s="827">
        <v>2045</v>
      </c>
      <c r="F46" s="844"/>
      <c r="G46" s="531"/>
      <c r="H46" s="842">
        <v>0</v>
      </c>
      <c r="I46" s="843"/>
      <c r="J46" s="531"/>
      <c r="K46" s="1705">
        <v>97595450</v>
      </c>
      <c r="L46" s="843" t="s">
        <v>309</v>
      </c>
      <c r="M46" s="531"/>
      <c r="N46" s="845">
        <v>0</v>
      </c>
      <c r="O46" s="843"/>
      <c r="P46" s="834"/>
      <c r="Q46" s="1713">
        <v>79651413</v>
      </c>
      <c r="R46" s="531"/>
    </row>
    <row r="47" spans="1:18">
      <c r="A47" s="815" t="s">
        <v>660</v>
      </c>
      <c r="B47" s="814" t="s">
        <v>6</v>
      </c>
      <c r="C47" s="846">
        <v>2008</v>
      </c>
      <c r="E47" s="846">
        <v>2021</v>
      </c>
      <c r="F47" s="844"/>
      <c r="H47" s="847">
        <v>0</v>
      </c>
      <c r="I47" s="843"/>
      <c r="J47" s="531"/>
      <c r="K47" s="1706">
        <v>17672000</v>
      </c>
      <c r="L47" s="843" t="s">
        <v>309</v>
      </c>
      <c r="N47" s="848">
        <v>0</v>
      </c>
      <c r="O47" s="843"/>
      <c r="P47" s="814"/>
      <c r="Q47" s="1714">
        <v>6268331</v>
      </c>
    </row>
    <row r="48" spans="1:18">
      <c r="A48" s="1990" t="s">
        <v>2686</v>
      </c>
      <c r="B48" s="814" t="s">
        <v>6</v>
      </c>
      <c r="C48" s="844"/>
      <c r="E48" s="846"/>
      <c r="F48" s="844"/>
      <c r="H48" s="835">
        <v>1450000000</v>
      </c>
      <c r="I48" s="843" t="s">
        <v>309</v>
      </c>
      <c r="K48" s="1702">
        <v>1350050214.95</v>
      </c>
      <c r="L48" s="843" t="s">
        <v>309</v>
      </c>
      <c r="N48" s="838">
        <f>ROUND(SUM(H48-K48),1)</f>
        <v>99949785.099999994</v>
      </c>
      <c r="O48" s="849" t="s">
        <v>309</v>
      </c>
      <c r="P48" s="814"/>
      <c r="Q48" s="1709">
        <f>SUM(Q43:Q47)</f>
        <v>951671235</v>
      </c>
    </row>
    <row r="49" spans="1:18">
      <c r="A49" s="815" t="s">
        <v>630</v>
      </c>
      <c r="B49" s="814" t="s">
        <v>6</v>
      </c>
      <c r="C49" s="844">
        <v>2006</v>
      </c>
      <c r="E49" s="846">
        <v>2043</v>
      </c>
      <c r="F49" s="844"/>
      <c r="H49" s="835">
        <v>1450000000</v>
      </c>
      <c r="I49" s="830"/>
      <c r="K49" s="1708">
        <v>1064151648.23</v>
      </c>
      <c r="L49" s="843"/>
      <c r="N49" s="838">
        <f>ROUND(SUM(H49-K49),1)</f>
        <v>385848351.80000001</v>
      </c>
      <c r="O49" s="832"/>
      <c r="P49" s="814"/>
      <c r="Q49" s="1709">
        <v>838086893</v>
      </c>
    </row>
    <row r="50" spans="1:18">
      <c r="A50" s="823" t="s">
        <v>631</v>
      </c>
      <c r="C50" s="814"/>
      <c r="D50" s="833"/>
      <c r="E50" s="839"/>
      <c r="F50" s="833"/>
      <c r="G50" s="833"/>
      <c r="H50" s="840"/>
      <c r="I50" s="832"/>
      <c r="J50" s="836"/>
      <c r="K50" s="1704"/>
      <c r="L50" s="832"/>
      <c r="M50" s="832"/>
      <c r="N50" s="838" t="s">
        <v>6</v>
      </c>
      <c r="O50" s="832"/>
      <c r="P50" s="832"/>
      <c r="Q50" s="1711"/>
      <c r="R50" s="832"/>
    </row>
    <row r="51" spans="1:18">
      <c r="A51" s="815" t="s">
        <v>661</v>
      </c>
      <c r="B51" s="814" t="s">
        <v>6</v>
      </c>
      <c r="C51" s="826">
        <v>1984</v>
      </c>
      <c r="E51" s="827">
        <v>2025</v>
      </c>
      <c r="F51" s="826"/>
      <c r="H51" s="835">
        <v>1064000000</v>
      </c>
      <c r="I51" s="850" t="s">
        <v>311</v>
      </c>
      <c r="K51" s="1702">
        <v>1043500569.36</v>
      </c>
      <c r="L51" s="831"/>
      <c r="N51" s="838">
        <f t="shared" ref="N51:N58" si="1">ROUND(SUM(H51-K51),1)</f>
        <v>20499430.600000001</v>
      </c>
      <c r="O51" s="832"/>
      <c r="P51" s="814"/>
      <c r="Q51" s="1709">
        <v>1427346</v>
      </c>
    </row>
    <row r="52" spans="1:18">
      <c r="A52" s="815" t="s">
        <v>662</v>
      </c>
      <c r="B52" s="814" t="s">
        <v>6</v>
      </c>
      <c r="C52" s="826">
        <v>1984</v>
      </c>
      <c r="E52" s="827">
        <v>2013</v>
      </c>
      <c r="F52" s="826"/>
      <c r="H52" s="835">
        <v>49360000</v>
      </c>
      <c r="I52" s="830" t="s">
        <v>311</v>
      </c>
      <c r="K52" s="1702">
        <v>49360000</v>
      </c>
      <c r="L52" s="831"/>
      <c r="N52" s="838">
        <f t="shared" si="1"/>
        <v>0</v>
      </c>
      <c r="O52" s="832"/>
      <c r="P52" s="814"/>
      <c r="Q52" s="1709">
        <v>0</v>
      </c>
    </row>
    <row r="53" spans="1:18">
      <c r="A53" s="815" t="s">
        <v>663</v>
      </c>
      <c r="B53" s="814" t="s">
        <v>6</v>
      </c>
      <c r="C53" s="826">
        <v>1984</v>
      </c>
      <c r="E53" s="827">
        <v>2027</v>
      </c>
      <c r="F53" s="826"/>
      <c r="H53" s="835">
        <v>136640000</v>
      </c>
      <c r="I53" s="830" t="s">
        <v>311</v>
      </c>
      <c r="K53" s="1702">
        <v>136640000</v>
      </c>
      <c r="L53" s="831"/>
      <c r="N53" s="838">
        <f t="shared" si="1"/>
        <v>0</v>
      </c>
      <c r="O53" s="832"/>
      <c r="P53" s="814"/>
      <c r="Q53" s="1709">
        <v>5775985</v>
      </c>
    </row>
    <row r="54" spans="1:18">
      <c r="A54" s="823" t="s">
        <v>2538</v>
      </c>
      <c r="B54" s="814" t="s">
        <v>6</v>
      </c>
      <c r="C54" s="2237" t="s">
        <v>2710</v>
      </c>
      <c r="E54" s="827" t="s">
        <v>2710</v>
      </c>
      <c r="F54" s="826"/>
      <c r="H54" s="835">
        <v>2000000000</v>
      </c>
      <c r="I54" s="830"/>
      <c r="K54" s="1708">
        <v>0</v>
      </c>
      <c r="L54" s="831"/>
      <c r="N54" s="1709">
        <f>ROUND(SUM(H54-K54),1)</f>
        <v>2000000000</v>
      </c>
      <c r="O54" s="832"/>
      <c r="P54" s="814"/>
      <c r="Q54" s="1709">
        <v>0</v>
      </c>
    </row>
    <row r="55" spans="1:18">
      <c r="A55" s="823" t="s">
        <v>635</v>
      </c>
      <c r="C55" s="814"/>
      <c r="D55" s="833"/>
      <c r="E55" s="839"/>
      <c r="F55" s="833"/>
      <c r="G55" s="833"/>
      <c r="H55" s="840"/>
      <c r="I55" s="832"/>
      <c r="J55" s="836"/>
      <c r="K55" s="1704"/>
      <c r="L55" s="832"/>
      <c r="M55" s="832"/>
      <c r="N55" s="838" t="s">
        <v>6</v>
      </c>
      <c r="O55" s="832"/>
      <c r="P55" s="832"/>
      <c r="Q55" s="1709"/>
      <c r="R55" s="832"/>
    </row>
    <row r="56" spans="1:18">
      <c r="A56" s="815" t="s">
        <v>636</v>
      </c>
      <c r="B56" s="814" t="s">
        <v>6</v>
      </c>
      <c r="C56" s="826">
        <v>1971</v>
      </c>
      <c r="D56" s="843"/>
      <c r="E56" s="827">
        <v>2027</v>
      </c>
      <c r="F56" s="826"/>
      <c r="H56" s="835">
        <v>250000000</v>
      </c>
      <c r="I56" s="830"/>
      <c r="K56" s="1702">
        <v>250000000</v>
      </c>
      <c r="L56" s="831"/>
      <c r="N56" s="838">
        <f t="shared" si="1"/>
        <v>0</v>
      </c>
      <c r="O56" s="832"/>
      <c r="P56" s="814"/>
      <c r="Q56" s="1709">
        <v>5846615</v>
      </c>
    </row>
    <row r="57" spans="1:18">
      <c r="A57" s="815" t="s">
        <v>637</v>
      </c>
      <c r="B57" s="814" t="s">
        <v>6</v>
      </c>
      <c r="C57" s="826">
        <v>1968</v>
      </c>
      <c r="D57" s="843"/>
      <c r="E57" s="827">
        <v>1998</v>
      </c>
      <c r="F57" s="826"/>
      <c r="H57" s="842">
        <v>1250000000</v>
      </c>
      <c r="I57" s="830"/>
      <c r="K57" s="1701">
        <v>1250000000</v>
      </c>
      <c r="L57" s="831"/>
      <c r="N57" s="838">
        <f t="shared" si="1"/>
        <v>0</v>
      </c>
      <c r="O57" s="832"/>
      <c r="P57" s="814"/>
      <c r="Q57" s="1709">
        <v>0</v>
      </c>
    </row>
    <row r="58" spans="1:18">
      <c r="A58" s="815" t="s">
        <v>664</v>
      </c>
      <c r="B58" s="814" t="s">
        <v>6</v>
      </c>
      <c r="C58" s="826">
        <v>1970</v>
      </c>
      <c r="D58" s="843"/>
      <c r="E58" s="827">
        <v>2017</v>
      </c>
      <c r="F58" s="826"/>
      <c r="H58" s="835">
        <v>1000000000</v>
      </c>
      <c r="I58" s="830"/>
      <c r="K58" s="1702">
        <v>1000000000</v>
      </c>
      <c r="L58" s="831"/>
      <c r="N58" s="838">
        <f t="shared" si="1"/>
        <v>0</v>
      </c>
      <c r="O58" s="832"/>
      <c r="P58" s="814"/>
      <c r="Q58" s="1709">
        <v>38670</v>
      </c>
    </row>
    <row r="59" spans="1:18" ht="20.25" customHeight="1" thickBot="1">
      <c r="A59" s="851" t="s">
        <v>665</v>
      </c>
      <c r="B59" s="814" t="s">
        <v>6</v>
      </c>
      <c r="C59" s="814"/>
      <c r="D59" s="834"/>
      <c r="E59" s="824"/>
      <c r="G59" s="828"/>
      <c r="H59" s="852">
        <f>ROUND(SUM(H16:H58)-SUM(H43:H47),1)</f>
        <v>19185000000</v>
      </c>
      <c r="I59" s="830"/>
      <c r="J59" s="828"/>
      <c r="K59" s="852">
        <f>ROUND(SUM(K16:K58)-SUM(K43:K47),1)</f>
        <v>16437966415.700001</v>
      </c>
      <c r="L59" s="831"/>
      <c r="M59" s="828"/>
      <c r="N59" s="852">
        <f>ROUND(SUM(N16:N58)-SUM(N43:N47),1)</f>
        <v>2747033584.3000002</v>
      </c>
      <c r="P59" s="2214"/>
      <c r="Q59" s="1716">
        <f t="shared" ref="Q59" si="2">ROUND(SUM(Q16:Q58)-SUM(Q43:Q47),1)</f>
        <v>2727459999</v>
      </c>
    </row>
    <row r="60" spans="1:18" ht="16" thickTop="1">
      <c r="A60" s="823"/>
      <c r="C60" s="814"/>
      <c r="D60" s="834"/>
      <c r="E60" s="839"/>
      <c r="F60" s="531"/>
      <c r="G60" s="531"/>
      <c r="H60" s="853"/>
      <c r="I60" s="830"/>
      <c r="K60" s="853"/>
      <c r="L60" s="831"/>
      <c r="N60" s="853" t="s">
        <v>6</v>
      </c>
      <c r="O60" s="832"/>
      <c r="Q60" s="853"/>
    </row>
    <row r="61" spans="1:18" ht="0.75" customHeight="1">
      <c r="A61" s="823"/>
      <c r="C61" s="814"/>
      <c r="D61" s="834"/>
      <c r="E61" s="839"/>
      <c r="F61" s="531"/>
      <c r="G61" s="531"/>
      <c r="H61" s="853"/>
      <c r="I61" s="830"/>
      <c r="K61" s="853"/>
      <c r="L61" s="831"/>
      <c r="N61" s="853"/>
      <c r="O61" s="832"/>
      <c r="Q61" s="853"/>
    </row>
    <row r="62" spans="1:18" ht="4.5" customHeight="1">
      <c r="C62" s="814"/>
      <c r="D62" s="834"/>
      <c r="E62" s="824"/>
      <c r="O62" s="814"/>
    </row>
    <row r="63" spans="1:18">
      <c r="A63" s="815" t="s">
        <v>666</v>
      </c>
      <c r="E63" s="824"/>
      <c r="O63" s="814"/>
    </row>
    <row r="64" spans="1:18">
      <c r="A64" s="1990" t="s">
        <v>2535</v>
      </c>
      <c r="E64" s="824"/>
    </row>
    <row r="65" spans="1:5">
      <c r="A65" s="854" t="s">
        <v>667</v>
      </c>
      <c r="E65" s="824"/>
    </row>
    <row r="66" spans="1:5">
      <c r="A66" s="815" t="s">
        <v>668</v>
      </c>
      <c r="E66" s="824"/>
    </row>
    <row r="67" spans="1:5">
      <c r="A67" s="815" t="s">
        <v>669</v>
      </c>
      <c r="E67" s="824"/>
    </row>
    <row r="68" spans="1:5">
      <c r="E68" s="824"/>
    </row>
    <row r="69" spans="1:5">
      <c r="A69" s="823"/>
      <c r="E69" s="824"/>
    </row>
    <row r="70" spans="1:5">
      <c r="E70" s="824"/>
    </row>
    <row r="71" spans="1:5">
      <c r="E71" s="824"/>
    </row>
    <row r="72" spans="1:5">
      <c r="E72" s="824"/>
    </row>
    <row r="73" spans="1:5">
      <c r="E73" s="824"/>
    </row>
    <row r="74" spans="1:5">
      <c r="E74" s="824"/>
    </row>
    <row r="75" spans="1:5">
      <c r="E75" s="824"/>
    </row>
    <row r="76" spans="1:5">
      <c r="E76" s="824"/>
    </row>
    <row r="77" spans="1:5">
      <c r="E77" s="824"/>
    </row>
    <row r="78" spans="1:5">
      <c r="E78" s="824"/>
    </row>
    <row r="79" spans="1:5">
      <c r="E79" s="824"/>
    </row>
    <row r="80" spans="1:5">
      <c r="E80" s="824"/>
    </row>
    <row r="81" spans="5:5">
      <c r="E81" s="824"/>
    </row>
    <row r="82" spans="5:5">
      <c r="E82" s="824"/>
    </row>
    <row r="83" spans="5:5">
      <c r="E83" s="824"/>
    </row>
    <row r="84" spans="5:5">
      <c r="E84" s="824"/>
    </row>
    <row r="85" spans="5:5">
      <c r="E85" s="824"/>
    </row>
    <row r="86" spans="5:5">
      <c r="E86" s="824"/>
    </row>
    <row r="87" spans="5:5">
      <c r="E87" s="824"/>
    </row>
    <row r="88" spans="5:5">
      <c r="E88" s="824"/>
    </row>
    <row r="89" spans="5:5">
      <c r="E89" s="824"/>
    </row>
    <row r="90" spans="5:5">
      <c r="E90" s="824"/>
    </row>
    <row r="91" spans="5:5">
      <c r="E91" s="824"/>
    </row>
    <row r="92" spans="5:5">
      <c r="E92" s="824"/>
    </row>
    <row r="93" spans="5:5">
      <c r="E93" s="824"/>
    </row>
    <row r="94" spans="5:5">
      <c r="E94" s="824"/>
    </row>
    <row r="95" spans="5:5">
      <c r="E95" s="824"/>
    </row>
    <row r="96" spans="5:5">
      <c r="E96" s="824"/>
    </row>
    <row r="97" spans="5:5">
      <c r="E97" s="824"/>
    </row>
    <row r="98" spans="5:5">
      <c r="E98" s="824"/>
    </row>
    <row r="99" spans="5:5">
      <c r="E99" s="824"/>
    </row>
    <row r="100" spans="5:5">
      <c r="E100" s="824"/>
    </row>
    <row r="101" spans="5:5">
      <c r="E101" s="824"/>
    </row>
    <row r="102" spans="5:5">
      <c r="E102" s="824"/>
    </row>
    <row r="103" spans="5:5">
      <c r="E103" s="824"/>
    </row>
    <row r="104" spans="5:5">
      <c r="E104" s="824"/>
    </row>
    <row r="105" spans="5:5">
      <c r="E105" s="824"/>
    </row>
    <row r="106" spans="5:5">
      <c r="E106" s="824"/>
    </row>
    <row r="107" spans="5:5">
      <c r="E107" s="824"/>
    </row>
    <row r="108" spans="5:5">
      <c r="E108" s="824"/>
    </row>
    <row r="109" spans="5:5">
      <c r="E109" s="824"/>
    </row>
  </sheetData>
  <printOptions horizontalCentered="1" verticalCentered="1"/>
  <pageMargins left="0.5" right="0.5" top="0.7" bottom="0.25" header="0" footer="0.25"/>
  <pageSetup scale="53" orientation="landscape"/>
  <headerFooter scaleWithDoc="0">
    <oddFooter>&amp;R&amp;8 93</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enableFormatConditionsCalculation="0"/>
  <dimension ref="A1:N95"/>
  <sheetViews>
    <sheetView showGridLines="0" showOutlineSymbols="0" zoomScale="80" zoomScaleNormal="80" zoomScalePageLayoutView="80" workbookViewId="0"/>
  </sheetViews>
  <sheetFormatPr baseColWidth="10" defaultColWidth="8.85546875" defaultRowHeight="13" x14ac:dyDescent="0"/>
  <cols>
    <col min="1" max="1" width="2.5703125" style="4" customWidth="1"/>
    <col min="2" max="2" width="42.85546875" style="4" customWidth="1"/>
    <col min="3" max="3" width="1.85546875" style="4" customWidth="1"/>
    <col min="4" max="4" width="1.5703125" style="4" customWidth="1"/>
    <col min="5" max="5" width="23.85546875" style="4" customWidth="1"/>
    <col min="6" max="6" width="1.5703125" style="4" customWidth="1"/>
    <col min="7" max="7" width="23.85546875" style="4" customWidth="1"/>
    <col min="8" max="8" width="1.5703125" style="4" customWidth="1"/>
    <col min="9" max="9" width="23.85546875" style="4" customWidth="1"/>
    <col min="10" max="10" width="1.5703125" style="4" customWidth="1"/>
    <col min="11" max="11" width="23.5703125" style="4" customWidth="1"/>
    <col min="12" max="12" width="23.42578125" style="4" customWidth="1"/>
    <col min="13" max="13" width="8.85546875" style="4"/>
    <col min="14" max="14" width="13.5703125" style="4" customWidth="1"/>
    <col min="15" max="254" width="8.85546875" style="4"/>
    <col min="255" max="255" width="2.5703125" style="4" customWidth="1"/>
    <col min="256" max="256" width="42.85546875" style="4" customWidth="1"/>
    <col min="257" max="257" width="1.85546875" style="4" customWidth="1"/>
    <col min="258" max="259" width="2.85546875" style="4" customWidth="1"/>
    <col min="260" max="260" width="23.85546875" style="4" customWidth="1"/>
    <col min="261" max="261" width="2.85546875" style="4" customWidth="1"/>
    <col min="262" max="262" width="22" style="4" customWidth="1"/>
    <col min="263" max="263" width="2.85546875" style="4" customWidth="1"/>
    <col min="264" max="264" width="1.85546875" style="4" customWidth="1"/>
    <col min="265" max="265" width="8.85546875" style="4" customWidth="1"/>
    <col min="266" max="266" width="23.42578125" style="4" customWidth="1"/>
    <col min="267" max="267" width="1.85546875" style="4" customWidth="1"/>
    <col min="268" max="268" width="23.42578125" style="4" customWidth="1"/>
    <col min="269" max="510" width="8.85546875" style="4"/>
    <col min="511" max="511" width="2.5703125" style="4" customWidth="1"/>
    <col min="512" max="512" width="42.85546875" style="4" customWidth="1"/>
    <col min="513" max="513" width="1.85546875" style="4" customWidth="1"/>
    <col min="514" max="515" width="2.85546875" style="4" customWidth="1"/>
    <col min="516" max="516" width="23.85546875" style="4" customWidth="1"/>
    <col min="517" max="517" width="2.85546875" style="4" customWidth="1"/>
    <col min="518" max="518" width="22" style="4" customWidth="1"/>
    <col min="519" max="519" width="2.85546875" style="4" customWidth="1"/>
    <col min="520" max="520" width="1.85546875" style="4" customWidth="1"/>
    <col min="521" max="521" width="8.85546875" style="4" customWidth="1"/>
    <col min="522" max="522" width="23.42578125" style="4" customWidth="1"/>
    <col min="523" max="523" width="1.85546875" style="4" customWidth="1"/>
    <col min="524" max="524" width="23.42578125" style="4" customWidth="1"/>
    <col min="525" max="766" width="8.85546875" style="4"/>
    <col min="767" max="767" width="2.5703125" style="4" customWidth="1"/>
    <col min="768" max="768" width="42.85546875" style="4" customWidth="1"/>
    <col min="769" max="769" width="1.85546875" style="4" customWidth="1"/>
    <col min="770" max="771" width="2.85546875" style="4" customWidth="1"/>
    <col min="772" max="772" width="23.85546875" style="4" customWidth="1"/>
    <col min="773" max="773" width="2.85546875" style="4" customWidth="1"/>
    <col min="774" max="774" width="22" style="4" customWidth="1"/>
    <col min="775" max="775" width="2.85546875" style="4" customWidth="1"/>
    <col min="776" max="776" width="1.85546875" style="4" customWidth="1"/>
    <col min="777" max="777" width="8.85546875" style="4" customWidth="1"/>
    <col min="778" max="778" width="23.42578125" style="4" customWidth="1"/>
    <col min="779" max="779" width="1.85546875" style="4" customWidth="1"/>
    <col min="780" max="780" width="23.42578125" style="4" customWidth="1"/>
    <col min="781" max="1022" width="8.85546875" style="4"/>
    <col min="1023" max="1023" width="2.5703125" style="4" customWidth="1"/>
    <col min="1024" max="1024" width="42.85546875" style="4" customWidth="1"/>
    <col min="1025" max="1025" width="1.85546875" style="4" customWidth="1"/>
    <col min="1026" max="1027" width="2.85546875" style="4" customWidth="1"/>
    <col min="1028" max="1028" width="23.85546875" style="4" customWidth="1"/>
    <col min="1029" max="1029" width="2.85546875" style="4" customWidth="1"/>
    <col min="1030" max="1030" width="22" style="4" customWidth="1"/>
    <col min="1031" max="1031" width="2.85546875" style="4" customWidth="1"/>
    <col min="1032" max="1032" width="1.85546875" style="4" customWidth="1"/>
    <col min="1033" max="1033" width="8.85546875" style="4" customWidth="1"/>
    <col min="1034" max="1034" width="23.42578125" style="4" customWidth="1"/>
    <col min="1035" max="1035" width="1.85546875" style="4" customWidth="1"/>
    <col min="1036" max="1036" width="23.42578125" style="4" customWidth="1"/>
    <col min="1037" max="1278" width="8.85546875" style="4"/>
    <col min="1279" max="1279" width="2.5703125" style="4" customWidth="1"/>
    <col min="1280" max="1280" width="42.85546875" style="4" customWidth="1"/>
    <col min="1281" max="1281" width="1.85546875" style="4" customWidth="1"/>
    <col min="1282" max="1283" width="2.85546875" style="4" customWidth="1"/>
    <col min="1284" max="1284" width="23.85546875" style="4" customWidth="1"/>
    <col min="1285" max="1285" width="2.85546875" style="4" customWidth="1"/>
    <col min="1286" max="1286" width="22" style="4" customWidth="1"/>
    <col min="1287" max="1287" width="2.85546875" style="4" customWidth="1"/>
    <col min="1288" max="1288" width="1.85546875" style="4" customWidth="1"/>
    <col min="1289" max="1289" width="8.85546875" style="4" customWidth="1"/>
    <col min="1290" max="1290" width="23.42578125" style="4" customWidth="1"/>
    <col min="1291" max="1291" width="1.85546875" style="4" customWidth="1"/>
    <col min="1292" max="1292" width="23.42578125" style="4" customWidth="1"/>
    <col min="1293" max="1534" width="8.85546875" style="4"/>
    <col min="1535" max="1535" width="2.5703125" style="4" customWidth="1"/>
    <col min="1536" max="1536" width="42.85546875" style="4" customWidth="1"/>
    <col min="1537" max="1537" width="1.85546875" style="4" customWidth="1"/>
    <col min="1538" max="1539" width="2.85546875" style="4" customWidth="1"/>
    <col min="1540" max="1540" width="23.85546875" style="4" customWidth="1"/>
    <col min="1541" max="1541" width="2.85546875" style="4" customWidth="1"/>
    <col min="1542" max="1542" width="22" style="4" customWidth="1"/>
    <col min="1543" max="1543" width="2.85546875" style="4" customWidth="1"/>
    <col min="1544" max="1544" width="1.85546875" style="4" customWidth="1"/>
    <col min="1545" max="1545" width="8.85546875" style="4" customWidth="1"/>
    <col min="1546" max="1546" width="23.42578125" style="4" customWidth="1"/>
    <col min="1547" max="1547" width="1.85546875" style="4" customWidth="1"/>
    <col min="1548" max="1548" width="23.42578125" style="4" customWidth="1"/>
    <col min="1549" max="1790" width="8.85546875" style="4"/>
    <col min="1791" max="1791" width="2.5703125" style="4" customWidth="1"/>
    <col min="1792" max="1792" width="42.85546875" style="4" customWidth="1"/>
    <col min="1793" max="1793" width="1.85546875" style="4" customWidth="1"/>
    <col min="1794" max="1795" width="2.85546875" style="4" customWidth="1"/>
    <col min="1796" max="1796" width="23.85546875" style="4" customWidth="1"/>
    <col min="1797" max="1797" width="2.85546875" style="4" customWidth="1"/>
    <col min="1798" max="1798" width="22" style="4" customWidth="1"/>
    <col min="1799" max="1799" width="2.85546875" style="4" customWidth="1"/>
    <col min="1800" max="1800" width="1.85546875" style="4" customWidth="1"/>
    <col min="1801" max="1801" width="8.85546875" style="4" customWidth="1"/>
    <col min="1802" max="1802" width="23.42578125" style="4" customWidth="1"/>
    <col min="1803" max="1803" width="1.85546875" style="4" customWidth="1"/>
    <col min="1804" max="1804" width="23.42578125" style="4" customWidth="1"/>
    <col min="1805" max="2046" width="8.85546875" style="4"/>
    <col min="2047" max="2047" width="2.5703125" style="4" customWidth="1"/>
    <col min="2048" max="2048" width="42.85546875" style="4" customWidth="1"/>
    <col min="2049" max="2049" width="1.85546875" style="4" customWidth="1"/>
    <col min="2050" max="2051" width="2.85546875" style="4" customWidth="1"/>
    <col min="2052" max="2052" width="23.85546875" style="4" customWidth="1"/>
    <col min="2053" max="2053" width="2.85546875" style="4" customWidth="1"/>
    <col min="2054" max="2054" width="22" style="4" customWidth="1"/>
    <col min="2055" max="2055" width="2.85546875" style="4" customWidth="1"/>
    <col min="2056" max="2056" width="1.85546875" style="4" customWidth="1"/>
    <col min="2057" max="2057" width="8.85546875" style="4" customWidth="1"/>
    <col min="2058" max="2058" width="23.42578125" style="4" customWidth="1"/>
    <col min="2059" max="2059" width="1.85546875" style="4" customWidth="1"/>
    <col min="2060" max="2060" width="23.42578125" style="4" customWidth="1"/>
    <col min="2061" max="2302" width="8.85546875" style="4"/>
    <col min="2303" max="2303" width="2.5703125" style="4" customWidth="1"/>
    <col min="2304" max="2304" width="42.85546875" style="4" customWidth="1"/>
    <col min="2305" max="2305" width="1.85546875" style="4" customWidth="1"/>
    <col min="2306" max="2307" width="2.85546875" style="4" customWidth="1"/>
    <col min="2308" max="2308" width="23.85546875" style="4" customWidth="1"/>
    <col min="2309" max="2309" width="2.85546875" style="4" customWidth="1"/>
    <col min="2310" max="2310" width="22" style="4" customWidth="1"/>
    <col min="2311" max="2311" width="2.85546875" style="4" customWidth="1"/>
    <col min="2312" max="2312" width="1.85546875" style="4" customWidth="1"/>
    <col min="2313" max="2313" width="8.85546875" style="4" customWidth="1"/>
    <col min="2314" max="2314" width="23.42578125" style="4" customWidth="1"/>
    <col min="2315" max="2315" width="1.85546875" style="4" customWidth="1"/>
    <col min="2316" max="2316" width="23.42578125" style="4" customWidth="1"/>
    <col min="2317" max="2558" width="8.85546875" style="4"/>
    <col min="2559" max="2559" width="2.5703125" style="4" customWidth="1"/>
    <col min="2560" max="2560" width="42.85546875" style="4" customWidth="1"/>
    <col min="2561" max="2561" width="1.85546875" style="4" customWidth="1"/>
    <col min="2562" max="2563" width="2.85546875" style="4" customWidth="1"/>
    <col min="2564" max="2564" width="23.85546875" style="4" customWidth="1"/>
    <col min="2565" max="2565" width="2.85546875" style="4" customWidth="1"/>
    <col min="2566" max="2566" width="22" style="4" customWidth="1"/>
    <col min="2567" max="2567" width="2.85546875" style="4" customWidth="1"/>
    <col min="2568" max="2568" width="1.85546875" style="4" customWidth="1"/>
    <col min="2569" max="2569" width="8.85546875" style="4" customWidth="1"/>
    <col min="2570" max="2570" width="23.42578125" style="4" customWidth="1"/>
    <col min="2571" max="2571" width="1.85546875" style="4" customWidth="1"/>
    <col min="2572" max="2572" width="23.42578125" style="4" customWidth="1"/>
    <col min="2573" max="2814" width="8.85546875" style="4"/>
    <col min="2815" max="2815" width="2.5703125" style="4" customWidth="1"/>
    <col min="2816" max="2816" width="42.85546875" style="4" customWidth="1"/>
    <col min="2817" max="2817" width="1.85546875" style="4" customWidth="1"/>
    <col min="2818" max="2819" width="2.85546875" style="4" customWidth="1"/>
    <col min="2820" max="2820" width="23.85546875" style="4" customWidth="1"/>
    <col min="2821" max="2821" width="2.85546875" style="4" customWidth="1"/>
    <col min="2822" max="2822" width="22" style="4" customWidth="1"/>
    <col min="2823" max="2823" width="2.85546875" style="4" customWidth="1"/>
    <col min="2824" max="2824" width="1.85546875" style="4" customWidth="1"/>
    <col min="2825" max="2825" width="8.85546875" style="4" customWidth="1"/>
    <col min="2826" max="2826" width="23.42578125" style="4" customWidth="1"/>
    <col min="2827" max="2827" width="1.85546875" style="4" customWidth="1"/>
    <col min="2828" max="2828" width="23.42578125" style="4" customWidth="1"/>
    <col min="2829" max="3070" width="8.85546875" style="4"/>
    <col min="3071" max="3071" width="2.5703125" style="4" customWidth="1"/>
    <col min="3072" max="3072" width="42.85546875" style="4" customWidth="1"/>
    <col min="3073" max="3073" width="1.85546875" style="4" customWidth="1"/>
    <col min="3074" max="3075" width="2.85546875" style="4" customWidth="1"/>
    <col min="3076" max="3076" width="23.85546875" style="4" customWidth="1"/>
    <col min="3077" max="3077" width="2.85546875" style="4" customWidth="1"/>
    <col min="3078" max="3078" width="22" style="4" customWidth="1"/>
    <col min="3079" max="3079" width="2.85546875" style="4" customWidth="1"/>
    <col min="3080" max="3080" width="1.85546875" style="4" customWidth="1"/>
    <col min="3081" max="3081" width="8.85546875" style="4" customWidth="1"/>
    <col min="3082" max="3082" width="23.42578125" style="4" customWidth="1"/>
    <col min="3083" max="3083" width="1.85546875" style="4" customWidth="1"/>
    <col min="3084" max="3084" width="23.42578125" style="4" customWidth="1"/>
    <col min="3085" max="3326" width="8.85546875" style="4"/>
    <col min="3327" max="3327" width="2.5703125" style="4" customWidth="1"/>
    <col min="3328" max="3328" width="42.85546875" style="4" customWidth="1"/>
    <col min="3329" max="3329" width="1.85546875" style="4" customWidth="1"/>
    <col min="3330" max="3331" width="2.85546875" style="4" customWidth="1"/>
    <col min="3332" max="3332" width="23.85546875" style="4" customWidth="1"/>
    <col min="3333" max="3333" width="2.85546875" style="4" customWidth="1"/>
    <col min="3334" max="3334" width="22" style="4" customWidth="1"/>
    <col min="3335" max="3335" width="2.85546875" style="4" customWidth="1"/>
    <col min="3336" max="3336" width="1.85546875" style="4" customWidth="1"/>
    <col min="3337" max="3337" width="8.85546875" style="4" customWidth="1"/>
    <col min="3338" max="3338" width="23.42578125" style="4" customWidth="1"/>
    <col min="3339" max="3339" width="1.85546875" style="4" customWidth="1"/>
    <col min="3340" max="3340" width="23.42578125" style="4" customWidth="1"/>
    <col min="3341" max="3582" width="8.85546875" style="4"/>
    <col min="3583" max="3583" width="2.5703125" style="4" customWidth="1"/>
    <col min="3584" max="3584" width="42.85546875" style="4" customWidth="1"/>
    <col min="3585" max="3585" width="1.85546875" style="4" customWidth="1"/>
    <col min="3586" max="3587" width="2.85546875" style="4" customWidth="1"/>
    <col min="3588" max="3588" width="23.85546875" style="4" customWidth="1"/>
    <col min="3589" max="3589" width="2.85546875" style="4" customWidth="1"/>
    <col min="3590" max="3590" width="22" style="4" customWidth="1"/>
    <col min="3591" max="3591" width="2.85546875" style="4" customWidth="1"/>
    <col min="3592" max="3592" width="1.85546875" style="4" customWidth="1"/>
    <col min="3593" max="3593" width="8.85546875" style="4" customWidth="1"/>
    <col min="3594" max="3594" width="23.42578125" style="4" customWidth="1"/>
    <col min="3595" max="3595" width="1.85546875" style="4" customWidth="1"/>
    <col min="3596" max="3596" width="23.42578125" style="4" customWidth="1"/>
    <col min="3597" max="3838" width="8.85546875" style="4"/>
    <col min="3839" max="3839" width="2.5703125" style="4" customWidth="1"/>
    <col min="3840" max="3840" width="42.85546875" style="4" customWidth="1"/>
    <col min="3841" max="3841" width="1.85546875" style="4" customWidth="1"/>
    <col min="3842" max="3843" width="2.85546875" style="4" customWidth="1"/>
    <col min="3844" max="3844" width="23.85546875" style="4" customWidth="1"/>
    <col min="3845" max="3845" width="2.85546875" style="4" customWidth="1"/>
    <col min="3846" max="3846" width="22" style="4" customWidth="1"/>
    <col min="3847" max="3847" width="2.85546875" style="4" customWidth="1"/>
    <col min="3848" max="3848" width="1.85546875" style="4" customWidth="1"/>
    <col min="3849" max="3849" width="8.85546875" style="4" customWidth="1"/>
    <col min="3850" max="3850" width="23.42578125" style="4" customWidth="1"/>
    <col min="3851" max="3851" width="1.85546875" style="4" customWidth="1"/>
    <col min="3852" max="3852" width="23.42578125" style="4" customWidth="1"/>
    <col min="3853" max="4094" width="8.85546875" style="4"/>
    <col min="4095" max="4095" width="2.5703125" style="4" customWidth="1"/>
    <col min="4096" max="4096" width="42.85546875" style="4" customWidth="1"/>
    <col min="4097" max="4097" width="1.85546875" style="4" customWidth="1"/>
    <col min="4098" max="4099" width="2.85546875" style="4" customWidth="1"/>
    <col min="4100" max="4100" width="23.85546875" style="4" customWidth="1"/>
    <col min="4101" max="4101" width="2.85546875" style="4" customWidth="1"/>
    <col min="4102" max="4102" width="22" style="4" customWidth="1"/>
    <col min="4103" max="4103" width="2.85546875" style="4" customWidth="1"/>
    <col min="4104" max="4104" width="1.85546875" style="4" customWidth="1"/>
    <col min="4105" max="4105" width="8.85546875" style="4" customWidth="1"/>
    <col min="4106" max="4106" width="23.42578125" style="4" customWidth="1"/>
    <col min="4107" max="4107" width="1.85546875" style="4" customWidth="1"/>
    <col min="4108" max="4108" width="23.42578125" style="4" customWidth="1"/>
    <col min="4109" max="4350" width="8.85546875" style="4"/>
    <col min="4351" max="4351" width="2.5703125" style="4" customWidth="1"/>
    <col min="4352" max="4352" width="42.85546875" style="4" customWidth="1"/>
    <col min="4353" max="4353" width="1.85546875" style="4" customWidth="1"/>
    <col min="4354" max="4355" width="2.85546875" style="4" customWidth="1"/>
    <col min="4356" max="4356" width="23.85546875" style="4" customWidth="1"/>
    <col min="4357" max="4357" width="2.85546875" style="4" customWidth="1"/>
    <col min="4358" max="4358" width="22" style="4" customWidth="1"/>
    <col min="4359" max="4359" width="2.85546875" style="4" customWidth="1"/>
    <col min="4360" max="4360" width="1.85546875" style="4" customWidth="1"/>
    <col min="4361" max="4361" width="8.85546875" style="4" customWidth="1"/>
    <col min="4362" max="4362" width="23.42578125" style="4" customWidth="1"/>
    <col min="4363" max="4363" width="1.85546875" style="4" customWidth="1"/>
    <col min="4364" max="4364" width="23.42578125" style="4" customWidth="1"/>
    <col min="4365" max="4606" width="8.85546875" style="4"/>
    <col min="4607" max="4607" width="2.5703125" style="4" customWidth="1"/>
    <col min="4608" max="4608" width="42.85546875" style="4" customWidth="1"/>
    <col min="4609" max="4609" width="1.85546875" style="4" customWidth="1"/>
    <col min="4610" max="4611" width="2.85546875" style="4" customWidth="1"/>
    <col min="4612" max="4612" width="23.85546875" style="4" customWidth="1"/>
    <col min="4613" max="4613" width="2.85546875" style="4" customWidth="1"/>
    <col min="4614" max="4614" width="22" style="4" customWidth="1"/>
    <col min="4615" max="4615" width="2.85546875" style="4" customWidth="1"/>
    <col min="4616" max="4616" width="1.85546875" style="4" customWidth="1"/>
    <col min="4617" max="4617" width="8.85546875" style="4" customWidth="1"/>
    <col min="4618" max="4618" width="23.42578125" style="4" customWidth="1"/>
    <col min="4619" max="4619" width="1.85546875" style="4" customWidth="1"/>
    <col min="4620" max="4620" width="23.42578125" style="4" customWidth="1"/>
    <col min="4621" max="4862" width="8.85546875" style="4"/>
    <col min="4863" max="4863" width="2.5703125" style="4" customWidth="1"/>
    <col min="4864" max="4864" width="42.85546875" style="4" customWidth="1"/>
    <col min="4865" max="4865" width="1.85546875" style="4" customWidth="1"/>
    <col min="4866" max="4867" width="2.85546875" style="4" customWidth="1"/>
    <col min="4868" max="4868" width="23.85546875" style="4" customWidth="1"/>
    <col min="4869" max="4869" width="2.85546875" style="4" customWidth="1"/>
    <col min="4870" max="4870" width="22" style="4" customWidth="1"/>
    <col min="4871" max="4871" width="2.85546875" style="4" customWidth="1"/>
    <col min="4872" max="4872" width="1.85546875" style="4" customWidth="1"/>
    <col min="4873" max="4873" width="8.85546875" style="4" customWidth="1"/>
    <col min="4874" max="4874" width="23.42578125" style="4" customWidth="1"/>
    <col min="4875" max="4875" width="1.85546875" style="4" customWidth="1"/>
    <col min="4876" max="4876" width="23.42578125" style="4" customWidth="1"/>
    <col min="4877" max="5118" width="8.85546875" style="4"/>
    <col min="5119" max="5119" width="2.5703125" style="4" customWidth="1"/>
    <col min="5120" max="5120" width="42.85546875" style="4" customWidth="1"/>
    <col min="5121" max="5121" width="1.85546875" style="4" customWidth="1"/>
    <col min="5122" max="5123" width="2.85546875" style="4" customWidth="1"/>
    <col min="5124" max="5124" width="23.85546875" style="4" customWidth="1"/>
    <col min="5125" max="5125" width="2.85546875" style="4" customWidth="1"/>
    <col min="5126" max="5126" width="22" style="4" customWidth="1"/>
    <col min="5127" max="5127" width="2.85546875" style="4" customWidth="1"/>
    <col min="5128" max="5128" width="1.85546875" style="4" customWidth="1"/>
    <col min="5129" max="5129" width="8.85546875" style="4" customWidth="1"/>
    <col min="5130" max="5130" width="23.42578125" style="4" customWidth="1"/>
    <col min="5131" max="5131" width="1.85546875" style="4" customWidth="1"/>
    <col min="5132" max="5132" width="23.42578125" style="4" customWidth="1"/>
    <col min="5133" max="5374" width="8.85546875" style="4"/>
    <col min="5375" max="5375" width="2.5703125" style="4" customWidth="1"/>
    <col min="5376" max="5376" width="42.85546875" style="4" customWidth="1"/>
    <col min="5377" max="5377" width="1.85546875" style="4" customWidth="1"/>
    <col min="5378" max="5379" width="2.85546875" style="4" customWidth="1"/>
    <col min="5380" max="5380" width="23.85546875" style="4" customWidth="1"/>
    <col min="5381" max="5381" width="2.85546875" style="4" customWidth="1"/>
    <col min="5382" max="5382" width="22" style="4" customWidth="1"/>
    <col min="5383" max="5383" width="2.85546875" style="4" customWidth="1"/>
    <col min="5384" max="5384" width="1.85546875" style="4" customWidth="1"/>
    <col min="5385" max="5385" width="8.85546875" style="4" customWidth="1"/>
    <col min="5386" max="5386" width="23.42578125" style="4" customWidth="1"/>
    <col min="5387" max="5387" width="1.85546875" style="4" customWidth="1"/>
    <col min="5388" max="5388" width="23.42578125" style="4" customWidth="1"/>
    <col min="5389" max="5630" width="8.85546875" style="4"/>
    <col min="5631" max="5631" width="2.5703125" style="4" customWidth="1"/>
    <col min="5632" max="5632" width="42.85546875" style="4" customWidth="1"/>
    <col min="5633" max="5633" width="1.85546875" style="4" customWidth="1"/>
    <col min="5634" max="5635" width="2.85546875" style="4" customWidth="1"/>
    <col min="5636" max="5636" width="23.85546875" style="4" customWidth="1"/>
    <col min="5637" max="5637" width="2.85546875" style="4" customWidth="1"/>
    <col min="5638" max="5638" width="22" style="4" customWidth="1"/>
    <col min="5639" max="5639" width="2.85546875" style="4" customWidth="1"/>
    <col min="5640" max="5640" width="1.85546875" style="4" customWidth="1"/>
    <col min="5641" max="5641" width="8.85546875" style="4" customWidth="1"/>
    <col min="5642" max="5642" width="23.42578125" style="4" customWidth="1"/>
    <col min="5643" max="5643" width="1.85546875" style="4" customWidth="1"/>
    <col min="5644" max="5644" width="23.42578125" style="4" customWidth="1"/>
    <col min="5645" max="5886" width="8.85546875" style="4"/>
    <col min="5887" max="5887" width="2.5703125" style="4" customWidth="1"/>
    <col min="5888" max="5888" width="42.85546875" style="4" customWidth="1"/>
    <col min="5889" max="5889" width="1.85546875" style="4" customWidth="1"/>
    <col min="5890" max="5891" width="2.85546875" style="4" customWidth="1"/>
    <col min="5892" max="5892" width="23.85546875" style="4" customWidth="1"/>
    <col min="5893" max="5893" width="2.85546875" style="4" customWidth="1"/>
    <col min="5894" max="5894" width="22" style="4" customWidth="1"/>
    <col min="5895" max="5895" width="2.85546875" style="4" customWidth="1"/>
    <col min="5896" max="5896" width="1.85546875" style="4" customWidth="1"/>
    <col min="5897" max="5897" width="8.85546875" style="4" customWidth="1"/>
    <col min="5898" max="5898" width="23.42578125" style="4" customWidth="1"/>
    <col min="5899" max="5899" width="1.85546875" style="4" customWidth="1"/>
    <col min="5900" max="5900" width="23.42578125" style="4" customWidth="1"/>
    <col min="5901" max="6142" width="8.85546875" style="4"/>
    <col min="6143" max="6143" width="2.5703125" style="4" customWidth="1"/>
    <col min="6144" max="6144" width="42.85546875" style="4" customWidth="1"/>
    <col min="6145" max="6145" width="1.85546875" style="4" customWidth="1"/>
    <col min="6146" max="6147" width="2.85546875" style="4" customWidth="1"/>
    <col min="6148" max="6148" width="23.85546875" style="4" customWidth="1"/>
    <col min="6149" max="6149" width="2.85546875" style="4" customWidth="1"/>
    <col min="6150" max="6150" width="22" style="4" customWidth="1"/>
    <col min="6151" max="6151" width="2.85546875" style="4" customWidth="1"/>
    <col min="6152" max="6152" width="1.85546875" style="4" customWidth="1"/>
    <col min="6153" max="6153" width="8.85546875" style="4" customWidth="1"/>
    <col min="6154" max="6154" width="23.42578125" style="4" customWidth="1"/>
    <col min="6155" max="6155" width="1.85546875" style="4" customWidth="1"/>
    <col min="6156" max="6156" width="23.42578125" style="4" customWidth="1"/>
    <col min="6157" max="6398" width="8.85546875" style="4"/>
    <col min="6399" max="6399" width="2.5703125" style="4" customWidth="1"/>
    <col min="6400" max="6400" width="42.85546875" style="4" customWidth="1"/>
    <col min="6401" max="6401" width="1.85546875" style="4" customWidth="1"/>
    <col min="6402" max="6403" width="2.85546875" style="4" customWidth="1"/>
    <col min="6404" max="6404" width="23.85546875" style="4" customWidth="1"/>
    <col min="6405" max="6405" width="2.85546875" style="4" customWidth="1"/>
    <col min="6406" max="6406" width="22" style="4" customWidth="1"/>
    <col min="6407" max="6407" width="2.85546875" style="4" customWidth="1"/>
    <col min="6408" max="6408" width="1.85546875" style="4" customWidth="1"/>
    <col min="6409" max="6409" width="8.85546875" style="4" customWidth="1"/>
    <col min="6410" max="6410" width="23.42578125" style="4" customWidth="1"/>
    <col min="6411" max="6411" width="1.85546875" style="4" customWidth="1"/>
    <col min="6412" max="6412" width="23.42578125" style="4" customWidth="1"/>
    <col min="6413" max="6654" width="8.85546875" style="4"/>
    <col min="6655" max="6655" width="2.5703125" style="4" customWidth="1"/>
    <col min="6656" max="6656" width="42.85546875" style="4" customWidth="1"/>
    <col min="6657" max="6657" width="1.85546875" style="4" customWidth="1"/>
    <col min="6658" max="6659" width="2.85546875" style="4" customWidth="1"/>
    <col min="6660" max="6660" width="23.85546875" style="4" customWidth="1"/>
    <col min="6661" max="6661" width="2.85546875" style="4" customWidth="1"/>
    <col min="6662" max="6662" width="22" style="4" customWidth="1"/>
    <col min="6663" max="6663" width="2.85546875" style="4" customWidth="1"/>
    <col min="6664" max="6664" width="1.85546875" style="4" customWidth="1"/>
    <col min="6665" max="6665" width="8.85546875" style="4" customWidth="1"/>
    <col min="6666" max="6666" width="23.42578125" style="4" customWidth="1"/>
    <col min="6667" max="6667" width="1.85546875" style="4" customWidth="1"/>
    <col min="6668" max="6668" width="23.42578125" style="4" customWidth="1"/>
    <col min="6669" max="6910" width="8.85546875" style="4"/>
    <col min="6911" max="6911" width="2.5703125" style="4" customWidth="1"/>
    <col min="6912" max="6912" width="42.85546875" style="4" customWidth="1"/>
    <col min="6913" max="6913" width="1.85546875" style="4" customWidth="1"/>
    <col min="6914" max="6915" width="2.85546875" style="4" customWidth="1"/>
    <col min="6916" max="6916" width="23.85546875" style="4" customWidth="1"/>
    <col min="6917" max="6917" width="2.85546875" style="4" customWidth="1"/>
    <col min="6918" max="6918" width="22" style="4" customWidth="1"/>
    <col min="6919" max="6919" width="2.85546875" style="4" customWidth="1"/>
    <col min="6920" max="6920" width="1.85546875" style="4" customWidth="1"/>
    <col min="6921" max="6921" width="8.85546875" style="4" customWidth="1"/>
    <col min="6922" max="6922" width="23.42578125" style="4" customWidth="1"/>
    <col min="6923" max="6923" width="1.85546875" style="4" customWidth="1"/>
    <col min="6924" max="6924" width="23.42578125" style="4" customWidth="1"/>
    <col min="6925" max="7166" width="8.85546875" style="4"/>
    <col min="7167" max="7167" width="2.5703125" style="4" customWidth="1"/>
    <col min="7168" max="7168" width="42.85546875" style="4" customWidth="1"/>
    <col min="7169" max="7169" width="1.85546875" style="4" customWidth="1"/>
    <col min="7170" max="7171" width="2.85546875" style="4" customWidth="1"/>
    <col min="7172" max="7172" width="23.85546875" style="4" customWidth="1"/>
    <col min="7173" max="7173" width="2.85546875" style="4" customWidth="1"/>
    <col min="7174" max="7174" width="22" style="4" customWidth="1"/>
    <col min="7175" max="7175" width="2.85546875" style="4" customWidth="1"/>
    <col min="7176" max="7176" width="1.85546875" style="4" customWidth="1"/>
    <col min="7177" max="7177" width="8.85546875" style="4" customWidth="1"/>
    <col min="7178" max="7178" width="23.42578125" style="4" customWidth="1"/>
    <col min="7179" max="7179" width="1.85546875" style="4" customWidth="1"/>
    <col min="7180" max="7180" width="23.42578125" style="4" customWidth="1"/>
    <col min="7181" max="7422" width="8.85546875" style="4"/>
    <col min="7423" max="7423" width="2.5703125" style="4" customWidth="1"/>
    <col min="7424" max="7424" width="42.85546875" style="4" customWidth="1"/>
    <col min="7425" max="7425" width="1.85546875" style="4" customWidth="1"/>
    <col min="7426" max="7427" width="2.85546875" style="4" customWidth="1"/>
    <col min="7428" max="7428" width="23.85546875" style="4" customWidth="1"/>
    <col min="7429" max="7429" width="2.85546875" style="4" customWidth="1"/>
    <col min="7430" max="7430" width="22" style="4" customWidth="1"/>
    <col min="7431" max="7431" width="2.85546875" style="4" customWidth="1"/>
    <col min="7432" max="7432" width="1.85546875" style="4" customWidth="1"/>
    <col min="7433" max="7433" width="8.85546875" style="4" customWidth="1"/>
    <col min="7434" max="7434" width="23.42578125" style="4" customWidth="1"/>
    <col min="7435" max="7435" width="1.85546875" style="4" customWidth="1"/>
    <col min="7436" max="7436" width="23.42578125" style="4" customWidth="1"/>
    <col min="7437" max="7678" width="8.85546875" style="4"/>
    <col min="7679" max="7679" width="2.5703125" style="4" customWidth="1"/>
    <col min="7680" max="7680" width="42.85546875" style="4" customWidth="1"/>
    <col min="7681" max="7681" width="1.85546875" style="4" customWidth="1"/>
    <col min="7682" max="7683" width="2.85546875" style="4" customWidth="1"/>
    <col min="7684" max="7684" width="23.85546875" style="4" customWidth="1"/>
    <col min="7685" max="7685" width="2.85546875" style="4" customWidth="1"/>
    <col min="7686" max="7686" width="22" style="4" customWidth="1"/>
    <col min="7687" max="7687" width="2.85546875" style="4" customWidth="1"/>
    <col min="7688" max="7688" width="1.85546875" style="4" customWidth="1"/>
    <col min="7689" max="7689" width="8.85546875" style="4" customWidth="1"/>
    <col min="7690" max="7690" width="23.42578125" style="4" customWidth="1"/>
    <col min="7691" max="7691" width="1.85546875" style="4" customWidth="1"/>
    <col min="7692" max="7692" width="23.42578125" style="4" customWidth="1"/>
    <col min="7693" max="7934" width="8.85546875" style="4"/>
    <col min="7935" max="7935" width="2.5703125" style="4" customWidth="1"/>
    <col min="7936" max="7936" width="42.85546875" style="4" customWidth="1"/>
    <col min="7937" max="7937" width="1.85546875" style="4" customWidth="1"/>
    <col min="7938" max="7939" width="2.85546875" style="4" customWidth="1"/>
    <col min="7940" max="7940" width="23.85546875" style="4" customWidth="1"/>
    <col min="7941" max="7941" width="2.85546875" style="4" customWidth="1"/>
    <col min="7942" max="7942" width="22" style="4" customWidth="1"/>
    <col min="7943" max="7943" width="2.85546875" style="4" customWidth="1"/>
    <col min="7944" max="7944" width="1.85546875" style="4" customWidth="1"/>
    <col min="7945" max="7945" width="8.85546875" style="4" customWidth="1"/>
    <col min="7946" max="7946" width="23.42578125" style="4" customWidth="1"/>
    <col min="7947" max="7947" width="1.85546875" style="4" customWidth="1"/>
    <col min="7948" max="7948" width="23.42578125" style="4" customWidth="1"/>
    <col min="7949" max="8190" width="8.85546875" style="4"/>
    <col min="8191" max="8191" width="2.5703125" style="4" customWidth="1"/>
    <col min="8192" max="8192" width="42.85546875" style="4" customWidth="1"/>
    <col min="8193" max="8193" width="1.85546875" style="4" customWidth="1"/>
    <col min="8194" max="8195" width="2.85546875" style="4" customWidth="1"/>
    <col min="8196" max="8196" width="23.85546875" style="4" customWidth="1"/>
    <col min="8197" max="8197" width="2.85546875" style="4" customWidth="1"/>
    <col min="8198" max="8198" width="22" style="4" customWidth="1"/>
    <col min="8199" max="8199" width="2.85546875" style="4" customWidth="1"/>
    <col min="8200" max="8200" width="1.85546875" style="4" customWidth="1"/>
    <col min="8201" max="8201" width="8.85546875" style="4" customWidth="1"/>
    <col min="8202" max="8202" width="23.42578125" style="4" customWidth="1"/>
    <col min="8203" max="8203" width="1.85546875" style="4" customWidth="1"/>
    <col min="8204" max="8204" width="23.42578125" style="4" customWidth="1"/>
    <col min="8205" max="8446" width="8.85546875" style="4"/>
    <col min="8447" max="8447" width="2.5703125" style="4" customWidth="1"/>
    <col min="8448" max="8448" width="42.85546875" style="4" customWidth="1"/>
    <col min="8449" max="8449" width="1.85546875" style="4" customWidth="1"/>
    <col min="8450" max="8451" width="2.85546875" style="4" customWidth="1"/>
    <col min="8452" max="8452" width="23.85546875" style="4" customWidth="1"/>
    <col min="8453" max="8453" width="2.85546875" style="4" customWidth="1"/>
    <col min="8454" max="8454" width="22" style="4" customWidth="1"/>
    <col min="8455" max="8455" width="2.85546875" style="4" customWidth="1"/>
    <col min="8456" max="8456" width="1.85546875" style="4" customWidth="1"/>
    <col min="8457" max="8457" width="8.85546875" style="4" customWidth="1"/>
    <col min="8458" max="8458" width="23.42578125" style="4" customWidth="1"/>
    <col min="8459" max="8459" width="1.85546875" style="4" customWidth="1"/>
    <col min="8460" max="8460" width="23.42578125" style="4" customWidth="1"/>
    <col min="8461" max="8702" width="8.85546875" style="4"/>
    <col min="8703" max="8703" width="2.5703125" style="4" customWidth="1"/>
    <col min="8704" max="8704" width="42.85546875" style="4" customWidth="1"/>
    <col min="8705" max="8705" width="1.85546875" style="4" customWidth="1"/>
    <col min="8706" max="8707" width="2.85546875" style="4" customWidth="1"/>
    <col min="8708" max="8708" width="23.85546875" style="4" customWidth="1"/>
    <col min="8709" max="8709" width="2.85546875" style="4" customWidth="1"/>
    <col min="8710" max="8710" width="22" style="4" customWidth="1"/>
    <col min="8711" max="8711" width="2.85546875" style="4" customWidth="1"/>
    <col min="8712" max="8712" width="1.85546875" style="4" customWidth="1"/>
    <col min="8713" max="8713" width="8.85546875" style="4" customWidth="1"/>
    <col min="8714" max="8714" width="23.42578125" style="4" customWidth="1"/>
    <col min="8715" max="8715" width="1.85546875" style="4" customWidth="1"/>
    <col min="8716" max="8716" width="23.42578125" style="4" customWidth="1"/>
    <col min="8717" max="8958" width="8.85546875" style="4"/>
    <col min="8959" max="8959" width="2.5703125" style="4" customWidth="1"/>
    <col min="8960" max="8960" width="42.85546875" style="4" customWidth="1"/>
    <col min="8961" max="8961" width="1.85546875" style="4" customWidth="1"/>
    <col min="8962" max="8963" width="2.85546875" style="4" customWidth="1"/>
    <col min="8964" max="8964" width="23.85546875" style="4" customWidth="1"/>
    <col min="8965" max="8965" width="2.85546875" style="4" customWidth="1"/>
    <col min="8966" max="8966" width="22" style="4" customWidth="1"/>
    <col min="8967" max="8967" width="2.85546875" style="4" customWidth="1"/>
    <col min="8968" max="8968" width="1.85546875" style="4" customWidth="1"/>
    <col min="8969" max="8969" width="8.85546875" style="4" customWidth="1"/>
    <col min="8970" max="8970" width="23.42578125" style="4" customWidth="1"/>
    <col min="8971" max="8971" width="1.85546875" style="4" customWidth="1"/>
    <col min="8972" max="8972" width="23.42578125" style="4" customWidth="1"/>
    <col min="8973" max="9214" width="8.85546875" style="4"/>
    <col min="9215" max="9215" width="2.5703125" style="4" customWidth="1"/>
    <col min="9216" max="9216" width="42.85546875" style="4" customWidth="1"/>
    <col min="9217" max="9217" width="1.85546875" style="4" customWidth="1"/>
    <col min="9218" max="9219" width="2.85546875" style="4" customWidth="1"/>
    <col min="9220" max="9220" width="23.85546875" style="4" customWidth="1"/>
    <col min="9221" max="9221" width="2.85546875" style="4" customWidth="1"/>
    <col min="9222" max="9222" width="22" style="4" customWidth="1"/>
    <col min="9223" max="9223" width="2.85546875" style="4" customWidth="1"/>
    <col min="9224" max="9224" width="1.85546875" style="4" customWidth="1"/>
    <col min="9225" max="9225" width="8.85546875" style="4" customWidth="1"/>
    <col min="9226" max="9226" width="23.42578125" style="4" customWidth="1"/>
    <col min="9227" max="9227" width="1.85546875" style="4" customWidth="1"/>
    <col min="9228" max="9228" width="23.42578125" style="4" customWidth="1"/>
    <col min="9229" max="9470" width="8.85546875" style="4"/>
    <col min="9471" max="9471" width="2.5703125" style="4" customWidth="1"/>
    <col min="9472" max="9472" width="42.85546875" style="4" customWidth="1"/>
    <col min="9473" max="9473" width="1.85546875" style="4" customWidth="1"/>
    <col min="9474" max="9475" width="2.85546875" style="4" customWidth="1"/>
    <col min="9476" max="9476" width="23.85546875" style="4" customWidth="1"/>
    <col min="9477" max="9477" width="2.85546875" style="4" customWidth="1"/>
    <col min="9478" max="9478" width="22" style="4" customWidth="1"/>
    <col min="9479" max="9479" width="2.85546875" style="4" customWidth="1"/>
    <col min="9480" max="9480" width="1.85546875" style="4" customWidth="1"/>
    <col min="9481" max="9481" width="8.85546875" style="4" customWidth="1"/>
    <col min="9482" max="9482" width="23.42578125" style="4" customWidth="1"/>
    <col min="9483" max="9483" width="1.85546875" style="4" customWidth="1"/>
    <col min="9484" max="9484" width="23.42578125" style="4" customWidth="1"/>
    <col min="9485" max="9726" width="8.85546875" style="4"/>
    <col min="9727" max="9727" width="2.5703125" style="4" customWidth="1"/>
    <col min="9728" max="9728" width="42.85546875" style="4" customWidth="1"/>
    <col min="9729" max="9729" width="1.85546875" style="4" customWidth="1"/>
    <col min="9730" max="9731" width="2.85546875" style="4" customWidth="1"/>
    <col min="9732" max="9732" width="23.85546875" style="4" customWidth="1"/>
    <col min="9733" max="9733" width="2.85546875" style="4" customWidth="1"/>
    <col min="9734" max="9734" width="22" style="4" customWidth="1"/>
    <col min="9735" max="9735" width="2.85546875" style="4" customWidth="1"/>
    <col min="9736" max="9736" width="1.85546875" style="4" customWidth="1"/>
    <col min="9737" max="9737" width="8.85546875" style="4" customWidth="1"/>
    <col min="9738" max="9738" width="23.42578125" style="4" customWidth="1"/>
    <col min="9739" max="9739" width="1.85546875" style="4" customWidth="1"/>
    <col min="9740" max="9740" width="23.42578125" style="4" customWidth="1"/>
    <col min="9741" max="9982" width="8.85546875" style="4"/>
    <col min="9983" max="9983" width="2.5703125" style="4" customWidth="1"/>
    <col min="9984" max="9984" width="42.85546875" style="4" customWidth="1"/>
    <col min="9985" max="9985" width="1.85546875" style="4" customWidth="1"/>
    <col min="9986" max="9987" width="2.85546875" style="4" customWidth="1"/>
    <col min="9988" max="9988" width="23.85546875" style="4" customWidth="1"/>
    <col min="9989" max="9989" width="2.85546875" style="4" customWidth="1"/>
    <col min="9990" max="9990" width="22" style="4" customWidth="1"/>
    <col min="9991" max="9991" width="2.85546875" style="4" customWidth="1"/>
    <col min="9992" max="9992" width="1.85546875" style="4" customWidth="1"/>
    <col min="9993" max="9993" width="8.85546875" style="4" customWidth="1"/>
    <col min="9994" max="9994" width="23.42578125" style="4" customWidth="1"/>
    <col min="9995" max="9995" width="1.85546875" style="4" customWidth="1"/>
    <col min="9996" max="9996" width="23.42578125" style="4" customWidth="1"/>
    <col min="9997" max="10238" width="8.85546875" style="4"/>
    <col min="10239" max="10239" width="2.5703125" style="4" customWidth="1"/>
    <col min="10240" max="10240" width="42.85546875" style="4" customWidth="1"/>
    <col min="10241" max="10241" width="1.85546875" style="4" customWidth="1"/>
    <col min="10242" max="10243" width="2.85546875" style="4" customWidth="1"/>
    <col min="10244" max="10244" width="23.85546875" style="4" customWidth="1"/>
    <col min="10245" max="10245" width="2.85546875" style="4" customWidth="1"/>
    <col min="10246" max="10246" width="22" style="4" customWidth="1"/>
    <col min="10247" max="10247" width="2.85546875" style="4" customWidth="1"/>
    <col min="10248" max="10248" width="1.85546875" style="4" customWidth="1"/>
    <col min="10249" max="10249" width="8.85546875" style="4" customWidth="1"/>
    <col min="10250" max="10250" width="23.42578125" style="4" customWidth="1"/>
    <col min="10251" max="10251" width="1.85546875" style="4" customWidth="1"/>
    <col min="10252" max="10252" width="23.42578125" style="4" customWidth="1"/>
    <col min="10253" max="10494" width="8.85546875" style="4"/>
    <col min="10495" max="10495" width="2.5703125" style="4" customWidth="1"/>
    <col min="10496" max="10496" width="42.85546875" style="4" customWidth="1"/>
    <col min="10497" max="10497" width="1.85546875" style="4" customWidth="1"/>
    <col min="10498" max="10499" width="2.85546875" style="4" customWidth="1"/>
    <col min="10500" max="10500" width="23.85546875" style="4" customWidth="1"/>
    <col min="10501" max="10501" width="2.85546875" style="4" customWidth="1"/>
    <col min="10502" max="10502" width="22" style="4" customWidth="1"/>
    <col min="10503" max="10503" width="2.85546875" style="4" customWidth="1"/>
    <col min="10504" max="10504" width="1.85546875" style="4" customWidth="1"/>
    <col min="10505" max="10505" width="8.85546875" style="4" customWidth="1"/>
    <col min="10506" max="10506" width="23.42578125" style="4" customWidth="1"/>
    <col min="10507" max="10507" width="1.85546875" style="4" customWidth="1"/>
    <col min="10508" max="10508" width="23.42578125" style="4" customWidth="1"/>
    <col min="10509" max="10750" width="8.85546875" style="4"/>
    <col min="10751" max="10751" width="2.5703125" style="4" customWidth="1"/>
    <col min="10752" max="10752" width="42.85546875" style="4" customWidth="1"/>
    <col min="10753" max="10753" width="1.85546875" style="4" customWidth="1"/>
    <col min="10754" max="10755" width="2.85546875" style="4" customWidth="1"/>
    <col min="10756" max="10756" width="23.85546875" style="4" customWidth="1"/>
    <col min="10757" max="10757" width="2.85546875" style="4" customWidth="1"/>
    <col min="10758" max="10758" width="22" style="4" customWidth="1"/>
    <col min="10759" max="10759" width="2.85546875" style="4" customWidth="1"/>
    <col min="10760" max="10760" width="1.85546875" style="4" customWidth="1"/>
    <col min="10761" max="10761" width="8.85546875" style="4" customWidth="1"/>
    <col min="10762" max="10762" width="23.42578125" style="4" customWidth="1"/>
    <col min="10763" max="10763" width="1.85546875" style="4" customWidth="1"/>
    <col min="10764" max="10764" width="23.42578125" style="4" customWidth="1"/>
    <col min="10765" max="11006" width="8.85546875" style="4"/>
    <col min="11007" max="11007" width="2.5703125" style="4" customWidth="1"/>
    <col min="11008" max="11008" width="42.85546875" style="4" customWidth="1"/>
    <col min="11009" max="11009" width="1.85546875" style="4" customWidth="1"/>
    <col min="11010" max="11011" width="2.85546875" style="4" customWidth="1"/>
    <col min="11012" max="11012" width="23.85546875" style="4" customWidth="1"/>
    <col min="11013" max="11013" width="2.85546875" style="4" customWidth="1"/>
    <col min="11014" max="11014" width="22" style="4" customWidth="1"/>
    <col min="11015" max="11015" width="2.85546875" style="4" customWidth="1"/>
    <col min="11016" max="11016" width="1.85546875" style="4" customWidth="1"/>
    <col min="11017" max="11017" width="8.85546875" style="4" customWidth="1"/>
    <col min="11018" max="11018" width="23.42578125" style="4" customWidth="1"/>
    <col min="11019" max="11019" width="1.85546875" style="4" customWidth="1"/>
    <col min="11020" max="11020" width="23.42578125" style="4" customWidth="1"/>
    <col min="11021" max="11262" width="8.85546875" style="4"/>
    <col min="11263" max="11263" width="2.5703125" style="4" customWidth="1"/>
    <col min="11264" max="11264" width="42.85546875" style="4" customWidth="1"/>
    <col min="11265" max="11265" width="1.85546875" style="4" customWidth="1"/>
    <col min="11266" max="11267" width="2.85546875" style="4" customWidth="1"/>
    <col min="11268" max="11268" width="23.85546875" style="4" customWidth="1"/>
    <col min="11269" max="11269" width="2.85546875" style="4" customWidth="1"/>
    <col min="11270" max="11270" width="22" style="4" customWidth="1"/>
    <col min="11271" max="11271" width="2.85546875" style="4" customWidth="1"/>
    <col min="11272" max="11272" width="1.85546875" style="4" customWidth="1"/>
    <col min="11273" max="11273" width="8.85546875" style="4" customWidth="1"/>
    <col min="11274" max="11274" width="23.42578125" style="4" customWidth="1"/>
    <col min="11275" max="11275" width="1.85546875" style="4" customWidth="1"/>
    <col min="11276" max="11276" width="23.42578125" style="4" customWidth="1"/>
    <col min="11277" max="11518" width="8.85546875" style="4"/>
    <col min="11519" max="11519" width="2.5703125" style="4" customWidth="1"/>
    <col min="11520" max="11520" width="42.85546875" style="4" customWidth="1"/>
    <col min="11521" max="11521" width="1.85546875" style="4" customWidth="1"/>
    <col min="11522" max="11523" width="2.85546875" style="4" customWidth="1"/>
    <col min="11524" max="11524" width="23.85546875" style="4" customWidth="1"/>
    <col min="11525" max="11525" width="2.85546875" style="4" customWidth="1"/>
    <col min="11526" max="11526" width="22" style="4" customWidth="1"/>
    <col min="11527" max="11527" width="2.85546875" style="4" customWidth="1"/>
    <col min="11528" max="11528" width="1.85546875" style="4" customWidth="1"/>
    <col min="11529" max="11529" width="8.85546875" style="4" customWidth="1"/>
    <col min="11530" max="11530" width="23.42578125" style="4" customWidth="1"/>
    <col min="11531" max="11531" width="1.85546875" style="4" customWidth="1"/>
    <col min="11532" max="11532" width="23.42578125" style="4" customWidth="1"/>
    <col min="11533" max="11774" width="8.85546875" style="4"/>
    <col min="11775" max="11775" width="2.5703125" style="4" customWidth="1"/>
    <col min="11776" max="11776" width="42.85546875" style="4" customWidth="1"/>
    <col min="11777" max="11777" width="1.85546875" style="4" customWidth="1"/>
    <col min="11778" max="11779" width="2.85546875" style="4" customWidth="1"/>
    <col min="11780" max="11780" width="23.85546875" style="4" customWidth="1"/>
    <col min="11781" max="11781" width="2.85546875" style="4" customWidth="1"/>
    <col min="11782" max="11782" width="22" style="4" customWidth="1"/>
    <col min="11783" max="11783" width="2.85546875" style="4" customWidth="1"/>
    <col min="11784" max="11784" width="1.85546875" style="4" customWidth="1"/>
    <col min="11785" max="11785" width="8.85546875" style="4" customWidth="1"/>
    <col min="11786" max="11786" width="23.42578125" style="4" customWidth="1"/>
    <col min="11787" max="11787" width="1.85546875" style="4" customWidth="1"/>
    <col min="11788" max="11788" width="23.42578125" style="4" customWidth="1"/>
    <col min="11789" max="12030" width="8.85546875" style="4"/>
    <col min="12031" max="12031" width="2.5703125" style="4" customWidth="1"/>
    <col min="12032" max="12032" width="42.85546875" style="4" customWidth="1"/>
    <col min="12033" max="12033" width="1.85546875" style="4" customWidth="1"/>
    <col min="12034" max="12035" width="2.85546875" style="4" customWidth="1"/>
    <col min="12036" max="12036" width="23.85546875" style="4" customWidth="1"/>
    <col min="12037" max="12037" width="2.85546875" style="4" customWidth="1"/>
    <col min="12038" max="12038" width="22" style="4" customWidth="1"/>
    <col min="12039" max="12039" width="2.85546875" style="4" customWidth="1"/>
    <col min="12040" max="12040" width="1.85546875" style="4" customWidth="1"/>
    <col min="12041" max="12041" width="8.85546875" style="4" customWidth="1"/>
    <col min="12042" max="12042" width="23.42578125" style="4" customWidth="1"/>
    <col min="12043" max="12043" width="1.85546875" style="4" customWidth="1"/>
    <col min="12044" max="12044" width="23.42578125" style="4" customWidth="1"/>
    <col min="12045" max="12286" width="8.85546875" style="4"/>
    <col min="12287" max="12287" width="2.5703125" style="4" customWidth="1"/>
    <col min="12288" max="12288" width="42.85546875" style="4" customWidth="1"/>
    <col min="12289" max="12289" width="1.85546875" style="4" customWidth="1"/>
    <col min="12290" max="12291" width="2.85546875" style="4" customWidth="1"/>
    <col min="12292" max="12292" width="23.85546875" style="4" customWidth="1"/>
    <col min="12293" max="12293" width="2.85546875" style="4" customWidth="1"/>
    <col min="12294" max="12294" width="22" style="4" customWidth="1"/>
    <col min="12295" max="12295" width="2.85546875" style="4" customWidth="1"/>
    <col min="12296" max="12296" width="1.85546875" style="4" customWidth="1"/>
    <col min="12297" max="12297" width="8.85546875" style="4" customWidth="1"/>
    <col min="12298" max="12298" width="23.42578125" style="4" customWidth="1"/>
    <col min="12299" max="12299" width="1.85546875" style="4" customWidth="1"/>
    <col min="12300" max="12300" width="23.42578125" style="4" customWidth="1"/>
    <col min="12301" max="12542" width="8.85546875" style="4"/>
    <col min="12543" max="12543" width="2.5703125" style="4" customWidth="1"/>
    <col min="12544" max="12544" width="42.85546875" style="4" customWidth="1"/>
    <col min="12545" max="12545" width="1.85546875" style="4" customWidth="1"/>
    <col min="12546" max="12547" width="2.85546875" style="4" customWidth="1"/>
    <col min="12548" max="12548" width="23.85546875" style="4" customWidth="1"/>
    <col min="12549" max="12549" width="2.85546875" style="4" customWidth="1"/>
    <col min="12550" max="12550" width="22" style="4" customWidth="1"/>
    <col min="12551" max="12551" width="2.85546875" style="4" customWidth="1"/>
    <col min="12552" max="12552" width="1.85546875" style="4" customWidth="1"/>
    <col min="12553" max="12553" width="8.85546875" style="4" customWidth="1"/>
    <col min="12554" max="12554" width="23.42578125" style="4" customWidth="1"/>
    <col min="12555" max="12555" width="1.85546875" style="4" customWidth="1"/>
    <col min="12556" max="12556" width="23.42578125" style="4" customWidth="1"/>
    <col min="12557" max="12798" width="8.85546875" style="4"/>
    <col min="12799" max="12799" width="2.5703125" style="4" customWidth="1"/>
    <col min="12800" max="12800" width="42.85546875" style="4" customWidth="1"/>
    <col min="12801" max="12801" width="1.85546875" style="4" customWidth="1"/>
    <col min="12802" max="12803" width="2.85546875" style="4" customWidth="1"/>
    <col min="12804" max="12804" width="23.85546875" style="4" customWidth="1"/>
    <col min="12805" max="12805" width="2.85546875" style="4" customWidth="1"/>
    <col min="12806" max="12806" width="22" style="4" customWidth="1"/>
    <col min="12807" max="12807" width="2.85546875" style="4" customWidth="1"/>
    <col min="12808" max="12808" width="1.85546875" style="4" customWidth="1"/>
    <col min="12809" max="12809" width="8.85546875" style="4" customWidth="1"/>
    <col min="12810" max="12810" width="23.42578125" style="4" customWidth="1"/>
    <col min="12811" max="12811" width="1.85546875" style="4" customWidth="1"/>
    <col min="12812" max="12812" width="23.42578125" style="4" customWidth="1"/>
    <col min="12813" max="13054" width="8.85546875" style="4"/>
    <col min="13055" max="13055" width="2.5703125" style="4" customWidth="1"/>
    <col min="13056" max="13056" width="42.85546875" style="4" customWidth="1"/>
    <col min="13057" max="13057" width="1.85546875" style="4" customWidth="1"/>
    <col min="13058" max="13059" width="2.85546875" style="4" customWidth="1"/>
    <col min="13060" max="13060" width="23.85546875" style="4" customWidth="1"/>
    <col min="13061" max="13061" width="2.85546875" style="4" customWidth="1"/>
    <col min="13062" max="13062" width="22" style="4" customWidth="1"/>
    <col min="13063" max="13063" width="2.85546875" style="4" customWidth="1"/>
    <col min="13064" max="13064" width="1.85546875" style="4" customWidth="1"/>
    <col min="13065" max="13065" width="8.85546875" style="4" customWidth="1"/>
    <col min="13066" max="13066" width="23.42578125" style="4" customWidth="1"/>
    <col min="13067" max="13067" width="1.85546875" style="4" customWidth="1"/>
    <col min="13068" max="13068" width="23.42578125" style="4" customWidth="1"/>
    <col min="13069" max="13310" width="8.85546875" style="4"/>
    <col min="13311" max="13311" width="2.5703125" style="4" customWidth="1"/>
    <col min="13312" max="13312" width="42.85546875" style="4" customWidth="1"/>
    <col min="13313" max="13313" width="1.85546875" style="4" customWidth="1"/>
    <col min="13314" max="13315" width="2.85546875" style="4" customWidth="1"/>
    <col min="13316" max="13316" width="23.85546875" style="4" customWidth="1"/>
    <col min="13317" max="13317" width="2.85546875" style="4" customWidth="1"/>
    <col min="13318" max="13318" width="22" style="4" customWidth="1"/>
    <col min="13319" max="13319" width="2.85546875" style="4" customWidth="1"/>
    <col min="13320" max="13320" width="1.85546875" style="4" customWidth="1"/>
    <col min="13321" max="13321" width="8.85546875" style="4" customWidth="1"/>
    <col min="13322" max="13322" width="23.42578125" style="4" customWidth="1"/>
    <col min="13323" max="13323" width="1.85546875" style="4" customWidth="1"/>
    <col min="13324" max="13324" width="23.42578125" style="4" customWidth="1"/>
    <col min="13325" max="13566" width="8.85546875" style="4"/>
    <col min="13567" max="13567" width="2.5703125" style="4" customWidth="1"/>
    <col min="13568" max="13568" width="42.85546875" style="4" customWidth="1"/>
    <col min="13569" max="13569" width="1.85546875" style="4" customWidth="1"/>
    <col min="13570" max="13571" width="2.85546875" style="4" customWidth="1"/>
    <col min="13572" max="13572" width="23.85546875" style="4" customWidth="1"/>
    <col min="13573" max="13573" width="2.85546875" style="4" customWidth="1"/>
    <col min="13574" max="13574" width="22" style="4" customWidth="1"/>
    <col min="13575" max="13575" width="2.85546875" style="4" customWidth="1"/>
    <col min="13576" max="13576" width="1.85546875" style="4" customWidth="1"/>
    <col min="13577" max="13577" width="8.85546875" style="4" customWidth="1"/>
    <col min="13578" max="13578" width="23.42578125" style="4" customWidth="1"/>
    <col min="13579" max="13579" width="1.85546875" style="4" customWidth="1"/>
    <col min="13580" max="13580" width="23.42578125" style="4" customWidth="1"/>
    <col min="13581" max="13822" width="8.85546875" style="4"/>
    <col min="13823" max="13823" width="2.5703125" style="4" customWidth="1"/>
    <col min="13824" max="13824" width="42.85546875" style="4" customWidth="1"/>
    <col min="13825" max="13825" width="1.85546875" style="4" customWidth="1"/>
    <col min="13826" max="13827" width="2.85546875" style="4" customWidth="1"/>
    <col min="13828" max="13828" width="23.85546875" style="4" customWidth="1"/>
    <col min="13829" max="13829" width="2.85546875" style="4" customWidth="1"/>
    <col min="13830" max="13830" width="22" style="4" customWidth="1"/>
    <col min="13831" max="13831" width="2.85546875" style="4" customWidth="1"/>
    <col min="13832" max="13832" width="1.85546875" style="4" customWidth="1"/>
    <col min="13833" max="13833" width="8.85546875" style="4" customWidth="1"/>
    <col min="13834" max="13834" width="23.42578125" style="4" customWidth="1"/>
    <col min="13835" max="13835" width="1.85546875" style="4" customWidth="1"/>
    <col min="13836" max="13836" width="23.42578125" style="4" customWidth="1"/>
    <col min="13837" max="14078" width="8.85546875" style="4"/>
    <col min="14079" max="14079" width="2.5703125" style="4" customWidth="1"/>
    <col min="14080" max="14080" width="42.85546875" style="4" customWidth="1"/>
    <col min="14081" max="14081" width="1.85546875" style="4" customWidth="1"/>
    <col min="14082" max="14083" width="2.85546875" style="4" customWidth="1"/>
    <col min="14084" max="14084" width="23.85546875" style="4" customWidth="1"/>
    <col min="14085" max="14085" width="2.85546875" style="4" customWidth="1"/>
    <col min="14086" max="14086" width="22" style="4" customWidth="1"/>
    <col min="14087" max="14087" width="2.85546875" style="4" customWidth="1"/>
    <col min="14088" max="14088" width="1.85546875" style="4" customWidth="1"/>
    <col min="14089" max="14089" width="8.85546875" style="4" customWidth="1"/>
    <col min="14090" max="14090" width="23.42578125" style="4" customWidth="1"/>
    <col min="14091" max="14091" width="1.85546875" style="4" customWidth="1"/>
    <col min="14092" max="14092" width="23.42578125" style="4" customWidth="1"/>
    <col min="14093" max="14334" width="8.85546875" style="4"/>
    <col min="14335" max="14335" width="2.5703125" style="4" customWidth="1"/>
    <col min="14336" max="14336" width="42.85546875" style="4" customWidth="1"/>
    <col min="14337" max="14337" width="1.85546875" style="4" customWidth="1"/>
    <col min="14338" max="14339" width="2.85546875" style="4" customWidth="1"/>
    <col min="14340" max="14340" width="23.85546875" style="4" customWidth="1"/>
    <col min="14341" max="14341" width="2.85546875" style="4" customWidth="1"/>
    <col min="14342" max="14342" width="22" style="4" customWidth="1"/>
    <col min="14343" max="14343" width="2.85546875" style="4" customWidth="1"/>
    <col min="14344" max="14344" width="1.85546875" style="4" customWidth="1"/>
    <col min="14345" max="14345" width="8.85546875" style="4" customWidth="1"/>
    <col min="14346" max="14346" width="23.42578125" style="4" customWidth="1"/>
    <col min="14347" max="14347" width="1.85546875" style="4" customWidth="1"/>
    <col min="14348" max="14348" width="23.42578125" style="4" customWidth="1"/>
    <col min="14349" max="14590" width="8.85546875" style="4"/>
    <col min="14591" max="14591" width="2.5703125" style="4" customWidth="1"/>
    <col min="14592" max="14592" width="42.85546875" style="4" customWidth="1"/>
    <col min="14593" max="14593" width="1.85546875" style="4" customWidth="1"/>
    <col min="14594" max="14595" width="2.85546875" style="4" customWidth="1"/>
    <col min="14596" max="14596" width="23.85546875" style="4" customWidth="1"/>
    <col min="14597" max="14597" width="2.85546875" style="4" customWidth="1"/>
    <col min="14598" max="14598" width="22" style="4" customWidth="1"/>
    <col min="14599" max="14599" width="2.85546875" style="4" customWidth="1"/>
    <col min="14600" max="14600" width="1.85546875" style="4" customWidth="1"/>
    <col min="14601" max="14601" width="8.85546875" style="4" customWidth="1"/>
    <col min="14602" max="14602" width="23.42578125" style="4" customWidth="1"/>
    <col min="14603" max="14603" width="1.85546875" style="4" customWidth="1"/>
    <col min="14604" max="14604" width="23.42578125" style="4" customWidth="1"/>
    <col min="14605" max="14846" width="8.85546875" style="4"/>
    <col min="14847" max="14847" width="2.5703125" style="4" customWidth="1"/>
    <col min="14848" max="14848" width="42.85546875" style="4" customWidth="1"/>
    <col min="14849" max="14849" width="1.85546875" style="4" customWidth="1"/>
    <col min="14850" max="14851" width="2.85546875" style="4" customWidth="1"/>
    <col min="14852" max="14852" width="23.85546875" style="4" customWidth="1"/>
    <col min="14853" max="14853" width="2.85546875" style="4" customWidth="1"/>
    <col min="14854" max="14854" width="22" style="4" customWidth="1"/>
    <col min="14855" max="14855" width="2.85546875" style="4" customWidth="1"/>
    <col min="14856" max="14856" width="1.85546875" style="4" customWidth="1"/>
    <col min="14857" max="14857" width="8.85546875" style="4" customWidth="1"/>
    <col min="14858" max="14858" width="23.42578125" style="4" customWidth="1"/>
    <col min="14859" max="14859" width="1.85546875" style="4" customWidth="1"/>
    <col min="14860" max="14860" width="23.42578125" style="4" customWidth="1"/>
    <col min="14861" max="15102" width="8.85546875" style="4"/>
    <col min="15103" max="15103" width="2.5703125" style="4" customWidth="1"/>
    <col min="15104" max="15104" width="42.85546875" style="4" customWidth="1"/>
    <col min="15105" max="15105" width="1.85546875" style="4" customWidth="1"/>
    <col min="15106" max="15107" width="2.85546875" style="4" customWidth="1"/>
    <col min="15108" max="15108" width="23.85546875" style="4" customWidth="1"/>
    <col min="15109" max="15109" width="2.85546875" style="4" customWidth="1"/>
    <col min="15110" max="15110" width="22" style="4" customWidth="1"/>
    <col min="15111" max="15111" width="2.85546875" style="4" customWidth="1"/>
    <col min="15112" max="15112" width="1.85546875" style="4" customWidth="1"/>
    <col min="15113" max="15113" width="8.85546875" style="4" customWidth="1"/>
    <col min="15114" max="15114" width="23.42578125" style="4" customWidth="1"/>
    <col min="15115" max="15115" width="1.85546875" style="4" customWidth="1"/>
    <col min="15116" max="15116" width="23.42578125" style="4" customWidth="1"/>
    <col min="15117" max="15358" width="8.85546875" style="4"/>
    <col min="15359" max="15359" width="2.5703125" style="4" customWidth="1"/>
    <col min="15360" max="15360" width="42.85546875" style="4" customWidth="1"/>
    <col min="15361" max="15361" width="1.85546875" style="4" customWidth="1"/>
    <col min="15362" max="15363" width="2.85546875" style="4" customWidth="1"/>
    <col min="15364" max="15364" width="23.85546875" style="4" customWidth="1"/>
    <col min="15365" max="15365" width="2.85546875" style="4" customWidth="1"/>
    <col min="15366" max="15366" width="22" style="4" customWidth="1"/>
    <col min="15367" max="15367" width="2.85546875" style="4" customWidth="1"/>
    <col min="15368" max="15368" width="1.85546875" style="4" customWidth="1"/>
    <col min="15369" max="15369" width="8.85546875" style="4" customWidth="1"/>
    <col min="15370" max="15370" width="23.42578125" style="4" customWidth="1"/>
    <col min="15371" max="15371" width="1.85546875" style="4" customWidth="1"/>
    <col min="15372" max="15372" width="23.42578125" style="4" customWidth="1"/>
    <col min="15373" max="15614" width="8.85546875" style="4"/>
    <col min="15615" max="15615" width="2.5703125" style="4" customWidth="1"/>
    <col min="15616" max="15616" width="42.85546875" style="4" customWidth="1"/>
    <col min="15617" max="15617" width="1.85546875" style="4" customWidth="1"/>
    <col min="15618" max="15619" width="2.85546875" style="4" customWidth="1"/>
    <col min="15620" max="15620" width="23.85546875" style="4" customWidth="1"/>
    <col min="15621" max="15621" width="2.85546875" style="4" customWidth="1"/>
    <col min="15622" max="15622" width="22" style="4" customWidth="1"/>
    <col min="15623" max="15623" width="2.85546875" style="4" customWidth="1"/>
    <col min="15624" max="15624" width="1.85546875" style="4" customWidth="1"/>
    <col min="15625" max="15625" width="8.85546875" style="4" customWidth="1"/>
    <col min="15626" max="15626" width="23.42578125" style="4" customWidth="1"/>
    <col min="15627" max="15627" width="1.85546875" style="4" customWidth="1"/>
    <col min="15628" max="15628" width="23.42578125" style="4" customWidth="1"/>
    <col min="15629" max="15870" width="8.85546875" style="4"/>
    <col min="15871" max="15871" width="2.5703125" style="4" customWidth="1"/>
    <col min="15872" max="15872" width="42.85546875" style="4" customWidth="1"/>
    <col min="15873" max="15873" width="1.85546875" style="4" customWidth="1"/>
    <col min="15874" max="15875" width="2.85546875" style="4" customWidth="1"/>
    <col min="15876" max="15876" width="23.85546875" style="4" customWidth="1"/>
    <col min="15877" max="15877" width="2.85546875" style="4" customWidth="1"/>
    <col min="15878" max="15878" width="22" style="4" customWidth="1"/>
    <col min="15879" max="15879" width="2.85546875" style="4" customWidth="1"/>
    <col min="15880" max="15880" width="1.85546875" style="4" customWidth="1"/>
    <col min="15881" max="15881" width="8.85546875" style="4" customWidth="1"/>
    <col min="15882" max="15882" width="23.42578125" style="4" customWidth="1"/>
    <col min="15883" max="15883" width="1.85546875" style="4" customWidth="1"/>
    <col min="15884" max="15884" width="23.42578125" style="4" customWidth="1"/>
    <col min="15885" max="16126" width="8.85546875" style="4"/>
    <col min="16127" max="16127" width="2.5703125" style="4" customWidth="1"/>
    <col min="16128" max="16128" width="42.85546875" style="4" customWidth="1"/>
    <col min="16129" max="16129" width="1.85546875" style="4" customWidth="1"/>
    <col min="16130" max="16131" width="2.85546875" style="4" customWidth="1"/>
    <col min="16132" max="16132" width="23.85546875" style="4" customWidth="1"/>
    <col min="16133" max="16133" width="2.85546875" style="4" customWidth="1"/>
    <col min="16134" max="16134" width="22" style="4" customWidth="1"/>
    <col min="16135" max="16135" width="2.85546875" style="4" customWidth="1"/>
    <col min="16136" max="16136" width="1.85546875" style="4" customWidth="1"/>
    <col min="16137" max="16137" width="8.85546875" style="4" customWidth="1"/>
    <col min="16138" max="16138" width="23.42578125" style="4" customWidth="1"/>
    <col min="16139" max="16139" width="1.85546875" style="4" customWidth="1"/>
    <col min="16140" max="16140" width="23.42578125" style="4" customWidth="1"/>
    <col min="16141" max="16384" width="8.85546875" style="4"/>
  </cols>
  <sheetData>
    <row r="1" spans="1:14" s="3" customFormat="1" ht="15" customHeight="1">
      <c r="A1" s="1582" t="s">
        <v>1443</v>
      </c>
    </row>
    <row r="3" spans="1:14" ht="18">
      <c r="A3" s="1" t="s">
        <v>0</v>
      </c>
      <c r="B3" s="2"/>
      <c r="C3" s="2"/>
      <c r="D3" s="3"/>
      <c r="E3" s="3"/>
      <c r="F3" s="3"/>
      <c r="G3" s="3"/>
      <c r="H3" s="3"/>
      <c r="I3" s="3"/>
      <c r="J3" s="3"/>
    </row>
    <row r="4" spans="1:14" ht="18">
      <c r="A4" s="5" t="s">
        <v>1</v>
      </c>
      <c r="B4" s="2"/>
      <c r="C4" s="2"/>
      <c r="D4" s="3"/>
      <c r="E4" s="3"/>
      <c r="F4" s="3"/>
      <c r="G4" s="3"/>
      <c r="H4" s="3"/>
      <c r="I4" s="3"/>
      <c r="J4" s="3"/>
    </row>
    <row r="5" spans="1:14" ht="18">
      <c r="A5" s="1" t="s">
        <v>2</v>
      </c>
      <c r="B5" s="2"/>
      <c r="C5" s="2"/>
      <c r="D5" s="3"/>
      <c r="E5" s="3"/>
      <c r="F5" s="3"/>
      <c r="G5" s="3"/>
      <c r="H5" s="3"/>
      <c r="K5" s="6" t="s">
        <v>3</v>
      </c>
    </row>
    <row r="6" spans="1:14" ht="18">
      <c r="A6" s="5" t="s">
        <v>2585</v>
      </c>
      <c r="B6" s="2"/>
      <c r="C6" s="2"/>
      <c r="D6" s="3"/>
      <c r="E6" s="3"/>
      <c r="F6" s="3"/>
      <c r="G6" s="3"/>
      <c r="H6" s="3"/>
      <c r="I6" s="3"/>
      <c r="J6" s="3"/>
    </row>
    <row r="7" spans="1:14" ht="16" customHeight="1">
      <c r="A7" s="7" t="s">
        <v>4</v>
      </c>
      <c r="B7" s="3"/>
      <c r="C7" s="3"/>
      <c r="D7" s="3"/>
      <c r="E7" s="3"/>
      <c r="F7" s="3"/>
      <c r="G7" s="3"/>
      <c r="H7" s="3"/>
      <c r="I7" s="3"/>
      <c r="J7" s="3"/>
    </row>
    <row r="8" spans="1:14" ht="17">
      <c r="A8" s="3"/>
      <c r="B8" s="3"/>
      <c r="C8" s="3"/>
      <c r="D8" s="3"/>
      <c r="E8" s="8"/>
      <c r="F8" s="8"/>
      <c r="G8" s="8"/>
      <c r="H8" s="8"/>
      <c r="I8" s="8"/>
      <c r="J8" s="8"/>
      <c r="M8" s="9"/>
      <c r="N8" s="9"/>
    </row>
    <row r="9" spans="1:14" ht="17">
      <c r="A9" s="3"/>
      <c r="B9" s="3"/>
      <c r="C9" s="3"/>
      <c r="D9" s="3"/>
      <c r="E9" s="10"/>
      <c r="F9" s="8"/>
      <c r="G9" s="10"/>
      <c r="H9" s="8"/>
      <c r="I9" s="2400" t="s">
        <v>5</v>
      </c>
      <c r="J9" s="2400"/>
      <c r="K9" s="2400"/>
      <c r="M9" s="11"/>
      <c r="N9" s="11"/>
    </row>
    <row r="10" spans="1:14" ht="17">
      <c r="A10" s="3"/>
      <c r="B10" s="3" t="s">
        <v>6</v>
      </c>
      <c r="C10" s="3"/>
      <c r="D10" s="3"/>
      <c r="E10" s="10" t="s">
        <v>7</v>
      </c>
      <c r="F10" s="8"/>
      <c r="G10" s="10" t="s">
        <v>8</v>
      </c>
      <c r="H10" s="8"/>
      <c r="I10" s="12" t="s">
        <v>2584</v>
      </c>
      <c r="J10" s="13" t="s">
        <v>6</v>
      </c>
      <c r="K10" s="12" t="s">
        <v>1917</v>
      </c>
    </row>
    <row r="11" spans="1:14" ht="16" customHeight="1">
      <c r="A11" s="3"/>
      <c r="B11" s="3"/>
      <c r="C11" s="3"/>
      <c r="D11" s="3"/>
      <c r="E11" s="14"/>
      <c r="F11" s="15"/>
      <c r="G11" s="14"/>
      <c r="H11" s="15"/>
      <c r="I11" s="16"/>
      <c r="J11" s="16"/>
      <c r="K11" s="14"/>
    </row>
    <row r="12" spans="1:14" s="24" customFormat="1" ht="17" customHeight="1">
      <c r="A12" s="2054" t="s">
        <v>11</v>
      </c>
      <c r="B12" s="17"/>
      <c r="C12" s="18"/>
      <c r="D12" s="19" t="s">
        <v>6</v>
      </c>
      <c r="E12" s="20">
        <f>ROUND(SUM(G12+I12),0)</f>
        <v>55924824</v>
      </c>
      <c r="F12" s="19"/>
      <c r="G12" s="21">
        <v>8869541</v>
      </c>
      <c r="H12" s="19"/>
      <c r="I12" s="22">
        <v>47055283</v>
      </c>
      <c r="J12" s="23"/>
      <c r="K12" s="22">
        <v>43709833</v>
      </c>
    </row>
    <row r="13" spans="1:14" ht="14" customHeight="1">
      <c r="A13" s="8"/>
      <c r="B13" s="15"/>
      <c r="C13" s="15"/>
      <c r="D13" s="15"/>
      <c r="E13" s="25"/>
      <c r="F13" s="26"/>
      <c r="G13" s="25"/>
      <c r="H13" s="26"/>
      <c r="I13" s="25"/>
      <c r="J13" s="27"/>
      <c r="K13" s="25"/>
    </row>
    <row r="14" spans="1:14" ht="14" customHeight="1">
      <c r="A14" s="8"/>
      <c r="B14" s="15"/>
      <c r="C14" s="28" t="s">
        <v>12</v>
      </c>
      <c r="D14" s="15"/>
      <c r="E14" s="26" t="s">
        <v>6</v>
      </c>
      <c r="F14" s="26"/>
      <c r="G14" s="26"/>
      <c r="H14" s="26"/>
      <c r="I14" s="26"/>
      <c r="J14" s="26"/>
      <c r="K14" s="26"/>
    </row>
    <row r="15" spans="1:14" ht="17" customHeight="1">
      <c r="A15" s="29" t="s">
        <v>13</v>
      </c>
      <c r="B15" s="15"/>
      <c r="C15" s="28" t="s">
        <v>12</v>
      </c>
      <c r="D15" s="28"/>
      <c r="E15" s="26" t="s">
        <v>6</v>
      </c>
      <c r="F15" s="26"/>
      <c r="G15" s="26"/>
      <c r="H15" s="26"/>
      <c r="I15" s="26" t="s">
        <v>6</v>
      </c>
      <c r="J15" s="26"/>
      <c r="K15" s="26" t="s">
        <v>6</v>
      </c>
    </row>
    <row r="16" spans="1:14" ht="17" customHeight="1">
      <c r="A16" s="8"/>
      <c r="B16" s="28" t="s">
        <v>14</v>
      </c>
      <c r="C16" s="30"/>
      <c r="D16" s="28" t="s">
        <v>6</v>
      </c>
      <c r="E16" s="1465">
        <f>ROUND(SUM(G16+I16),0)</f>
        <v>13491058</v>
      </c>
      <c r="F16" s="26"/>
      <c r="G16" s="31">
        <v>131738</v>
      </c>
      <c r="H16" s="26"/>
      <c r="I16" s="1360">
        <v>13359320</v>
      </c>
      <c r="J16" s="32"/>
      <c r="K16" s="1360">
        <v>12991656</v>
      </c>
      <c r="M16" s="33"/>
      <c r="N16" s="33"/>
    </row>
    <row r="17" spans="1:14" ht="17" customHeight="1">
      <c r="A17" s="8"/>
      <c r="B17" s="28" t="s">
        <v>15</v>
      </c>
      <c r="C17" s="30"/>
      <c r="D17" s="15" t="s">
        <v>6</v>
      </c>
      <c r="E17" s="1465">
        <f t="shared" ref="E17:E23" si="0">ROUND(SUM(G17+I17),0)</f>
        <v>126076</v>
      </c>
      <c r="F17" s="26"/>
      <c r="G17" s="34">
        <v>0</v>
      </c>
      <c r="H17" s="26"/>
      <c r="I17" s="31">
        <v>126076</v>
      </c>
      <c r="J17" s="32"/>
      <c r="K17" s="31">
        <v>119093</v>
      </c>
      <c r="M17" s="33"/>
      <c r="N17" s="33"/>
    </row>
    <row r="18" spans="1:14" ht="17" customHeight="1">
      <c r="A18" s="8"/>
      <c r="B18" s="28" t="s">
        <v>16</v>
      </c>
      <c r="C18" s="30"/>
      <c r="D18" s="28" t="s">
        <v>6</v>
      </c>
      <c r="E18" s="1465">
        <f t="shared" si="0"/>
        <v>1304454</v>
      </c>
      <c r="F18" s="26"/>
      <c r="G18" s="31">
        <v>53842</v>
      </c>
      <c r="H18" s="26"/>
      <c r="I18" s="31">
        <v>1250612</v>
      </c>
      <c r="J18" s="32"/>
      <c r="K18" s="31">
        <v>1313758</v>
      </c>
      <c r="M18" s="33"/>
      <c r="N18" s="33"/>
    </row>
    <row r="19" spans="1:14" ht="17" customHeight="1">
      <c r="A19" s="8"/>
      <c r="B19" s="28" t="s">
        <v>2711</v>
      </c>
      <c r="C19" s="30"/>
      <c r="D19" s="28" t="s">
        <v>6</v>
      </c>
      <c r="E19" s="1465">
        <f t="shared" ref="E19" si="1">ROUND(SUM(G19+I19),0)</f>
        <v>11</v>
      </c>
      <c r="F19" s="26"/>
      <c r="G19" s="31">
        <v>0</v>
      </c>
      <c r="H19" s="26"/>
      <c r="I19" s="31">
        <v>11</v>
      </c>
      <c r="J19" s="32"/>
      <c r="K19" s="31">
        <v>0</v>
      </c>
      <c r="M19" s="33"/>
      <c r="N19" s="33"/>
    </row>
    <row r="20" spans="1:14" ht="17" customHeight="1">
      <c r="A20" s="8"/>
      <c r="B20" s="28" t="s">
        <v>17</v>
      </c>
      <c r="C20" s="30"/>
      <c r="D20" s="28" t="s">
        <v>6</v>
      </c>
      <c r="E20" s="1465">
        <f t="shared" si="0"/>
        <v>521919</v>
      </c>
      <c r="F20" s="26"/>
      <c r="G20" s="35">
        <v>18851</v>
      </c>
      <c r="H20" s="26"/>
      <c r="I20" s="31">
        <v>503068</v>
      </c>
      <c r="J20" s="32"/>
      <c r="K20" s="31">
        <v>486955</v>
      </c>
      <c r="M20" s="33"/>
      <c r="N20" s="33"/>
    </row>
    <row r="21" spans="1:14" ht="17" customHeight="1">
      <c r="A21" s="8"/>
      <c r="B21" s="28" t="s">
        <v>18</v>
      </c>
      <c r="C21" s="30"/>
      <c r="D21" s="28" t="s">
        <v>6</v>
      </c>
      <c r="E21" s="1465">
        <f t="shared" si="0"/>
        <v>254551</v>
      </c>
      <c r="F21" s="26"/>
      <c r="G21" s="35">
        <v>3</v>
      </c>
      <c r="H21" s="26"/>
      <c r="I21" s="31">
        <v>254548</v>
      </c>
      <c r="J21" s="32"/>
      <c r="K21" s="31">
        <v>250859</v>
      </c>
      <c r="M21" s="33"/>
      <c r="N21" s="33"/>
    </row>
    <row r="22" spans="1:14" ht="17" customHeight="1">
      <c r="A22" s="8"/>
      <c r="B22" s="36" t="s">
        <v>19</v>
      </c>
      <c r="C22" s="30"/>
      <c r="D22" s="15" t="s">
        <v>6</v>
      </c>
      <c r="E22" s="1465">
        <f t="shared" si="0"/>
        <v>160392</v>
      </c>
      <c r="F22" s="26"/>
      <c r="G22" s="35">
        <v>1830</v>
      </c>
      <c r="H22" s="26"/>
      <c r="I22" s="31">
        <v>158562</v>
      </c>
      <c r="J22" s="32"/>
      <c r="K22" s="31">
        <v>140400</v>
      </c>
      <c r="M22" s="33"/>
      <c r="N22" s="33"/>
    </row>
    <row r="23" spans="1:14" ht="17" customHeight="1">
      <c r="A23" s="8"/>
      <c r="B23" s="37" t="s">
        <v>20</v>
      </c>
      <c r="C23" s="30"/>
      <c r="D23" s="28" t="s">
        <v>6</v>
      </c>
      <c r="E23" s="1465">
        <f t="shared" si="0"/>
        <v>73275</v>
      </c>
      <c r="F23" s="26"/>
      <c r="G23" s="38">
        <v>129</v>
      </c>
      <c r="H23" s="26"/>
      <c r="I23" s="31">
        <v>73146</v>
      </c>
      <c r="J23" s="39"/>
      <c r="K23" s="31">
        <v>82263</v>
      </c>
      <c r="M23" s="33"/>
      <c r="N23" s="33"/>
    </row>
    <row r="24" spans="1:14" ht="20" customHeight="1">
      <c r="A24" s="8"/>
      <c r="B24" s="29" t="s">
        <v>21</v>
      </c>
      <c r="C24" s="40"/>
      <c r="D24" s="28" t="s">
        <v>6</v>
      </c>
      <c r="E24" s="2209">
        <f>ROUND(SUM(E16:E23),0)</f>
        <v>15931736</v>
      </c>
      <c r="F24" s="1664"/>
      <c r="G24" s="2209">
        <f>ROUND(SUM(G16:G23),0)</f>
        <v>206393</v>
      </c>
      <c r="H24" s="42"/>
      <c r="I24" s="2209">
        <f>ROUND(SUM(I16:I23),0)</f>
        <v>15725343</v>
      </c>
      <c r="J24" s="43"/>
      <c r="K24" s="41">
        <f>ROUND(SUM(K16:K23),0)</f>
        <v>15384984</v>
      </c>
    </row>
    <row r="25" spans="1:14" ht="9.75" customHeight="1">
      <c r="A25" s="8"/>
      <c r="B25" s="15"/>
      <c r="C25" s="15"/>
      <c r="D25" s="15"/>
      <c r="E25" s="25"/>
      <c r="F25" s="26"/>
      <c r="G25" s="25"/>
      <c r="H25" s="26"/>
      <c r="I25" s="25"/>
      <c r="J25" s="27"/>
      <c r="K25" s="25"/>
    </row>
    <row r="26" spans="1:14" ht="14" customHeight="1">
      <c r="A26" s="8"/>
      <c r="B26" s="15"/>
      <c r="C26" s="28" t="s">
        <v>12</v>
      </c>
      <c r="D26" s="15"/>
      <c r="E26" s="26"/>
      <c r="F26" s="26"/>
      <c r="G26" s="26"/>
      <c r="H26" s="26"/>
      <c r="I26" s="26" t="s">
        <v>6</v>
      </c>
      <c r="J26" s="26"/>
      <c r="K26" s="26" t="s">
        <v>6</v>
      </c>
    </row>
    <row r="27" spans="1:14" ht="17" customHeight="1">
      <c r="A27" s="29" t="s">
        <v>22</v>
      </c>
      <c r="B27" s="15"/>
      <c r="C27" s="28" t="s">
        <v>12</v>
      </c>
      <c r="D27" s="28"/>
      <c r="E27" s="26"/>
      <c r="F27" s="26"/>
      <c r="G27" s="26"/>
      <c r="H27" s="26"/>
      <c r="I27" s="26"/>
      <c r="J27" s="26"/>
      <c r="K27" s="26"/>
    </row>
    <row r="28" spans="1:14" ht="17" customHeight="1">
      <c r="A28" s="8"/>
      <c r="B28" s="28" t="s">
        <v>23</v>
      </c>
      <c r="C28" s="30"/>
      <c r="D28" s="28" t="s">
        <v>6</v>
      </c>
      <c r="E28" s="1465">
        <f>ROUND(SUM(G28+I28),0)</f>
        <v>5787689</v>
      </c>
      <c r="F28" s="26"/>
      <c r="G28" s="31">
        <v>1260370</v>
      </c>
      <c r="H28" s="26"/>
      <c r="I28" s="31">
        <v>4527319</v>
      </c>
      <c r="J28" s="32"/>
      <c r="K28" s="32">
        <v>3547992</v>
      </c>
      <c r="M28" s="33"/>
      <c r="N28" s="33"/>
    </row>
    <row r="29" spans="1:14" ht="17" customHeight="1">
      <c r="A29" s="8"/>
      <c r="B29" s="28" t="s">
        <v>24</v>
      </c>
      <c r="C29" s="30"/>
      <c r="D29" s="28" t="s">
        <v>6</v>
      </c>
      <c r="E29" s="1465">
        <f t="shared" ref="E29:E33" si="2">ROUND(SUM(G29+I29),0)</f>
        <v>787654</v>
      </c>
      <c r="F29" s="26"/>
      <c r="G29" s="31">
        <v>13802</v>
      </c>
      <c r="H29" s="26"/>
      <c r="I29" s="31">
        <v>773852</v>
      </c>
      <c r="J29" s="32"/>
      <c r="K29" s="32">
        <v>727294</v>
      </c>
      <c r="M29" s="33"/>
      <c r="N29" s="33"/>
    </row>
    <row r="30" spans="1:14" ht="17" customHeight="1">
      <c r="A30" s="8"/>
      <c r="B30" s="28" t="s">
        <v>25</v>
      </c>
      <c r="C30" s="30"/>
      <c r="D30" s="28" t="s">
        <v>6</v>
      </c>
      <c r="E30" s="1465">
        <f t="shared" si="2"/>
        <v>1594112</v>
      </c>
      <c r="F30" s="26"/>
      <c r="G30" s="31">
        <v>14041</v>
      </c>
      <c r="H30" s="26"/>
      <c r="I30" s="31">
        <v>1580071</v>
      </c>
      <c r="J30" s="32"/>
      <c r="K30" s="32">
        <v>1532832</v>
      </c>
      <c r="M30" s="33"/>
      <c r="N30" s="33"/>
    </row>
    <row r="31" spans="1:14" ht="17" customHeight="1">
      <c r="A31" s="8"/>
      <c r="B31" s="28" t="s">
        <v>26</v>
      </c>
      <c r="C31" s="30"/>
      <c r="D31" s="28" t="s">
        <v>6</v>
      </c>
      <c r="E31" s="1465">
        <f t="shared" si="2"/>
        <v>-49061</v>
      </c>
      <c r="F31" s="26"/>
      <c r="G31" s="31">
        <v>72289</v>
      </c>
      <c r="H31" s="26"/>
      <c r="I31" s="31">
        <v>-121350</v>
      </c>
      <c r="J31" s="32"/>
      <c r="K31" s="32">
        <v>1536194</v>
      </c>
      <c r="M31" s="33"/>
      <c r="N31" s="33"/>
    </row>
    <row r="32" spans="1:14" ht="17" customHeight="1">
      <c r="A32" s="8"/>
      <c r="B32" s="28" t="s">
        <v>27</v>
      </c>
      <c r="C32" s="30"/>
      <c r="D32" s="28" t="s">
        <v>6</v>
      </c>
      <c r="E32" s="1465">
        <f t="shared" si="2"/>
        <v>1165258</v>
      </c>
      <c r="F32" s="26"/>
      <c r="G32" s="35">
        <v>41407</v>
      </c>
      <c r="H32" s="26"/>
      <c r="I32" s="31">
        <v>1123851</v>
      </c>
      <c r="J32" s="32"/>
      <c r="K32" s="32">
        <v>1158332</v>
      </c>
      <c r="M32" s="33"/>
      <c r="N32" s="33"/>
    </row>
    <row r="33" spans="1:14" ht="17" customHeight="1">
      <c r="A33" s="8"/>
      <c r="B33" s="28" t="s">
        <v>28</v>
      </c>
      <c r="C33" s="30"/>
      <c r="D33" s="15" t="s">
        <v>6</v>
      </c>
      <c r="E33" s="1465">
        <f t="shared" si="2"/>
        <v>0</v>
      </c>
      <c r="F33" s="26"/>
      <c r="G33" s="34">
        <v>0</v>
      </c>
      <c r="H33" s="26"/>
      <c r="I33" s="31">
        <v>0</v>
      </c>
      <c r="J33" s="39"/>
      <c r="K33" s="32">
        <v>1</v>
      </c>
      <c r="M33" s="33"/>
      <c r="N33" s="33"/>
    </row>
    <row r="34" spans="1:14" ht="20" customHeight="1">
      <c r="A34" s="8"/>
      <c r="B34" s="29" t="s">
        <v>29</v>
      </c>
      <c r="C34" s="40"/>
      <c r="D34" s="28" t="s">
        <v>6</v>
      </c>
      <c r="E34" s="2209">
        <f>ROUND(SUM(E28:E33),0)</f>
        <v>9285652</v>
      </c>
      <c r="F34" s="42"/>
      <c r="G34" s="2209">
        <f>ROUND(SUM(G28:G33),0)</f>
        <v>1401909</v>
      </c>
      <c r="H34" s="42"/>
      <c r="I34" s="2209">
        <f>ROUND(SUM(I27:I33),0)</f>
        <v>7883743</v>
      </c>
      <c r="J34" s="43"/>
      <c r="K34" s="41">
        <f>ROUND(SUM(K28:K33),0)</f>
        <v>8502645</v>
      </c>
    </row>
    <row r="35" spans="1:14" ht="9.75" customHeight="1">
      <c r="A35" s="8"/>
      <c r="B35" s="15"/>
      <c r="C35" s="28" t="s">
        <v>12</v>
      </c>
      <c r="D35" s="15"/>
      <c r="E35" s="2210"/>
      <c r="F35" s="26"/>
      <c r="G35" s="25"/>
      <c r="H35" s="26"/>
      <c r="I35" s="2210"/>
      <c r="J35" s="27"/>
      <c r="K35" s="25"/>
    </row>
    <row r="36" spans="1:14" ht="14" customHeight="1">
      <c r="A36" s="8"/>
      <c r="B36" s="15"/>
      <c r="C36" s="28" t="s">
        <v>12</v>
      </c>
      <c r="D36" s="28"/>
      <c r="E36" s="1465"/>
      <c r="F36" s="26"/>
      <c r="G36" s="26"/>
      <c r="H36" s="26"/>
      <c r="I36" s="1465"/>
      <c r="J36" s="26"/>
      <c r="K36" s="26"/>
    </row>
    <row r="37" spans="1:14" ht="17" customHeight="1">
      <c r="A37" s="29" t="s">
        <v>30</v>
      </c>
      <c r="B37" s="15"/>
      <c r="C37" s="28" t="s">
        <v>12</v>
      </c>
      <c r="D37" s="15"/>
      <c r="E37" s="1465"/>
      <c r="F37" s="26"/>
      <c r="G37" s="26"/>
      <c r="H37" s="26"/>
      <c r="I37" s="1465"/>
      <c r="J37" s="26"/>
      <c r="K37" s="26"/>
    </row>
    <row r="38" spans="1:14" ht="17" customHeight="1">
      <c r="A38" s="8"/>
      <c r="B38" s="28" t="s">
        <v>31</v>
      </c>
      <c r="C38" s="30"/>
      <c r="D38" s="28" t="s">
        <v>6</v>
      </c>
      <c r="E38" s="1465">
        <f>ROUND(SUM(G38+I38),0)</f>
        <v>10</v>
      </c>
      <c r="F38" s="26"/>
      <c r="G38" s="31">
        <v>0</v>
      </c>
      <c r="H38" s="26"/>
      <c r="I38" s="31">
        <v>10</v>
      </c>
      <c r="J38" s="39"/>
      <c r="K38" s="32">
        <v>39</v>
      </c>
      <c r="M38" s="33"/>
      <c r="N38" s="44"/>
    </row>
    <row r="39" spans="1:14" ht="17" customHeight="1">
      <c r="A39" s="8"/>
      <c r="B39" s="28" t="s">
        <v>32</v>
      </c>
      <c r="C39" s="30"/>
      <c r="D39" s="28" t="s">
        <v>6</v>
      </c>
      <c r="E39" s="1465">
        <f t="shared" ref="E39:E43" si="3">ROUND(SUM(G39+I39),0)</f>
        <v>1597558</v>
      </c>
      <c r="F39" s="26"/>
      <c r="G39" s="31">
        <v>76766</v>
      </c>
      <c r="H39" s="26"/>
      <c r="I39" s="31">
        <v>1520792</v>
      </c>
      <c r="J39" s="32"/>
      <c r="K39" s="32">
        <v>1108530</v>
      </c>
      <c r="M39" s="33"/>
      <c r="N39" s="44"/>
    </row>
    <row r="40" spans="1:14" ht="16.5" customHeight="1">
      <c r="A40" s="8"/>
      <c r="B40" s="28" t="s">
        <v>33</v>
      </c>
      <c r="C40" s="30"/>
      <c r="D40" s="28" t="s">
        <v>6</v>
      </c>
      <c r="E40" s="1465">
        <f t="shared" si="3"/>
        <v>17182</v>
      </c>
      <c r="F40" s="26"/>
      <c r="G40" s="31">
        <v>0</v>
      </c>
      <c r="H40" s="26"/>
      <c r="I40" s="31">
        <v>17182</v>
      </c>
      <c r="J40" s="32"/>
      <c r="K40" s="32">
        <v>18038</v>
      </c>
      <c r="M40" s="33"/>
      <c r="N40" s="44"/>
    </row>
    <row r="41" spans="1:14" ht="17" customHeight="1">
      <c r="A41" s="8"/>
      <c r="B41" s="36" t="s">
        <v>34</v>
      </c>
      <c r="C41" s="30"/>
      <c r="D41" s="28" t="s">
        <v>6</v>
      </c>
      <c r="E41" s="1465">
        <f t="shared" si="3"/>
        <v>1163763</v>
      </c>
      <c r="F41" s="26"/>
      <c r="G41" s="31">
        <v>703</v>
      </c>
      <c r="H41" s="26"/>
      <c r="I41" s="31">
        <v>1163060</v>
      </c>
      <c r="J41" s="32"/>
      <c r="K41" s="32">
        <v>1037880</v>
      </c>
      <c r="M41" s="33"/>
      <c r="N41" s="44"/>
    </row>
    <row r="42" spans="1:14" ht="17" customHeight="1">
      <c r="A42" s="8"/>
      <c r="B42" s="28" t="s">
        <v>2527</v>
      </c>
      <c r="C42" s="30"/>
      <c r="D42" s="28" t="s">
        <v>6</v>
      </c>
      <c r="E42" s="1465">
        <f t="shared" si="3"/>
        <v>1425</v>
      </c>
      <c r="F42" s="26"/>
      <c r="G42" s="31">
        <v>0</v>
      </c>
      <c r="H42" s="26"/>
      <c r="I42" s="31">
        <v>1425</v>
      </c>
      <c r="J42" s="39"/>
      <c r="K42" s="32">
        <v>1128</v>
      </c>
      <c r="L42" s="45"/>
      <c r="M42" s="33"/>
      <c r="N42" s="44"/>
    </row>
    <row r="43" spans="1:14" ht="17" customHeight="1">
      <c r="A43" s="8"/>
      <c r="B43" s="28" t="s">
        <v>35</v>
      </c>
      <c r="C43" s="30"/>
      <c r="D43" s="28" t="s">
        <v>6</v>
      </c>
      <c r="E43" s="1465">
        <f t="shared" si="3"/>
        <v>1331770</v>
      </c>
      <c r="F43" s="26"/>
      <c r="G43" s="31">
        <v>25535</v>
      </c>
      <c r="H43" s="26"/>
      <c r="I43" s="31">
        <v>1306235</v>
      </c>
      <c r="J43" s="39"/>
      <c r="K43" s="32">
        <v>1271303</v>
      </c>
      <c r="L43" s="45"/>
      <c r="M43" s="33"/>
      <c r="N43" s="44"/>
    </row>
    <row r="44" spans="1:14" ht="20" customHeight="1">
      <c r="A44" s="8"/>
      <c r="B44" s="29" t="s">
        <v>36</v>
      </c>
      <c r="C44" s="40"/>
      <c r="D44" s="28" t="s">
        <v>6</v>
      </c>
      <c r="E44" s="2209">
        <f>ROUND(SUM(E38:E43),0)</f>
        <v>4111708</v>
      </c>
      <c r="F44" s="42"/>
      <c r="G44" s="2209">
        <f>ROUND(SUM(G38:G43),0)</f>
        <v>103004</v>
      </c>
      <c r="H44" s="42"/>
      <c r="I44" s="2209">
        <f>ROUND(SUM(I38:I43),0)</f>
        <v>4008704</v>
      </c>
      <c r="J44" s="43"/>
      <c r="K44" s="41">
        <f>ROUND(SUM(K38:K43),0)</f>
        <v>3436918</v>
      </c>
    </row>
    <row r="45" spans="1:14" s="46" customFormat="1" ht="27" customHeight="1" thickBot="1">
      <c r="A45" s="2054" t="s">
        <v>37</v>
      </c>
      <c r="C45" s="47"/>
      <c r="D45" s="48" t="s">
        <v>6</v>
      </c>
      <c r="E45" s="49">
        <f>ROUND(SUM(E12)+SUM(E24)+SUM(E34)+SUM(E44),0)</f>
        <v>85253920</v>
      </c>
      <c r="F45" s="19"/>
      <c r="G45" s="49">
        <f>ROUND(SUM(G12)+SUM(G24)+SUM(G34)+SUM(G44),0)</f>
        <v>10580847</v>
      </c>
      <c r="H45" s="19"/>
      <c r="I45" s="49">
        <f>ROUND(SUM(I12)+SUM(I24)+SUM(I34)+SUM(I44),0)</f>
        <v>74673073</v>
      </c>
      <c r="J45" s="23"/>
      <c r="K45" s="49">
        <f>ROUND(SUM(K12)+SUM(K24)+SUM(K34)+SUM(K44),0)</f>
        <v>71034380</v>
      </c>
    </row>
    <row r="46" spans="1:14" ht="17" customHeight="1" thickTop="1">
      <c r="A46" s="50"/>
      <c r="B46" s="51"/>
      <c r="C46" s="51"/>
      <c r="D46" s="51"/>
      <c r="E46" s="52"/>
      <c r="F46" s="51"/>
      <c r="G46" s="52"/>
      <c r="H46" s="51"/>
      <c r="I46" s="52"/>
      <c r="J46" s="53"/>
      <c r="K46" s="52"/>
    </row>
    <row r="47" spans="1:14" s="58" customFormat="1" ht="16.5" customHeight="1">
      <c r="A47" s="54"/>
      <c r="B47" s="55"/>
      <c r="C47" s="56"/>
      <c r="D47" s="56"/>
      <c r="E47" s="56"/>
      <c r="F47" s="56"/>
      <c r="G47" s="56"/>
      <c r="H47" s="56"/>
      <c r="I47" s="56"/>
      <c r="J47" s="56"/>
      <c r="K47" s="57"/>
    </row>
    <row r="48" spans="1:14" s="58" customFormat="1" ht="15" customHeight="1">
      <c r="A48" s="59"/>
      <c r="B48" s="55"/>
      <c r="C48" s="56"/>
      <c r="D48" s="56"/>
      <c r="E48" s="56"/>
      <c r="F48" s="56"/>
      <c r="G48" s="56"/>
      <c r="H48" s="56"/>
      <c r="I48" s="60"/>
      <c r="J48" s="60"/>
    </row>
    <row r="49" spans="1:10" ht="17" customHeight="1">
      <c r="A49" s="50"/>
      <c r="B49" s="51"/>
      <c r="C49" s="51"/>
      <c r="D49" s="51"/>
      <c r="E49" s="51"/>
      <c r="F49" s="51"/>
      <c r="G49" s="51"/>
      <c r="H49" s="51"/>
      <c r="I49" s="53"/>
      <c r="J49" s="53"/>
    </row>
    <row r="50" spans="1:10" ht="17" customHeight="1">
      <c r="A50" s="50"/>
      <c r="B50" s="50"/>
      <c r="C50" s="50"/>
      <c r="D50" s="50"/>
      <c r="E50" s="50"/>
      <c r="F50" s="50"/>
      <c r="G50" s="61"/>
      <c r="H50" s="61"/>
      <c r="I50" s="61"/>
      <c r="J50" s="61"/>
    </row>
    <row r="51" spans="1:10" ht="17" customHeight="1">
      <c r="A51" s="50"/>
      <c r="B51" s="50"/>
      <c r="C51" s="50"/>
      <c r="D51" s="50"/>
      <c r="E51" s="50"/>
      <c r="F51" s="50"/>
      <c r="G51" s="61"/>
      <c r="H51" s="61"/>
      <c r="I51" s="61"/>
      <c r="J51" s="61"/>
    </row>
    <row r="52" spans="1:10" ht="17" customHeight="1">
      <c r="A52" s="50"/>
      <c r="B52" s="50"/>
      <c r="C52" s="50"/>
      <c r="D52" s="50"/>
      <c r="E52" s="50"/>
      <c r="F52" s="50"/>
      <c r="G52" s="61"/>
      <c r="H52" s="61"/>
      <c r="I52" s="61"/>
      <c r="J52" s="61"/>
    </row>
    <row r="53" spans="1:10" ht="18">
      <c r="A53" s="50"/>
      <c r="B53" s="50"/>
      <c r="C53" s="50"/>
      <c r="D53" s="50"/>
      <c r="E53" s="50"/>
      <c r="F53" s="50"/>
      <c r="G53" s="50"/>
      <c r="H53" s="50"/>
      <c r="I53" s="50"/>
      <c r="J53" s="50"/>
    </row>
    <row r="54" spans="1:10" ht="18">
      <c r="A54" s="50"/>
      <c r="B54" s="50"/>
      <c r="C54" s="50"/>
      <c r="D54" s="50"/>
      <c r="E54" s="50"/>
      <c r="F54" s="50"/>
      <c r="G54" s="50"/>
      <c r="H54" s="50"/>
      <c r="I54" s="50"/>
      <c r="J54" s="50"/>
    </row>
    <row r="55" spans="1:10" ht="18">
      <c r="A55" s="50"/>
      <c r="B55" s="50"/>
      <c r="C55" s="50"/>
      <c r="D55" s="50"/>
      <c r="E55" s="51"/>
      <c r="F55" s="51"/>
      <c r="G55" s="51"/>
      <c r="H55" s="51"/>
      <c r="I55" s="51"/>
      <c r="J55" s="51"/>
    </row>
    <row r="56" spans="1:10" ht="18">
      <c r="A56" s="50"/>
      <c r="E56" s="62"/>
      <c r="F56" s="62"/>
      <c r="G56" s="62"/>
      <c r="H56" s="62"/>
      <c r="I56" s="62"/>
      <c r="J56" s="62"/>
    </row>
    <row r="57" spans="1:10" ht="18">
      <c r="A57" s="50"/>
      <c r="E57" s="62"/>
      <c r="F57" s="62"/>
      <c r="G57" s="62"/>
      <c r="H57" s="62"/>
      <c r="I57" s="62"/>
      <c r="J57" s="62"/>
    </row>
    <row r="58" spans="1:10" ht="18">
      <c r="A58" s="50"/>
      <c r="E58" s="63"/>
      <c r="G58" s="63"/>
      <c r="I58" s="63"/>
      <c r="J58" s="63"/>
    </row>
    <row r="59" spans="1:10" ht="18">
      <c r="A59" s="50"/>
      <c r="E59" s="63"/>
      <c r="G59" s="63"/>
      <c r="I59" s="63"/>
      <c r="J59" s="63"/>
    </row>
    <row r="60" spans="1:10" ht="18">
      <c r="A60" s="50"/>
      <c r="E60" s="63"/>
      <c r="G60" s="63"/>
    </row>
    <row r="61" spans="1:10" ht="18">
      <c r="A61" s="50"/>
      <c r="E61" s="63"/>
      <c r="G61" s="63"/>
    </row>
    <row r="62" spans="1:10" ht="18">
      <c r="A62" s="50"/>
      <c r="E62" s="63"/>
      <c r="G62" s="63"/>
    </row>
    <row r="63" spans="1:10">
      <c r="E63" s="63"/>
      <c r="G63" s="63"/>
    </row>
    <row r="64" spans="1:10">
      <c r="E64" s="63"/>
      <c r="G64" s="63"/>
    </row>
    <row r="66" spans="5:7">
      <c r="E66" s="63"/>
      <c r="G66" s="63"/>
    </row>
    <row r="67" spans="5:7">
      <c r="E67" s="63"/>
      <c r="G67" s="63"/>
    </row>
    <row r="68" spans="5:7">
      <c r="E68" s="63"/>
      <c r="G68" s="63"/>
    </row>
    <row r="69" spans="5:7">
      <c r="E69" s="63"/>
      <c r="G69" s="63"/>
    </row>
    <row r="70" spans="5:7">
      <c r="E70" s="63"/>
      <c r="G70" s="63"/>
    </row>
    <row r="71" spans="5:7">
      <c r="E71" s="63"/>
      <c r="G71" s="63"/>
    </row>
    <row r="72" spans="5:7">
      <c r="E72" s="63"/>
      <c r="G72" s="63"/>
    </row>
    <row r="73" spans="5:7">
      <c r="E73" s="63"/>
      <c r="G73" s="63"/>
    </row>
    <row r="74" spans="5:7">
      <c r="E74" s="63"/>
      <c r="G74" s="63"/>
    </row>
    <row r="75" spans="5:7">
      <c r="E75" s="63"/>
      <c r="G75" s="63"/>
    </row>
    <row r="76" spans="5:7">
      <c r="E76" s="63"/>
      <c r="G76" s="63"/>
    </row>
    <row r="77" spans="5:7">
      <c r="E77" s="63"/>
      <c r="G77" s="63"/>
    </row>
    <row r="78" spans="5:7">
      <c r="E78" s="63"/>
      <c r="G78" s="63"/>
    </row>
    <row r="79" spans="5:7">
      <c r="E79" s="63"/>
      <c r="G79" s="63"/>
    </row>
    <row r="80" spans="5:7">
      <c r="E80" s="63"/>
      <c r="G80" s="63"/>
    </row>
    <row r="81" spans="5:7">
      <c r="E81" s="63"/>
      <c r="G81" s="63"/>
    </row>
    <row r="82" spans="5:7">
      <c r="E82" s="63"/>
      <c r="G82" s="63"/>
    </row>
    <row r="83" spans="5:7">
      <c r="E83" s="63"/>
      <c r="G83" s="63"/>
    </row>
    <row r="84" spans="5:7">
      <c r="E84" s="63"/>
      <c r="G84" s="63"/>
    </row>
    <row r="85" spans="5:7">
      <c r="E85" s="63"/>
      <c r="G85" s="63"/>
    </row>
    <row r="86" spans="5:7">
      <c r="E86" s="63"/>
      <c r="G86" s="63"/>
    </row>
    <row r="87" spans="5:7">
      <c r="E87" s="63"/>
      <c r="G87" s="63"/>
    </row>
    <row r="88" spans="5:7">
      <c r="E88" s="63"/>
      <c r="G88" s="63"/>
    </row>
    <row r="89" spans="5:7">
      <c r="E89" s="63"/>
      <c r="G89" s="63"/>
    </row>
    <row r="90" spans="5:7">
      <c r="E90" s="63"/>
      <c r="G90" s="63"/>
    </row>
    <row r="91" spans="5:7">
      <c r="E91" s="63"/>
      <c r="G91" s="63"/>
    </row>
    <row r="92" spans="5:7">
      <c r="E92" s="63"/>
      <c r="G92" s="63"/>
    </row>
    <row r="93" spans="5:7">
      <c r="E93" s="63"/>
      <c r="G93" s="63"/>
    </row>
    <row r="94" spans="5:7">
      <c r="E94" s="63"/>
      <c r="G94" s="63"/>
    </row>
    <row r="95" spans="5:7">
      <c r="E95" s="63"/>
      <c r="G95" s="63"/>
    </row>
  </sheetData>
  <mergeCells count="1">
    <mergeCell ref="I9:K9"/>
  </mergeCells>
  <pageMargins left="0.6" right="0.5" top="1" bottom="0.25" header="0" footer="0.25"/>
  <pageSetup scale="63" orientation="landscape"/>
  <headerFooter scaleWithDoc="0">
    <oddFooter>&amp;R&amp;8 64</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showGridLines="0" zoomScale="80" zoomScaleNormal="80" zoomScalePageLayoutView="80" workbookViewId="0"/>
  </sheetViews>
  <sheetFormatPr baseColWidth="10" defaultColWidth="8.85546875" defaultRowHeight="15" x14ac:dyDescent="0"/>
  <cols>
    <col min="1" max="1" width="49.5703125" style="1379" customWidth="1"/>
    <col min="2" max="2" width="2.140625" style="1379" customWidth="1"/>
    <col min="3" max="3" width="9.85546875" style="1379" customWidth="1"/>
    <col min="4" max="4" width="2.85546875" style="1380" customWidth="1"/>
    <col min="5" max="5" width="9.42578125" style="1379" customWidth="1"/>
    <col min="6" max="6" width="2.85546875" style="1379" customWidth="1"/>
    <col min="7" max="7" width="13.5703125" style="1379" customWidth="1"/>
    <col min="8" max="8" width="2.85546875" style="1379" customWidth="1"/>
    <col min="9" max="9" width="13.5703125" style="1379" customWidth="1"/>
    <col min="10" max="10" width="2.140625" style="1379" customWidth="1"/>
    <col min="11" max="11" width="13.5703125" style="1379" customWidth="1"/>
    <col min="12" max="12" width="2.85546875" style="1379" customWidth="1"/>
    <col min="13" max="13" width="13.5703125" style="1379" customWidth="1"/>
    <col min="14" max="14" width="2.85546875" style="1379" customWidth="1"/>
    <col min="15" max="15" width="13.5703125" style="1379" customWidth="1"/>
    <col min="16" max="16" width="2.85546875" style="1379" customWidth="1"/>
    <col min="17" max="17" width="13.5703125" style="1379" customWidth="1"/>
    <col min="18" max="18" width="2.85546875" style="1379" customWidth="1"/>
    <col min="19" max="19" width="13.5703125" style="1379" customWidth="1"/>
    <col min="20" max="20" width="2.140625" style="1379" customWidth="1"/>
    <col min="21" max="21" width="13.5703125" style="1379" customWidth="1"/>
    <col min="22" max="22" width="2.85546875" style="1379" customWidth="1"/>
    <col min="23" max="23" width="13.5703125" style="1379" customWidth="1"/>
    <col min="24" max="24" width="2.85546875" style="1379" customWidth="1"/>
    <col min="25" max="25" width="13.5703125" style="1379" customWidth="1"/>
    <col min="26" max="26" width="2.85546875" style="1379" customWidth="1"/>
    <col min="27" max="27" width="13.5703125" style="1379" customWidth="1"/>
    <col min="28" max="28" width="2.85546875" style="1379" customWidth="1"/>
    <col min="29" max="29" width="13.5703125" style="1379" customWidth="1"/>
    <col min="30" max="30" width="2.42578125" style="1379" customWidth="1"/>
    <col min="31" max="31" width="12.85546875" style="1379" customWidth="1"/>
    <col min="32" max="32" width="2.42578125" style="1379" customWidth="1"/>
    <col min="33" max="33" width="12.85546875" style="1379" customWidth="1"/>
    <col min="34" max="34" width="2.42578125" style="1379" customWidth="1"/>
    <col min="35" max="35" width="12.85546875" style="1379" customWidth="1"/>
    <col min="36" max="36" width="2.42578125" style="1379" customWidth="1"/>
    <col min="37" max="37" width="12.85546875" style="1379" customWidth="1"/>
    <col min="38" max="38" width="2.42578125" style="1379" customWidth="1"/>
    <col min="39" max="39" width="12.85546875" style="1379" customWidth="1"/>
    <col min="40" max="40" width="2.42578125" style="1379" customWidth="1"/>
    <col min="41" max="41" width="12.85546875" style="1379" customWidth="1"/>
    <col min="42" max="42" width="2.42578125" style="1379" customWidth="1"/>
    <col min="43" max="43" width="12.85546875" style="1379" customWidth="1"/>
    <col min="44" max="44" width="2.42578125" style="1379" customWidth="1"/>
    <col min="45" max="45" width="12.85546875" style="1379" customWidth="1"/>
    <col min="46" max="16384" width="8.85546875" style="1379"/>
  </cols>
  <sheetData>
    <row r="1" spans="1:45">
      <c r="A1" s="1582" t="s">
        <v>1443</v>
      </c>
    </row>
    <row r="3" spans="1:45" ht="17">
      <c r="A3" s="1378" t="s">
        <v>0</v>
      </c>
      <c r="S3" s="856"/>
      <c r="T3" s="856"/>
      <c r="U3" s="856"/>
      <c r="V3" s="856"/>
      <c r="W3" s="856"/>
      <c r="X3" s="856"/>
      <c r="Y3" s="856"/>
      <c r="Z3" s="856"/>
      <c r="AA3" s="856"/>
      <c r="AB3" s="856"/>
      <c r="AC3" s="856"/>
      <c r="AE3" s="856"/>
      <c r="AF3" s="856"/>
      <c r="AG3" s="856"/>
      <c r="AH3" s="856"/>
      <c r="AI3" s="815"/>
      <c r="AJ3" s="815"/>
      <c r="AK3" s="815"/>
      <c r="AL3" s="856"/>
      <c r="AM3" s="856"/>
      <c r="AN3" s="856"/>
      <c r="AO3" s="856"/>
      <c r="AP3" s="856"/>
      <c r="AQ3" s="856"/>
      <c r="AR3" s="856"/>
      <c r="AS3" s="856"/>
    </row>
    <row r="4" spans="1:45" ht="17">
      <c r="A4" s="1378" t="s">
        <v>641</v>
      </c>
      <c r="Q4" s="1381" t="s">
        <v>1299</v>
      </c>
      <c r="S4" s="856"/>
      <c r="T4" s="856"/>
      <c r="U4" s="856"/>
      <c r="V4" s="856"/>
      <c r="W4" s="856"/>
      <c r="X4" s="856"/>
      <c r="Y4" s="856"/>
      <c r="Z4" s="856"/>
      <c r="AA4" s="856"/>
      <c r="AB4" s="856"/>
      <c r="AC4" s="859" t="s">
        <v>1299</v>
      </c>
      <c r="AE4" s="856"/>
      <c r="AF4" s="856"/>
      <c r="AG4" s="856"/>
      <c r="AH4" s="856"/>
      <c r="AI4" s="815"/>
      <c r="AJ4" s="815"/>
      <c r="AK4" s="815"/>
      <c r="AL4" s="856"/>
      <c r="AM4" s="856"/>
      <c r="AN4" s="856"/>
      <c r="AO4" s="859"/>
      <c r="AP4" s="856"/>
      <c r="AQ4" s="856"/>
      <c r="AR4" s="856"/>
      <c r="AS4" s="859" t="s">
        <v>1299</v>
      </c>
    </row>
    <row r="5" spans="1:45" ht="17">
      <c r="A5" s="1378" t="s">
        <v>1300</v>
      </c>
      <c r="S5" s="856"/>
      <c r="T5" s="856"/>
      <c r="U5" s="856"/>
      <c r="V5" s="856"/>
      <c r="W5" s="856"/>
      <c r="X5" s="856"/>
      <c r="Y5" s="856"/>
      <c r="Z5" s="856"/>
      <c r="AA5" s="856"/>
      <c r="AB5" s="856"/>
      <c r="AC5" s="859" t="s">
        <v>131</v>
      </c>
      <c r="AE5" s="856"/>
      <c r="AF5" s="856"/>
      <c r="AG5" s="856"/>
      <c r="AH5" s="856"/>
      <c r="AI5" s="815"/>
      <c r="AJ5" s="815"/>
      <c r="AK5" s="815"/>
      <c r="AL5" s="856"/>
      <c r="AM5" s="856"/>
      <c r="AN5" s="856"/>
      <c r="AO5" s="856"/>
      <c r="AP5" s="856"/>
      <c r="AQ5" s="856"/>
      <c r="AR5" s="856"/>
      <c r="AS5" s="859" t="s">
        <v>131</v>
      </c>
    </row>
    <row r="6" spans="1:45" ht="17">
      <c r="A6" s="1378" t="s">
        <v>2591</v>
      </c>
      <c r="S6" s="856"/>
      <c r="T6" s="856"/>
      <c r="U6" s="856"/>
      <c r="V6" s="856"/>
      <c r="W6" s="856"/>
      <c r="X6" s="856"/>
      <c r="Y6" s="856"/>
      <c r="Z6" s="856"/>
      <c r="AA6" s="856"/>
      <c r="AB6" s="856"/>
      <c r="AC6" s="856"/>
      <c r="AE6" s="856"/>
      <c r="AF6" s="856"/>
      <c r="AG6" s="856"/>
      <c r="AH6" s="856"/>
      <c r="AI6" s="815"/>
      <c r="AJ6" s="815"/>
      <c r="AK6" s="815"/>
      <c r="AL6" s="856"/>
      <c r="AM6" s="856"/>
      <c r="AN6" s="856"/>
      <c r="AO6" s="856"/>
      <c r="AP6" s="856"/>
      <c r="AQ6" s="856"/>
      <c r="AR6" s="856"/>
      <c r="AS6" s="856"/>
    </row>
    <row r="7" spans="1:45" ht="17">
      <c r="A7" s="1378"/>
      <c r="S7" s="856"/>
      <c r="T7" s="856"/>
      <c r="U7" s="856"/>
      <c r="V7" s="856"/>
      <c r="W7" s="856"/>
      <c r="X7" s="856"/>
      <c r="Y7" s="856"/>
      <c r="Z7" s="856"/>
      <c r="AA7" s="856"/>
      <c r="AB7" s="856"/>
      <c r="AC7" s="856"/>
      <c r="AE7" s="856"/>
      <c r="AF7" s="856"/>
      <c r="AG7" s="856"/>
      <c r="AH7" s="856"/>
      <c r="AI7" s="815"/>
      <c r="AJ7" s="815"/>
      <c r="AK7" s="815"/>
      <c r="AL7" s="856"/>
      <c r="AM7" s="856"/>
      <c r="AN7" s="856"/>
      <c r="AO7" s="856"/>
      <c r="AP7" s="856"/>
      <c r="AQ7" s="856"/>
      <c r="AR7" s="856"/>
      <c r="AS7" s="856"/>
    </row>
    <row r="8" spans="1:45">
      <c r="C8" s="1382" t="s">
        <v>644</v>
      </c>
      <c r="D8" s="1383"/>
      <c r="E8" s="1382" t="s">
        <v>644</v>
      </c>
      <c r="S8" s="856"/>
      <c r="T8" s="856"/>
      <c r="U8" s="856"/>
      <c r="V8" s="856"/>
      <c r="W8" s="856"/>
      <c r="X8" s="856"/>
      <c r="Y8" s="856"/>
      <c r="Z8" s="856"/>
      <c r="AA8" s="856"/>
      <c r="AB8" s="856"/>
      <c r="AC8" s="856"/>
      <c r="AE8" s="856"/>
      <c r="AF8" s="856"/>
      <c r="AG8" s="856"/>
      <c r="AH8" s="856"/>
      <c r="AI8" s="815"/>
      <c r="AJ8" s="815"/>
      <c r="AK8" s="815"/>
      <c r="AL8" s="856"/>
      <c r="AM8" s="856"/>
      <c r="AN8" s="856"/>
      <c r="AO8" s="856"/>
      <c r="AP8" s="856"/>
      <c r="AQ8" s="856"/>
      <c r="AR8" s="856"/>
      <c r="AS8" s="856"/>
    </row>
    <row r="9" spans="1:45">
      <c r="C9" s="1382" t="s">
        <v>647</v>
      </c>
      <c r="D9" s="1383"/>
      <c r="E9" s="1382" t="s">
        <v>648</v>
      </c>
      <c r="G9" s="2428">
        <v>39172</v>
      </c>
      <c r="H9" s="2428"/>
      <c r="I9" s="2428"/>
      <c r="K9" s="2428">
        <v>39538</v>
      </c>
      <c r="L9" s="2428"/>
      <c r="M9" s="2428"/>
      <c r="O9" s="2428">
        <v>39903</v>
      </c>
      <c r="P9" s="2428"/>
      <c r="Q9" s="2428"/>
      <c r="S9" s="2427">
        <v>40268</v>
      </c>
      <c r="T9" s="2427"/>
      <c r="U9" s="2427"/>
      <c r="V9" s="856"/>
      <c r="W9" s="2427">
        <v>40633</v>
      </c>
      <c r="X9" s="2427"/>
      <c r="Y9" s="2427"/>
      <c r="Z9" s="856"/>
      <c r="AA9" s="2427">
        <v>40999</v>
      </c>
      <c r="AB9" s="2427"/>
      <c r="AC9" s="2427"/>
      <c r="AE9" s="2427">
        <v>41364</v>
      </c>
      <c r="AF9" s="2427"/>
      <c r="AG9" s="2427"/>
      <c r="AH9" s="856"/>
      <c r="AI9" s="2427">
        <v>41729</v>
      </c>
      <c r="AJ9" s="2427"/>
      <c r="AK9" s="2427"/>
      <c r="AL9" s="856"/>
      <c r="AM9" s="2427">
        <v>42094</v>
      </c>
      <c r="AN9" s="2427"/>
      <c r="AO9" s="2427"/>
      <c r="AP9" s="856"/>
      <c r="AQ9" s="2427">
        <v>42460</v>
      </c>
      <c r="AR9" s="2427"/>
      <c r="AS9" s="2427"/>
    </row>
    <row r="10" spans="1:45">
      <c r="A10" s="1384" t="s">
        <v>596</v>
      </c>
      <c r="C10" s="1384" t="s">
        <v>598</v>
      </c>
      <c r="D10" s="1383"/>
      <c r="E10" s="1384" t="s">
        <v>651</v>
      </c>
      <c r="G10" s="1384" t="s">
        <v>592</v>
      </c>
      <c r="I10" s="1384" t="s">
        <v>1301</v>
      </c>
      <c r="K10" s="1384" t="s">
        <v>592</v>
      </c>
      <c r="M10" s="1384" t="s">
        <v>1301</v>
      </c>
      <c r="O10" s="1384" t="s">
        <v>592</v>
      </c>
      <c r="Q10" s="1384" t="s">
        <v>1301</v>
      </c>
      <c r="S10" s="822" t="s">
        <v>592</v>
      </c>
      <c r="T10" s="815"/>
      <c r="U10" s="822" t="s">
        <v>1301</v>
      </c>
      <c r="V10" s="856"/>
      <c r="W10" s="1396" t="s">
        <v>592</v>
      </c>
      <c r="X10" s="856"/>
      <c r="Y10" s="1396" t="s">
        <v>1301</v>
      </c>
      <c r="Z10" s="856"/>
      <c r="AA10" s="1396" t="s">
        <v>592</v>
      </c>
      <c r="AB10" s="856"/>
      <c r="AC10" s="1396" t="s">
        <v>1301</v>
      </c>
      <c r="AE10" s="1396" t="s">
        <v>592</v>
      </c>
      <c r="AF10" s="856"/>
      <c r="AG10" s="1396" t="s">
        <v>1301</v>
      </c>
      <c r="AH10" s="856"/>
      <c r="AI10" s="1396" t="s">
        <v>592</v>
      </c>
      <c r="AJ10" s="856"/>
      <c r="AK10" s="1396" t="s">
        <v>1301</v>
      </c>
      <c r="AL10" s="856"/>
      <c r="AM10" s="1396" t="s">
        <v>592</v>
      </c>
      <c r="AN10" s="856"/>
      <c r="AO10" s="1396" t="s">
        <v>1301</v>
      </c>
      <c r="AP10" s="856"/>
      <c r="AQ10" s="1396" t="s">
        <v>592</v>
      </c>
      <c r="AR10" s="856"/>
      <c r="AS10" s="1396" t="s">
        <v>1301</v>
      </c>
    </row>
    <row r="11" spans="1:45">
      <c r="S11" s="815"/>
      <c r="T11" s="815"/>
      <c r="U11" s="815"/>
      <c r="V11" s="856"/>
      <c r="W11" s="856"/>
      <c r="X11" s="856"/>
      <c r="Y11" s="856"/>
      <c r="Z11" s="856"/>
      <c r="AA11" s="856"/>
      <c r="AB11" s="856"/>
      <c r="AC11" s="856"/>
      <c r="AE11" s="856"/>
      <c r="AF11" s="856"/>
      <c r="AG11" s="856"/>
      <c r="AH11" s="856"/>
      <c r="AI11" s="856"/>
      <c r="AJ11" s="856"/>
      <c r="AK11" s="856"/>
      <c r="AL11" s="856"/>
      <c r="AM11" s="856"/>
      <c r="AN11" s="856"/>
      <c r="AO11" s="856"/>
      <c r="AP11" s="856"/>
      <c r="AQ11" s="856"/>
      <c r="AR11" s="856"/>
      <c r="AS11" s="856"/>
    </row>
    <row r="12" spans="1:45">
      <c r="A12" s="1385" t="s">
        <v>600</v>
      </c>
      <c r="S12" s="815"/>
      <c r="T12" s="815"/>
      <c r="U12" s="815"/>
      <c r="V12" s="856"/>
      <c r="W12" s="856"/>
      <c r="X12" s="856"/>
      <c r="Y12" s="856"/>
      <c r="Z12" s="856"/>
      <c r="AA12" s="856"/>
      <c r="AB12" s="856"/>
      <c r="AC12" s="856"/>
      <c r="AE12" s="856"/>
      <c r="AF12" s="856"/>
      <c r="AG12" s="856"/>
      <c r="AH12" s="856"/>
      <c r="AI12" s="856"/>
      <c r="AJ12" s="856"/>
      <c r="AK12" s="856"/>
      <c r="AL12" s="856"/>
      <c r="AM12" s="856"/>
      <c r="AN12" s="856"/>
      <c r="AO12" s="856"/>
      <c r="AP12" s="856"/>
      <c r="AQ12" s="856"/>
      <c r="AR12" s="856"/>
      <c r="AS12" s="856"/>
    </row>
    <row r="13" spans="1:45">
      <c r="A13" s="1386" t="s">
        <v>1302</v>
      </c>
      <c r="B13" s="1379" t="s">
        <v>6</v>
      </c>
      <c r="C13" s="1387">
        <v>1989</v>
      </c>
      <c r="E13" s="1387">
        <v>2031</v>
      </c>
      <c r="F13" s="1388"/>
      <c r="G13" s="1389">
        <v>91537401</v>
      </c>
      <c r="H13" s="1390"/>
      <c r="I13" s="1389">
        <v>40397354</v>
      </c>
      <c r="K13" s="1109">
        <v>90972643.689999998</v>
      </c>
      <c r="L13" s="1659"/>
      <c r="M13" s="1109">
        <v>36316410.57</v>
      </c>
      <c r="N13" s="1659"/>
      <c r="O13" s="1109">
        <v>92815636</v>
      </c>
      <c r="P13" s="1659"/>
      <c r="Q13" s="1109">
        <v>32361946</v>
      </c>
      <c r="R13" s="1659"/>
      <c r="S13" s="1109">
        <v>93970062.049999997</v>
      </c>
      <c r="T13" s="1659"/>
      <c r="U13" s="1109">
        <v>27349526.5</v>
      </c>
      <c r="W13" s="1109">
        <v>92979557</v>
      </c>
      <c r="X13" s="1659"/>
      <c r="Y13" s="1109">
        <v>24007853</v>
      </c>
      <c r="Z13" s="1659"/>
      <c r="AA13" s="1109">
        <v>88086857</v>
      </c>
      <c r="AB13" s="1659"/>
      <c r="AC13" s="1109">
        <v>18490218</v>
      </c>
      <c r="AD13" s="1659"/>
      <c r="AE13" s="1109">
        <v>80150520</v>
      </c>
      <c r="AF13" s="1659"/>
      <c r="AG13" s="1109">
        <v>15514645</v>
      </c>
      <c r="AH13" s="1659"/>
      <c r="AI13" s="1109">
        <v>59239005</v>
      </c>
      <c r="AJ13" s="1659"/>
      <c r="AK13" s="1109">
        <v>11324805</v>
      </c>
      <c r="AL13" s="1375"/>
      <c r="AM13" s="1109">
        <v>73050730</v>
      </c>
      <c r="AN13" s="1375"/>
      <c r="AO13" s="1109">
        <v>9150971</v>
      </c>
      <c r="AQ13" s="1109">
        <v>44088768.140000001</v>
      </c>
      <c r="AS13" s="1109">
        <v>4951534.67</v>
      </c>
    </row>
    <row r="14" spans="1:45">
      <c r="A14" s="1385" t="s">
        <v>601</v>
      </c>
      <c r="C14" s="1387"/>
      <c r="E14" s="1387"/>
      <c r="G14" s="1391"/>
      <c r="H14" s="1391"/>
      <c r="I14" s="1391"/>
      <c r="K14" s="1397"/>
      <c r="L14" s="1397"/>
      <c r="M14" s="1397"/>
      <c r="N14" s="1397"/>
      <c r="O14" s="1397"/>
      <c r="P14" s="1397"/>
      <c r="Q14" s="1397"/>
      <c r="R14" s="1397"/>
      <c r="S14" s="1397"/>
      <c r="T14" s="1397"/>
      <c r="U14" s="1397"/>
      <c r="W14" s="1397"/>
      <c r="X14" s="1397"/>
      <c r="Y14" s="1397"/>
      <c r="Z14" s="1397"/>
      <c r="AA14" s="1397"/>
      <c r="AB14" s="1397"/>
      <c r="AC14" s="1397"/>
      <c r="AD14" s="1397"/>
      <c r="AE14" s="1397"/>
      <c r="AF14" s="1397"/>
      <c r="AG14" s="1397"/>
      <c r="AH14" s="1397"/>
      <c r="AI14" s="1397"/>
      <c r="AJ14" s="1397"/>
      <c r="AK14" s="1397"/>
      <c r="AL14" s="1397"/>
      <c r="AM14" s="1397"/>
      <c r="AN14" s="1397"/>
      <c r="AO14" s="1397"/>
      <c r="AQ14" s="1397"/>
      <c r="AS14" s="1397"/>
    </row>
    <row r="15" spans="1:45">
      <c r="A15" s="1379" t="s">
        <v>602</v>
      </c>
      <c r="B15" s="1379" t="s">
        <v>6</v>
      </c>
      <c r="C15" s="1387">
        <v>1997</v>
      </c>
      <c r="E15" s="1387">
        <v>2022</v>
      </c>
      <c r="G15" s="1391">
        <v>14402246</v>
      </c>
      <c r="H15" s="1391"/>
      <c r="I15" s="1391">
        <v>5363270</v>
      </c>
      <c r="K15" s="1397">
        <v>15882789.58</v>
      </c>
      <c r="L15" s="1397"/>
      <c r="M15" s="1397">
        <v>4955949.63</v>
      </c>
      <c r="N15" s="1397"/>
      <c r="O15" s="1397">
        <v>15996664</v>
      </c>
      <c r="P15" s="1397"/>
      <c r="Q15" s="1397">
        <v>4057198</v>
      </c>
      <c r="R15" s="1397"/>
      <c r="S15" s="1397">
        <v>14887861.050000001</v>
      </c>
      <c r="T15" s="1397"/>
      <c r="U15" s="1397">
        <v>3143766.02</v>
      </c>
      <c r="W15" s="1397">
        <v>14508714</v>
      </c>
      <c r="X15" s="1397"/>
      <c r="Y15" s="1397">
        <v>2525816</v>
      </c>
      <c r="Z15" s="1397"/>
      <c r="AA15" s="1397">
        <v>14736251</v>
      </c>
      <c r="AB15" s="1397"/>
      <c r="AC15" s="1397">
        <v>2047370</v>
      </c>
      <c r="AD15" s="1397"/>
      <c r="AE15" s="1397">
        <v>12643037</v>
      </c>
      <c r="AF15" s="1397"/>
      <c r="AG15" s="1397">
        <v>1592780</v>
      </c>
      <c r="AH15" s="1397"/>
      <c r="AI15" s="1397">
        <v>12211777</v>
      </c>
      <c r="AJ15" s="1397"/>
      <c r="AK15" s="1397">
        <v>1102502</v>
      </c>
      <c r="AL15" s="1397"/>
      <c r="AM15" s="1397">
        <v>10440575</v>
      </c>
      <c r="AN15" s="1397"/>
      <c r="AO15" s="1397">
        <v>656918</v>
      </c>
      <c r="AQ15" s="1397">
        <v>6743375.5099999998</v>
      </c>
      <c r="AS15" s="1397">
        <v>302387.62</v>
      </c>
    </row>
    <row r="16" spans="1:45">
      <c r="A16" s="1379" t="s">
        <v>603</v>
      </c>
      <c r="B16" s="1379" t="s">
        <v>6</v>
      </c>
      <c r="C16" s="1387">
        <v>1998</v>
      </c>
      <c r="E16" s="1387">
        <v>2015</v>
      </c>
      <c r="G16" s="1391">
        <v>37576637</v>
      </c>
      <c r="H16" s="1391"/>
      <c r="I16" s="1391">
        <v>9253559</v>
      </c>
      <c r="K16" s="1397">
        <v>39614549.310000002</v>
      </c>
      <c r="L16" s="1397"/>
      <c r="M16" s="1397">
        <v>7238956.3499999996</v>
      </c>
      <c r="N16" s="1397"/>
      <c r="O16" s="1397">
        <v>33540365</v>
      </c>
      <c r="P16" s="1397"/>
      <c r="Q16" s="1397">
        <v>4758315</v>
      </c>
      <c r="R16" s="1397"/>
      <c r="S16" s="1397">
        <v>26522788.550000001</v>
      </c>
      <c r="T16" s="1397"/>
      <c r="U16" s="1397">
        <v>2803834.94</v>
      </c>
      <c r="W16" s="1397">
        <v>20904914</v>
      </c>
      <c r="X16" s="1397"/>
      <c r="Y16" s="1397">
        <v>1780093</v>
      </c>
      <c r="Z16" s="1397"/>
      <c r="AA16" s="1397">
        <v>15195455</v>
      </c>
      <c r="AB16" s="1397"/>
      <c r="AC16" s="1397">
        <v>982335</v>
      </c>
      <c r="AD16" s="1397"/>
      <c r="AE16" s="1397">
        <v>9109125</v>
      </c>
      <c r="AF16" s="1397"/>
      <c r="AG16" s="1397">
        <v>436578</v>
      </c>
      <c r="AH16" s="1397"/>
      <c r="AI16" s="1397">
        <v>3447572</v>
      </c>
      <c r="AJ16" s="1397"/>
      <c r="AK16" s="1397">
        <v>64376</v>
      </c>
      <c r="AL16" s="1397"/>
      <c r="AM16" s="1397">
        <v>7932</v>
      </c>
      <c r="AN16" s="1397"/>
      <c r="AO16" s="1397">
        <v>377</v>
      </c>
      <c r="AQ16" s="1397">
        <v>0</v>
      </c>
      <c r="AS16" s="1397">
        <v>0</v>
      </c>
    </row>
    <row r="17" spans="1:45">
      <c r="A17" s="1379" t="s">
        <v>604</v>
      </c>
      <c r="B17" s="1379" t="s">
        <v>6</v>
      </c>
      <c r="C17" s="1387">
        <v>1997</v>
      </c>
      <c r="E17" s="1387">
        <v>2045</v>
      </c>
      <c r="G17" s="1391">
        <v>17763638</v>
      </c>
      <c r="H17" s="1391"/>
      <c r="I17" s="1391">
        <v>18596717</v>
      </c>
      <c r="K17" s="1397">
        <v>19054376.920000002</v>
      </c>
      <c r="L17" s="1397"/>
      <c r="M17" s="1397">
        <v>18737795.949999999</v>
      </c>
      <c r="N17" s="1397"/>
      <c r="O17" s="1397">
        <v>21276439</v>
      </c>
      <c r="P17" s="1397"/>
      <c r="Q17" s="1397">
        <v>18478671</v>
      </c>
      <c r="R17" s="1397"/>
      <c r="S17" s="1397">
        <v>23574084.07</v>
      </c>
      <c r="T17" s="1397"/>
      <c r="U17" s="1397">
        <v>15642941.34</v>
      </c>
      <c r="W17" s="1397">
        <v>27515255</v>
      </c>
      <c r="X17" s="1397"/>
      <c r="Y17" s="1397">
        <v>17843809</v>
      </c>
      <c r="Z17" s="1397"/>
      <c r="AA17" s="1397">
        <v>25584706</v>
      </c>
      <c r="AB17" s="1397"/>
      <c r="AC17" s="1397">
        <v>17694260</v>
      </c>
      <c r="AD17" s="1397"/>
      <c r="AE17" s="1397">
        <v>27069670</v>
      </c>
      <c r="AF17" s="1397"/>
      <c r="AG17" s="1397">
        <v>17361198</v>
      </c>
      <c r="AH17" s="1397"/>
      <c r="AI17" s="1397">
        <v>28732807</v>
      </c>
      <c r="AJ17" s="1397"/>
      <c r="AK17" s="1397">
        <v>16353261</v>
      </c>
      <c r="AL17" s="1397"/>
      <c r="AM17" s="1397">
        <v>25355095</v>
      </c>
      <c r="AN17" s="1397"/>
      <c r="AO17" s="1397">
        <v>16532868</v>
      </c>
      <c r="AQ17" s="1397">
        <v>26882315.890000001</v>
      </c>
      <c r="AS17" s="1397">
        <v>15292838.51</v>
      </c>
    </row>
    <row r="18" spans="1:45">
      <c r="A18" s="1379" t="s">
        <v>605</v>
      </c>
      <c r="B18" s="1379" t="s">
        <v>6</v>
      </c>
      <c r="C18" s="1387">
        <v>1999</v>
      </c>
      <c r="E18" s="1387">
        <v>2040</v>
      </c>
      <c r="G18" s="1391">
        <v>10304809</v>
      </c>
      <c r="H18" s="1391"/>
      <c r="I18" s="1391">
        <v>4385363</v>
      </c>
      <c r="K18" s="1397">
        <v>10989822.859999999</v>
      </c>
      <c r="L18" s="1397"/>
      <c r="M18" s="1397">
        <v>4316189.8</v>
      </c>
      <c r="N18" s="1397"/>
      <c r="O18" s="1397">
        <v>11443816</v>
      </c>
      <c r="P18" s="1397"/>
      <c r="Q18" s="1397">
        <v>3483526</v>
      </c>
      <c r="R18" s="1397"/>
      <c r="S18" s="1397">
        <v>12425758.050000001</v>
      </c>
      <c r="T18" s="1397"/>
      <c r="U18" s="1397">
        <v>2387168.56</v>
      </c>
      <c r="W18" s="1397">
        <v>13092695</v>
      </c>
      <c r="X18" s="1397"/>
      <c r="Y18" s="1397">
        <v>2245038</v>
      </c>
      <c r="Z18" s="1397"/>
      <c r="AA18" s="1397">
        <v>11780361</v>
      </c>
      <c r="AB18" s="1397"/>
      <c r="AC18" s="1397">
        <v>1919064</v>
      </c>
      <c r="AD18" s="1397"/>
      <c r="AE18" s="1397">
        <v>11039456</v>
      </c>
      <c r="AF18" s="1397"/>
      <c r="AG18" s="1397">
        <v>1629009</v>
      </c>
      <c r="AH18" s="1397"/>
      <c r="AI18" s="1397">
        <v>9416589</v>
      </c>
      <c r="AJ18" s="1397"/>
      <c r="AK18" s="1397">
        <v>1263579</v>
      </c>
      <c r="AL18" s="1397"/>
      <c r="AM18" s="1397">
        <v>5417017</v>
      </c>
      <c r="AN18" s="1397"/>
      <c r="AO18" s="1397">
        <v>1063746</v>
      </c>
      <c r="AQ18" s="1397">
        <v>5684197.6699999999</v>
      </c>
      <c r="AS18" s="1397">
        <v>777868.31</v>
      </c>
    </row>
    <row r="19" spans="1:45">
      <c r="A19" s="1379" t="s">
        <v>606</v>
      </c>
      <c r="B19" s="1379" t="s">
        <v>6</v>
      </c>
      <c r="C19" s="1387">
        <v>1998</v>
      </c>
      <c r="E19" s="1387">
        <v>2035</v>
      </c>
      <c r="G19" s="1391">
        <v>2817978</v>
      </c>
      <c r="H19" s="1391"/>
      <c r="I19" s="1391">
        <v>1260124</v>
      </c>
      <c r="K19" s="1397">
        <v>4153956.23</v>
      </c>
      <c r="L19" s="1397"/>
      <c r="M19" s="1397">
        <v>1817309.69</v>
      </c>
      <c r="N19" s="1397"/>
      <c r="O19" s="1397">
        <v>5341624</v>
      </c>
      <c r="P19" s="1397"/>
      <c r="Q19" s="1397">
        <v>2088664</v>
      </c>
      <c r="R19" s="1397"/>
      <c r="S19" s="1397">
        <v>7749049.1600000001</v>
      </c>
      <c r="T19" s="1397"/>
      <c r="U19" s="1397">
        <v>3109730.87</v>
      </c>
      <c r="W19" s="1397">
        <v>8886205</v>
      </c>
      <c r="X19" s="1397"/>
      <c r="Y19" s="1397">
        <v>3577987</v>
      </c>
      <c r="Z19" s="1397"/>
      <c r="AA19" s="1397">
        <v>10127430</v>
      </c>
      <c r="AB19" s="1397"/>
      <c r="AC19" s="1397">
        <v>3683712</v>
      </c>
      <c r="AD19" s="1397"/>
      <c r="AE19" s="1397">
        <v>11350173</v>
      </c>
      <c r="AF19" s="1397"/>
      <c r="AG19" s="1397">
        <v>4010003</v>
      </c>
      <c r="AH19" s="1397"/>
      <c r="AI19" s="1397">
        <v>11328773</v>
      </c>
      <c r="AJ19" s="1397"/>
      <c r="AK19" s="1397">
        <v>3724766</v>
      </c>
      <c r="AL19" s="1397"/>
      <c r="AM19" s="1397">
        <v>11780068</v>
      </c>
      <c r="AN19" s="1397"/>
      <c r="AO19" s="1397">
        <v>3352018</v>
      </c>
      <c r="AQ19" s="1397">
        <v>12340510.199999999</v>
      </c>
      <c r="AS19" s="1397">
        <v>3768087.51</v>
      </c>
    </row>
    <row r="20" spans="1:45">
      <c r="A20" s="1385" t="s">
        <v>607</v>
      </c>
      <c r="C20" s="1387"/>
      <c r="E20" s="1387"/>
      <c r="G20" s="1391"/>
      <c r="H20" s="1391"/>
      <c r="I20" s="1391"/>
      <c r="K20" s="1397"/>
      <c r="L20" s="1397"/>
      <c r="M20" s="1397"/>
      <c r="N20" s="1397"/>
      <c r="O20" s="1397"/>
      <c r="P20" s="1397"/>
      <c r="Q20" s="1397"/>
      <c r="R20" s="1397"/>
      <c r="S20" s="1397"/>
      <c r="T20" s="1397"/>
      <c r="U20" s="1397"/>
      <c r="W20" s="1397"/>
      <c r="X20" s="1397"/>
      <c r="Y20" s="1397"/>
      <c r="Z20" s="1397"/>
      <c r="AA20" s="1397"/>
      <c r="AB20" s="1397"/>
      <c r="AC20" s="1397"/>
      <c r="AD20" s="1397"/>
      <c r="AE20" s="1397"/>
      <c r="AF20" s="1397"/>
      <c r="AG20" s="1397"/>
      <c r="AH20" s="1397"/>
      <c r="AI20" s="1397"/>
      <c r="AJ20" s="1397"/>
      <c r="AK20" s="1397"/>
      <c r="AL20" s="1397"/>
      <c r="AM20" s="1397"/>
      <c r="AN20" s="1397"/>
      <c r="AO20" s="1397"/>
      <c r="AQ20" s="1397"/>
      <c r="AS20" s="1397"/>
    </row>
    <row r="21" spans="1:45">
      <c r="A21" s="1379" t="s">
        <v>608</v>
      </c>
      <c r="B21" s="1379" t="s">
        <v>6</v>
      </c>
      <c r="C21" s="1387">
        <v>1981</v>
      </c>
      <c r="E21" s="1387">
        <v>1995</v>
      </c>
      <c r="G21" s="1392">
        <v>0</v>
      </c>
      <c r="H21" s="1391"/>
      <c r="I21" s="1392">
        <v>0</v>
      </c>
      <c r="K21" s="1398">
        <v>0</v>
      </c>
      <c r="L21" s="1397"/>
      <c r="M21" s="1398">
        <v>0</v>
      </c>
      <c r="N21" s="1397"/>
      <c r="O21" s="1398">
        <v>0</v>
      </c>
      <c r="P21" s="1397"/>
      <c r="Q21" s="1398">
        <v>0</v>
      </c>
      <c r="R21" s="1397"/>
      <c r="S21" s="1398">
        <v>0</v>
      </c>
      <c r="T21" s="1397"/>
      <c r="U21" s="1398">
        <v>0</v>
      </c>
      <c r="W21" s="1398">
        <v>0</v>
      </c>
      <c r="X21" s="1397"/>
      <c r="Y21" s="1398">
        <v>0</v>
      </c>
      <c r="Z21" s="1397"/>
      <c r="AA21" s="1398">
        <v>0</v>
      </c>
      <c r="AB21" s="1397"/>
      <c r="AC21" s="1398">
        <v>0</v>
      </c>
      <c r="AD21" s="1397"/>
      <c r="AE21" s="1398">
        <v>0</v>
      </c>
      <c r="AF21" s="1397"/>
      <c r="AG21" s="1398">
        <v>0</v>
      </c>
      <c r="AH21" s="1397"/>
      <c r="AI21" s="1398">
        <v>0</v>
      </c>
      <c r="AJ21" s="1397"/>
      <c r="AK21" s="1398">
        <v>0</v>
      </c>
      <c r="AL21" s="1397"/>
      <c r="AM21" s="1398">
        <v>0</v>
      </c>
      <c r="AN21" s="1397"/>
      <c r="AO21" s="1398">
        <v>0</v>
      </c>
      <c r="AQ21" s="1398">
        <v>0</v>
      </c>
      <c r="AS21" s="1398">
        <v>0</v>
      </c>
    </row>
    <row r="22" spans="1:45">
      <c r="A22" s="1379" t="s">
        <v>609</v>
      </c>
      <c r="B22" s="1379" t="s">
        <v>6</v>
      </c>
      <c r="C22" s="1387">
        <v>1981</v>
      </c>
      <c r="E22" s="1387">
        <v>2033</v>
      </c>
      <c r="G22" s="1391">
        <v>4653002</v>
      </c>
      <c r="H22" s="1391"/>
      <c r="I22" s="1391">
        <v>1721880</v>
      </c>
      <c r="K22" s="1397">
        <v>4461421.6900000004</v>
      </c>
      <c r="L22" s="1397"/>
      <c r="M22" s="1397">
        <v>1612855.24</v>
      </c>
      <c r="N22" s="1397"/>
      <c r="O22" s="1397">
        <v>4388022</v>
      </c>
      <c r="P22" s="1397"/>
      <c r="Q22" s="1397">
        <v>1384635</v>
      </c>
      <c r="R22" s="1397"/>
      <c r="S22" s="1397">
        <v>3812513.3</v>
      </c>
      <c r="T22" s="1397"/>
      <c r="U22" s="1397">
        <v>1165853.98</v>
      </c>
      <c r="W22" s="1397">
        <v>4757324</v>
      </c>
      <c r="X22" s="1397"/>
      <c r="Y22" s="1397">
        <v>942002</v>
      </c>
      <c r="Z22" s="1397"/>
      <c r="AA22" s="1397">
        <v>3703162</v>
      </c>
      <c r="AB22" s="1397"/>
      <c r="AC22" s="1397">
        <v>526891</v>
      </c>
      <c r="AD22" s="1397"/>
      <c r="AE22" s="1397">
        <v>3498079</v>
      </c>
      <c r="AF22" s="1397"/>
      <c r="AG22" s="1397">
        <v>399450</v>
      </c>
      <c r="AH22" s="1397"/>
      <c r="AI22" s="1397">
        <v>3290514</v>
      </c>
      <c r="AJ22" s="1397"/>
      <c r="AK22" s="1397">
        <v>295223</v>
      </c>
      <c r="AL22" s="1397"/>
      <c r="AM22" s="1397">
        <v>1273923</v>
      </c>
      <c r="AN22" s="1397"/>
      <c r="AO22" s="1397">
        <v>273740</v>
      </c>
      <c r="AQ22" s="1397">
        <v>2712050.29</v>
      </c>
      <c r="AS22" s="1397">
        <v>171353.98</v>
      </c>
    </row>
    <row r="23" spans="1:45">
      <c r="A23" s="1385" t="s">
        <v>2612</v>
      </c>
      <c r="C23" s="1387"/>
      <c r="E23" s="1387"/>
      <c r="G23" s="1391"/>
      <c r="H23" s="1391"/>
      <c r="I23" s="1391"/>
      <c r="K23" s="1397"/>
      <c r="L23" s="1397"/>
      <c r="M23" s="1397"/>
      <c r="N23" s="1397"/>
      <c r="O23" s="1397"/>
      <c r="P23" s="1397"/>
      <c r="Q23" s="1397"/>
      <c r="R23" s="1397"/>
      <c r="S23" s="1397"/>
      <c r="T23" s="1397"/>
      <c r="U23" s="1397"/>
      <c r="W23" s="1397"/>
      <c r="X23" s="1397"/>
      <c r="Y23" s="1397"/>
      <c r="Z23" s="1397"/>
      <c r="AA23" s="1397"/>
      <c r="AB23" s="1397"/>
      <c r="AC23" s="1397"/>
      <c r="AD23" s="1397"/>
      <c r="AE23" s="1397"/>
      <c r="AF23" s="1397"/>
      <c r="AG23" s="1397"/>
      <c r="AH23" s="1397"/>
      <c r="AI23" s="1397"/>
      <c r="AJ23" s="1397"/>
      <c r="AK23" s="1397"/>
      <c r="AL23" s="1397"/>
      <c r="AM23" s="1397"/>
      <c r="AN23" s="1397"/>
      <c r="AO23" s="1397"/>
      <c r="AQ23" s="1397"/>
      <c r="AS23" s="1397"/>
    </row>
    <row r="24" spans="1:45">
      <c r="A24" s="1379" t="s">
        <v>610</v>
      </c>
      <c r="B24" s="1379" t="s">
        <v>6</v>
      </c>
      <c r="C24" s="1387">
        <v>1977</v>
      </c>
      <c r="E24" s="1387">
        <v>2021</v>
      </c>
      <c r="G24" s="1391">
        <v>3652497</v>
      </c>
      <c r="H24" s="1391"/>
      <c r="I24" s="1391">
        <v>1382759</v>
      </c>
      <c r="K24" s="1397">
        <v>3607154.48</v>
      </c>
      <c r="L24" s="1397"/>
      <c r="M24" s="1397">
        <v>1228184.3</v>
      </c>
      <c r="N24" s="1397"/>
      <c r="O24" s="1397">
        <v>3775156</v>
      </c>
      <c r="P24" s="1397"/>
      <c r="Q24" s="1397">
        <v>1031090</v>
      </c>
      <c r="R24" s="1397"/>
      <c r="S24" s="1397">
        <v>3333164.51</v>
      </c>
      <c r="T24" s="1397"/>
      <c r="U24" s="1397">
        <v>832198.09</v>
      </c>
      <c r="W24" s="1397">
        <v>3476088</v>
      </c>
      <c r="X24" s="1397"/>
      <c r="Y24" s="1397">
        <v>697123</v>
      </c>
      <c r="Z24" s="1397"/>
      <c r="AA24" s="1397">
        <v>3633186</v>
      </c>
      <c r="AB24" s="1397"/>
      <c r="AC24" s="1397">
        <v>561329</v>
      </c>
      <c r="AD24" s="1397"/>
      <c r="AE24" s="1397">
        <v>3140960</v>
      </c>
      <c r="AF24" s="1397"/>
      <c r="AG24" s="1397">
        <v>438407</v>
      </c>
      <c r="AH24" s="1397"/>
      <c r="AI24" s="1397">
        <v>3100735</v>
      </c>
      <c r="AJ24" s="1397"/>
      <c r="AK24" s="1397">
        <v>297401</v>
      </c>
      <c r="AL24" s="1397"/>
      <c r="AM24" s="1397">
        <v>1797336</v>
      </c>
      <c r="AN24" s="1397"/>
      <c r="AO24" s="1397">
        <v>194137</v>
      </c>
      <c r="AQ24" s="1397">
        <v>2491604.94</v>
      </c>
      <c r="AS24" s="1397">
        <v>86827.17</v>
      </c>
    </row>
    <row r="25" spans="1:45">
      <c r="A25" s="1379" t="s">
        <v>611</v>
      </c>
      <c r="B25" s="1379" t="s">
        <v>6</v>
      </c>
      <c r="C25" s="1387">
        <v>1976</v>
      </c>
      <c r="E25" s="1387">
        <v>2029</v>
      </c>
      <c r="G25" s="1391">
        <v>10844049</v>
      </c>
      <c r="H25" s="1391"/>
      <c r="I25" s="1391">
        <v>2889246</v>
      </c>
      <c r="K25" s="1397">
        <v>9021260.2699999996</v>
      </c>
      <c r="L25" s="1397"/>
      <c r="M25" s="1397">
        <v>2826161.64</v>
      </c>
      <c r="N25" s="1397"/>
      <c r="O25" s="1397">
        <v>9073796</v>
      </c>
      <c r="P25" s="1397"/>
      <c r="Q25" s="1397">
        <v>2413490</v>
      </c>
      <c r="R25" s="1397"/>
      <c r="S25" s="1397">
        <v>7447113.75</v>
      </c>
      <c r="T25" s="1397"/>
      <c r="U25" s="1397">
        <v>1981065.52</v>
      </c>
      <c r="W25" s="1397">
        <v>8197214</v>
      </c>
      <c r="X25" s="1397"/>
      <c r="Y25" s="1397">
        <v>1669435</v>
      </c>
      <c r="Z25" s="1397"/>
      <c r="AA25" s="1397">
        <v>7121195</v>
      </c>
      <c r="AB25" s="1397"/>
      <c r="AC25" s="1397">
        <v>1236074</v>
      </c>
      <c r="AD25" s="1397"/>
      <c r="AE25" s="1397">
        <v>7015543</v>
      </c>
      <c r="AF25" s="1397"/>
      <c r="AG25" s="1397">
        <v>977624</v>
      </c>
      <c r="AH25" s="1397"/>
      <c r="AI25" s="1397">
        <v>6559377</v>
      </c>
      <c r="AJ25" s="1397"/>
      <c r="AK25" s="1397">
        <v>702250</v>
      </c>
      <c r="AL25" s="1397"/>
      <c r="AM25" s="1397">
        <v>3437109</v>
      </c>
      <c r="AN25" s="1397"/>
      <c r="AO25" s="1397">
        <v>489754</v>
      </c>
      <c r="AQ25" s="1397">
        <v>3357286.96</v>
      </c>
      <c r="AS25" s="1397">
        <v>408774.21</v>
      </c>
    </row>
    <row r="26" spans="1:45">
      <c r="A26" s="1379" t="s">
        <v>612</v>
      </c>
      <c r="B26" s="1379" t="s">
        <v>6</v>
      </c>
      <c r="C26" s="1387">
        <v>1976</v>
      </c>
      <c r="E26" s="1387">
        <v>2043</v>
      </c>
      <c r="G26" s="1391">
        <v>18143043</v>
      </c>
      <c r="H26" s="1391"/>
      <c r="I26" s="1391">
        <v>7656629</v>
      </c>
      <c r="K26" s="1397">
        <v>17236299.809999999</v>
      </c>
      <c r="L26" s="1397"/>
      <c r="M26" s="1397">
        <v>7542077.0700000003</v>
      </c>
      <c r="N26" s="1397"/>
      <c r="O26" s="1397">
        <v>17164312</v>
      </c>
      <c r="P26" s="1397"/>
      <c r="Q26" s="1397">
        <v>6622378</v>
      </c>
      <c r="R26" s="1397"/>
      <c r="S26" s="1397">
        <v>13663045.07</v>
      </c>
      <c r="T26" s="1397"/>
      <c r="U26" s="1397">
        <v>5804401.3499999996</v>
      </c>
      <c r="W26" s="1397">
        <v>15270074</v>
      </c>
      <c r="X26" s="1397"/>
      <c r="Y26" s="1397">
        <v>5117574</v>
      </c>
      <c r="Z26" s="1397"/>
      <c r="AA26" s="1397">
        <v>13785658</v>
      </c>
      <c r="AB26" s="1397"/>
      <c r="AC26" s="1397">
        <v>3700533</v>
      </c>
      <c r="AD26" s="1397"/>
      <c r="AE26" s="1397">
        <v>16670711</v>
      </c>
      <c r="AF26" s="1397"/>
      <c r="AG26" s="1397">
        <v>2963331</v>
      </c>
      <c r="AH26" s="1397"/>
      <c r="AI26" s="1397">
        <v>18317279</v>
      </c>
      <c r="AJ26" s="1397"/>
      <c r="AK26" s="1397">
        <v>2152239</v>
      </c>
      <c r="AL26" s="1397"/>
      <c r="AM26" s="1397">
        <v>8371903</v>
      </c>
      <c r="AN26" s="1397"/>
      <c r="AO26" s="1397">
        <v>1855917</v>
      </c>
      <c r="AQ26" s="1397">
        <v>11228183.550000001</v>
      </c>
      <c r="AS26" s="1397">
        <v>1449961.62</v>
      </c>
    </row>
    <row r="27" spans="1:45">
      <c r="A27" s="1385" t="s">
        <v>613</v>
      </c>
      <c r="C27" s="1387"/>
      <c r="E27" s="1387"/>
      <c r="G27" s="1391"/>
      <c r="H27" s="1391"/>
      <c r="I27" s="1391"/>
      <c r="K27" s="1397"/>
      <c r="L27" s="1397"/>
      <c r="M27" s="1397"/>
      <c r="N27" s="1397"/>
      <c r="O27" s="1397"/>
      <c r="P27" s="1397"/>
      <c r="Q27" s="1397"/>
      <c r="R27" s="1397"/>
      <c r="S27" s="1397"/>
      <c r="T27" s="1397"/>
      <c r="U27" s="1397"/>
      <c r="W27" s="1397"/>
      <c r="X27" s="1397"/>
      <c r="Y27" s="1397"/>
      <c r="Z27" s="1397"/>
      <c r="AA27" s="1397"/>
      <c r="AB27" s="1397"/>
      <c r="AC27" s="1397"/>
      <c r="AD27" s="1397"/>
      <c r="AE27" s="1397"/>
      <c r="AF27" s="1397"/>
      <c r="AG27" s="1397"/>
      <c r="AH27" s="1397"/>
      <c r="AI27" s="1397"/>
      <c r="AJ27" s="1397"/>
      <c r="AK27" s="1397"/>
      <c r="AL27" s="1397"/>
      <c r="AM27" s="1397"/>
      <c r="AN27" s="1397"/>
      <c r="AO27" s="1397"/>
      <c r="AQ27" s="1397"/>
      <c r="AS27" s="1397"/>
    </row>
    <row r="28" spans="1:45">
      <c r="A28" s="2171" t="s">
        <v>2613</v>
      </c>
      <c r="B28" s="1379" t="s">
        <v>6</v>
      </c>
      <c r="C28" s="1387">
        <v>1989</v>
      </c>
      <c r="E28" s="1387">
        <v>2035</v>
      </c>
      <c r="G28" s="1391">
        <v>10744549</v>
      </c>
      <c r="H28" s="1391"/>
      <c r="I28" s="1391">
        <v>4174426</v>
      </c>
      <c r="K28" s="1397">
        <v>12681754.73</v>
      </c>
      <c r="L28" s="1397"/>
      <c r="M28" s="1397">
        <v>3755550.81</v>
      </c>
      <c r="N28" s="1397"/>
      <c r="O28" s="1397">
        <v>12544326</v>
      </c>
      <c r="P28" s="1397"/>
      <c r="Q28" s="1397">
        <v>2952220</v>
      </c>
      <c r="R28" s="1397"/>
      <c r="S28" s="1397">
        <v>14674180.92</v>
      </c>
      <c r="T28" s="1397"/>
      <c r="U28" s="1397">
        <v>1996678.57</v>
      </c>
      <c r="W28" s="1397">
        <v>6108064</v>
      </c>
      <c r="X28" s="1397"/>
      <c r="Y28" s="1397">
        <v>1618094</v>
      </c>
      <c r="Z28" s="1397"/>
      <c r="AA28" s="1397">
        <v>6038641</v>
      </c>
      <c r="AB28" s="1397"/>
      <c r="AC28" s="1397">
        <v>1289450</v>
      </c>
      <c r="AD28" s="1397"/>
      <c r="AE28" s="1397">
        <v>6927201</v>
      </c>
      <c r="AF28" s="1397"/>
      <c r="AG28" s="1397">
        <v>1089955</v>
      </c>
      <c r="AH28" s="1397"/>
      <c r="AI28" s="1397">
        <v>4431460</v>
      </c>
      <c r="AJ28" s="1397"/>
      <c r="AK28" s="1397">
        <v>825329</v>
      </c>
      <c r="AL28" s="1397"/>
      <c r="AM28" s="1397">
        <v>3046876</v>
      </c>
      <c r="AN28" s="1397"/>
      <c r="AO28" s="1397">
        <v>736483</v>
      </c>
      <c r="AQ28" s="1397">
        <v>4547719.8099999996</v>
      </c>
      <c r="AS28" s="1397">
        <v>538920.32999999996</v>
      </c>
    </row>
    <row r="29" spans="1:45">
      <c r="A29" s="1379" t="s">
        <v>614</v>
      </c>
      <c r="B29" s="1379" t="s">
        <v>6</v>
      </c>
      <c r="C29" s="1387">
        <v>1989</v>
      </c>
      <c r="E29" s="1387">
        <v>2033</v>
      </c>
      <c r="G29" s="1391">
        <v>54888038</v>
      </c>
      <c r="H29" s="1391"/>
      <c r="I29" s="1391">
        <v>27244214</v>
      </c>
      <c r="K29" s="1397">
        <v>54520571.479999997</v>
      </c>
      <c r="L29" s="1397"/>
      <c r="M29" s="1397">
        <v>25397214.16</v>
      </c>
      <c r="N29" s="1397"/>
      <c r="O29" s="1397">
        <v>56202570</v>
      </c>
      <c r="P29" s="1397"/>
      <c r="Q29" s="1397">
        <v>19748632</v>
      </c>
      <c r="R29" s="1397"/>
      <c r="S29" s="1397">
        <v>56457669.469999999</v>
      </c>
      <c r="T29" s="1397"/>
      <c r="U29" s="1397">
        <v>14912486.050000001</v>
      </c>
      <c r="W29" s="1397">
        <v>57045834</v>
      </c>
      <c r="X29" s="1397"/>
      <c r="Y29" s="1397">
        <v>16929358</v>
      </c>
      <c r="Z29" s="1397"/>
      <c r="AA29" s="1397">
        <v>61518957</v>
      </c>
      <c r="AB29" s="1397"/>
      <c r="AC29" s="1397">
        <v>14785149</v>
      </c>
      <c r="AD29" s="1397"/>
      <c r="AE29" s="1397">
        <v>50032595</v>
      </c>
      <c r="AF29" s="1397"/>
      <c r="AG29" s="1397">
        <v>13468435</v>
      </c>
      <c r="AH29" s="1397"/>
      <c r="AI29" s="1397">
        <v>51812599</v>
      </c>
      <c r="AJ29" s="1397"/>
      <c r="AK29" s="1397">
        <v>11356614</v>
      </c>
      <c r="AL29" s="1397"/>
      <c r="AM29" s="1397">
        <v>46469128</v>
      </c>
      <c r="AN29" s="1397"/>
      <c r="AO29" s="1397">
        <v>10511030</v>
      </c>
      <c r="AQ29" s="1397">
        <v>46980744.030000001</v>
      </c>
      <c r="AS29" s="1397">
        <v>8122623.6399999997</v>
      </c>
    </row>
    <row r="30" spans="1:45">
      <c r="A30" s="1385" t="s">
        <v>1303</v>
      </c>
      <c r="B30" s="1379" t="s">
        <v>6</v>
      </c>
      <c r="C30" s="1387">
        <v>1959</v>
      </c>
      <c r="E30" s="1387">
        <v>2007</v>
      </c>
      <c r="G30" s="1391">
        <v>270000</v>
      </c>
      <c r="H30" s="1391"/>
      <c r="I30" s="1391">
        <v>13500</v>
      </c>
      <c r="K30" s="1398">
        <v>0</v>
      </c>
      <c r="L30" s="1397"/>
      <c r="M30" s="1398">
        <v>0</v>
      </c>
      <c r="N30" s="1397"/>
      <c r="O30" s="1398">
        <v>0</v>
      </c>
      <c r="P30" s="1397"/>
      <c r="Q30" s="1398">
        <v>0</v>
      </c>
      <c r="R30" s="1397"/>
      <c r="S30" s="1398">
        <v>0</v>
      </c>
      <c r="T30" s="1397"/>
      <c r="U30" s="1398">
        <v>0</v>
      </c>
      <c r="W30" s="1398">
        <v>0</v>
      </c>
      <c r="X30" s="1397"/>
      <c r="Y30" s="1398">
        <v>0</v>
      </c>
      <c r="Z30" s="1397"/>
      <c r="AA30" s="1398">
        <v>0</v>
      </c>
      <c r="AB30" s="1397"/>
      <c r="AC30" s="1398">
        <v>0</v>
      </c>
      <c r="AD30" s="1397"/>
      <c r="AE30" s="1398">
        <v>0</v>
      </c>
      <c r="AF30" s="1397"/>
      <c r="AG30" s="1398">
        <v>0</v>
      </c>
      <c r="AH30" s="1397"/>
      <c r="AI30" s="1398">
        <v>0</v>
      </c>
      <c r="AJ30" s="1397"/>
      <c r="AK30" s="1398">
        <v>0</v>
      </c>
      <c r="AL30" s="1397"/>
      <c r="AM30" s="1398">
        <v>0</v>
      </c>
      <c r="AN30" s="1397"/>
      <c r="AO30" s="1398">
        <v>0</v>
      </c>
      <c r="AQ30" s="1398">
        <v>0</v>
      </c>
      <c r="AS30" s="1398">
        <v>0</v>
      </c>
    </row>
    <row r="31" spans="1:45">
      <c r="A31" s="1385" t="s">
        <v>616</v>
      </c>
      <c r="C31" s="1387"/>
      <c r="E31" s="1387"/>
      <c r="G31" s="1391"/>
      <c r="H31" s="1391"/>
      <c r="I31" s="1391"/>
      <c r="K31" s="1397"/>
      <c r="L31" s="1397"/>
      <c r="M31" s="1397"/>
      <c r="N31" s="1397"/>
      <c r="O31" s="1397"/>
      <c r="P31" s="1397"/>
      <c r="Q31" s="1397"/>
      <c r="R31" s="1397"/>
      <c r="S31" s="1397"/>
      <c r="T31" s="1397"/>
      <c r="U31" s="1397"/>
      <c r="W31" s="1397"/>
      <c r="X31" s="1397"/>
      <c r="Y31" s="1397"/>
      <c r="Z31" s="1397"/>
      <c r="AA31" s="1397"/>
      <c r="AB31" s="1397"/>
      <c r="AC31" s="1397"/>
      <c r="AD31" s="1397"/>
      <c r="AE31" s="1397"/>
      <c r="AF31" s="1397"/>
      <c r="AG31" s="1397"/>
      <c r="AH31" s="1397"/>
      <c r="AI31" s="1397"/>
      <c r="AJ31" s="1397"/>
      <c r="AK31" s="1397"/>
      <c r="AL31" s="1397"/>
      <c r="AM31" s="1397"/>
      <c r="AN31" s="1397"/>
      <c r="AO31" s="1397"/>
      <c r="AQ31" s="1397"/>
      <c r="AS31" s="1397"/>
    </row>
    <row r="32" spans="1:45">
      <c r="A32" s="1379" t="s">
        <v>617</v>
      </c>
      <c r="B32" s="1379" t="s">
        <v>6</v>
      </c>
      <c r="C32" s="1387">
        <v>1941</v>
      </c>
      <c r="E32" s="1387">
        <v>2024</v>
      </c>
      <c r="G32" s="1391">
        <v>12648431</v>
      </c>
      <c r="H32" s="1391"/>
      <c r="I32" s="1391">
        <v>2859644</v>
      </c>
      <c r="K32" s="1399">
        <v>10461765.449999999</v>
      </c>
      <c r="L32" s="1397"/>
      <c r="M32" s="1397">
        <v>2455948.34</v>
      </c>
      <c r="N32" s="1397"/>
      <c r="O32" s="1399">
        <v>10471572</v>
      </c>
      <c r="P32" s="1397"/>
      <c r="Q32" s="1397">
        <v>2089381</v>
      </c>
      <c r="R32" s="1397"/>
      <c r="S32" s="1399">
        <v>10361326.17</v>
      </c>
      <c r="T32" s="1397"/>
      <c r="U32" s="1397">
        <v>1736068.54</v>
      </c>
      <c r="W32" s="1399">
        <v>7619253</v>
      </c>
      <c r="X32" s="1397"/>
      <c r="Y32" s="1397">
        <v>1412401</v>
      </c>
      <c r="Z32" s="1397"/>
      <c r="AA32" s="1399">
        <v>7149472</v>
      </c>
      <c r="AB32" s="1397"/>
      <c r="AC32" s="1397">
        <v>1141010</v>
      </c>
      <c r="AD32" s="1397"/>
      <c r="AE32" s="1399">
        <v>5935000</v>
      </c>
      <c r="AF32" s="1397"/>
      <c r="AG32" s="1397">
        <v>967650</v>
      </c>
      <c r="AH32" s="1397"/>
      <c r="AI32" s="1399">
        <v>4765000</v>
      </c>
      <c r="AJ32" s="1397"/>
      <c r="AK32" s="1397">
        <v>822050</v>
      </c>
      <c r="AL32" s="1397"/>
      <c r="AM32" s="1399">
        <v>3770000</v>
      </c>
      <c r="AN32" s="1397"/>
      <c r="AO32" s="1397">
        <v>698100</v>
      </c>
      <c r="AQ32" s="1399">
        <v>3770000</v>
      </c>
      <c r="AS32" s="1399">
        <v>584100</v>
      </c>
    </row>
    <row r="33" spans="1:45">
      <c r="A33" s="1379" t="s">
        <v>618</v>
      </c>
      <c r="B33" s="1379" t="s">
        <v>6</v>
      </c>
      <c r="C33" s="1387">
        <v>1957</v>
      </c>
      <c r="E33" s="1387">
        <v>2023</v>
      </c>
      <c r="G33" s="1391">
        <v>4363000</v>
      </c>
      <c r="H33" s="1391"/>
      <c r="I33" s="1391">
        <v>2631872</v>
      </c>
      <c r="K33" s="1399">
        <v>4542000</v>
      </c>
      <c r="L33" s="1397"/>
      <c r="M33" s="1397">
        <v>2454757.5</v>
      </c>
      <c r="N33" s="1397"/>
      <c r="O33" s="1399">
        <v>4733000</v>
      </c>
      <c r="P33" s="1397"/>
      <c r="Q33" s="1397">
        <v>2269755</v>
      </c>
      <c r="R33" s="1397"/>
      <c r="S33" s="1399">
        <v>4925000</v>
      </c>
      <c r="T33" s="1397"/>
      <c r="U33" s="1397">
        <v>2076600</v>
      </c>
      <c r="W33" s="1399">
        <v>5123000</v>
      </c>
      <c r="X33" s="1397"/>
      <c r="Y33" s="1397">
        <v>1875053</v>
      </c>
      <c r="Z33" s="1397"/>
      <c r="AA33" s="1399">
        <v>5344000</v>
      </c>
      <c r="AB33" s="1397"/>
      <c r="AC33" s="1397">
        <v>751158</v>
      </c>
      <c r="AD33" s="1397"/>
      <c r="AE33" s="1399">
        <v>4415000</v>
      </c>
      <c r="AF33" s="1397"/>
      <c r="AG33" s="1397">
        <v>685251</v>
      </c>
      <c r="AH33" s="1397"/>
      <c r="AI33" s="1399">
        <v>4720000</v>
      </c>
      <c r="AJ33" s="1397"/>
      <c r="AK33" s="1397">
        <v>643526</v>
      </c>
      <c r="AL33" s="1397"/>
      <c r="AM33" s="1399">
        <v>4740000</v>
      </c>
      <c r="AN33" s="1397"/>
      <c r="AO33" s="1397">
        <v>578230</v>
      </c>
      <c r="AQ33" s="1399">
        <v>3310000</v>
      </c>
      <c r="AS33" s="1399">
        <v>503900</v>
      </c>
    </row>
    <row r="34" spans="1:45">
      <c r="A34" s="1379" t="s">
        <v>619</v>
      </c>
      <c r="B34" s="1379" t="s">
        <v>6</v>
      </c>
      <c r="C34" s="1387">
        <v>1957</v>
      </c>
      <c r="E34" s="1387">
        <v>2009</v>
      </c>
      <c r="G34" s="1391">
        <v>31709</v>
      </c>
      <c r="H34" s="1391"/>
      <c r="I34" s="1391">
        <v>2036</v>
      </c>
      <c r="K34" s="1399">
        <v>10462.57</v>
      </c>
      <c r="L34" s="1397"/>
      <c r="M34" s="1397">
        <v>871.45</v>
      </c>
      <c r="N34" s="1397"/>
      <c r="O34" s="1399">
        <v>10284</v>
      </c>
      <c r="P34" s="1397"/>
      <c r="Q34" s="1397">
        <v>289</v>
      </c>
      <c r="R34" s="1397"/>
      <c r="S34" s="1398">
        <v>0</v>
      </c>
      <c r="T34" s="1397"/>
      <c r="U34" s="1398">
        <v>0</v>
      </c>
      <c r="W34" s="1398">
        <v>0</v>
      </c>
      <c r="X34" s="1397"/>
      <c r="Y34" s="1398">
        <v>0</v>
      </c>
      <c r="Z34" s="1397"/>
      <c r="AA34" s="1398">
        <v>0</v>
      </c>
      <c r="AB34" s="1397"/>
      <c r="AC34" s="1398">
        <v>0</v>
      </c>
      <c r="AD34" s="1397"/>
      <c r="AE34" s="1398">
        <v>0</v>
      </c>
      <c r="AF34" s="1397"/>
      <c r="AG34" s="1398">
        <v>0</v>
      </c>
      <c r="AH34" s="1397"/>
      <c r="AI34" s="1398">
        <v>0</v>
      </c>
      <c r="AJ34" s="1397"/>
      <c r="AK34" s="1398">
        <v>0</v>
      </c>
      <c r="AL34" s="1397"/>
      <c r="AM34" s="1398">
        <v>0</v>
      </c>
      <c r="AN34" s="1397"/>
      <c r="AO34" s="1398">
        <v>0</v>
      </c>
      <c r="AQ34" s="1398">
        <v>0</v>
      </c>
      <c r="AS34" s="1398">
        <v>0</v>
      </c>
    </row>
    <row r="35" spans="1:45">
      <c r="A35" s="1385" t="s">
        <v>1304</v>
      </c>
      <c r="B35" s="1379" t="s">
        <v>6</v>
      </c>
      <c r="C35" s="1387">
        <v>1970</v>
      </c>
      <c r="E35" s="1387">
        <v>2010</v>
      </c>
      <c r="G35" s="1391">
        <v>78803</v>
      </c>
      <c r="H35" s="1391"/>
      <c r="I35" s="1391">
        <v>17230</v>
      </c>
      <c r="K35" s="1399">
        <v>105639.14</v>
      </c>
      <c r="L35" s="1397"/>
      <c r="M35" s="1397">
        <v>12338.36</v>
      </c>
      <c r="N35" s="1397"/>
      <c r="O35" s="1399">
        <v>100207</v>
      </c>
      <c r="P35" s="1397"/>
      <c r="Q35" s="1397">
        <v>6893</v>
      </c>
      <c r="R35" s="1397"/>
      <c r="S35" s="1399">
        <v>30318</v>
      </c>
      <c r="T35" s="1397"/>
      <c r="U35" s="1397">
        <v>1637.18</v>
      </c>
      <c r="W35" s="1398">
        <v>0</v>
      </c>
      <c r="X35" s="1397"/>
      <c r="Y35" s="1398">
        <v>0</v>
      </c>
      <c r="Z35" s="1397"/>
      <c r="AA35" s="1398">
        <v>0</v>
      </c>
      <c r="AB35" s="1397"/>
      <c r="AC35" s="1398">
        <v>0</v>
      </c>
      <c r="AD35" s="1397"/>
      <c r="AE35" s="1398">
        <v>0</v>
      </c>
      <c r="AF35" s="1397"/>
      <c r="AG35" s="1398">
        <v>0</v>
      </c>
      <c r="AH35" s="1397"/>
      <c r="AI35" s="1398">
        <v>0</v>
      </c>
      <c r="AJ35" s="1397"/>
      <c r="AK35" s="1398">
        <v>0</v>
      </c>
      <c r="AL35" s="1397"/>
      <c r="AM35" s="1398">
        <v>0</v>
      </c>
      <c r="AN35" s="1397"/>
      <c r="AO35" s="1398">
        <v>0</v>
      </c>
      <c r="AQ35" s="1398">
        <v>0</v>
      </c>
      <c r="AS35" s="1398">
        <v>0</v>
      </c>
    </row>
    <row r="36" spans="1:45">
      <c r="A36" s="1385" t="s">
        <v>1305</v>
      </c>
      <c r="B36" s="1379" t="s">
        <v>6</v>
      </c>
      <c r="C36" s="1387">
        <v>1959</v>
      </c>
      <c r="E36" s="1387">
        <v>2018</v>
      </c>
      <c r="G36" s="1391">
        <v>31836</v>
      </c>
      <c r="H36" s="1391"/>
      <c r="I36" s="1391">
        <v>2218</v>
      </c>
      <c r="K36" s="1400">
        <v>5388.48</v>
      </c>
      <c r="L36" s="1397"/>
      <c r="M36" s="1397">
        <v>1226.53</v>
      </c>
      <c r="N36" s="1397"/>
      <c r="O36" s="1400">
        <v>7717</v>
      </c>
      <c r="P36" s="1397"/>
      <c r="Q36" s="1397">
        <v>1868</v>
      </c>
      <c r="R36" s="1397"/>
      <c r="S36" s="1400">
        <v>7168.61</v>
      </c>
      <c r="T36" s="1397"/>
      <c r="U36" s="1397">
        <v>1609.32</v>
      </c>
      <c r="W36" s="1399">
        <v>7783</v>
      </c>
      <c r="X36" s="1397"/>
      <c r="Y36" s="1397">
        <v>1250</v>
      </c>
      <c r="Z36" s="1397"/>
      <c r="AA36" s="1399">
        <v>12605</v>
      </c>
      <c r="AB36" s="1397"/>
      <c r="AC36" s="1397">
        <v>874</v>
      </c>
      <c r="AD36" s="1397"/>
      <c r="AE36" s="1399">
        <v>2601</v>
      </c>
      <c r="AF36" s="1397"/>
      <c r="AG36" s="1397">
        <v>685</v>
      </c>
      <c r="AH36" s="1397"/>
      <c r="AI36" s="1399">
        <v>2787</v>
      </c>
      <c r="AJ36" s="1397"/>
      <c r="AK36" s="1397">
        <v>581</v>
      </c>
      <c r="AL36" s="1397"/>
      <c r="AM36" s="1399">
        <v>2804</v>
      </c>
      <c r="AN36" s="1397"/>
      <c r="AO36" s="1397">
        <v>483</v>
      </c>
      <c r="AQ36" s="1399">
        <v>2918.6</v>
      </c>
      <c r="AS36" s="1399">
        <v>370.8</v>
      </c>
    </row>
    <row r="37" spans="1:45">
      <c r="A37" s="1385" t="s">
        <v>1306</v>
      </c>
      <c r="B37" s="1379" t="s">
        <v>6</v>
      </c>
      <c r="C37" s="1387">
        <v>1968</v>
      </c>
      <c r="E37" s="1387">
        <v>2043</v>
      </c>
      <c r="G37" s="1391">
        <v>18532927</v>
      </c>
      <c r="H37" s="1391"/>
      <c r="I37" s="1391">
        <v>5627275</v>
      </c>
      <c r="K37" s="1400">
        <v>13379804.800000001</v>
      </c>
      <c r="L37" s="1397"/>
      <c r="M37" s="1397">
        <v>5180404.09</v>
      </c>
      <c r="N37" s="1397"/>
      <c r="O37" s="1400">
        <v>11291284</v>
      </c>
      <c r="P37" s="1397"/>
      <c r="Q37" s="1397">
        <v>4577512</v>
      </c>
      <c r="R37" s="1397"/>
      <c r="S37" s="1400">
        <v>9661084.6999999993</v>
      </c>
      <c r="T37" s="1397"/>
      <c r="U37" s="1397">
        <v>4093915.37</v>
      </c>
      <c r="W37" s="1400">
        <v>9013047</v>
      </c>
      <c r="X37" s="1397"/>
      <c r="Y37" s="1397">
        <v>3691330</v>
      </c>
      <c r="Z37" s="1397"/>
      <c r="AA37" s="1400">
        <v>9585460</v>
      </c>
      <c r="AB37" s="1397"/>
      <c r="AC37" s="1397">
        <v>2912892</v>
      </c>
      <c r="AD37" s="1397"/>
      <c r="AE37" s="1400">
        <v>10178930</v>
      </c>
      <c r="AF37" s="1397"/>
      <c r="AG37" s="1397">
        <v>2518976</v>
      </c>
      <c r="AH37" s="1397"/>
      <c r="AI37" s="1400">
        <v>10965252</v>
      </c>
      <c r="AJ37" s="1397"/>
      <c r="AK37" s="1397">
        <v>1993405</v>
      </c>
      <c r="AL37" s="1397"/>
      <c r="AM37" s="1400">
        <v>6159061</v>
      </c>
      <c r="AN37" s="1397"/>
      <c r="AO37" s="1397">
        <v>1814867</v>
      </c>
      <c r="AQ37" s="1400">
        <v>7447407.9800000004</v>
      </c>
      <c r="AS37" s="1400">
        <v>1423839.1</v>
      </c>
    </row>
    <row r="38" spans="1:45">
      <c r="A38" s="1385" t="s">
        <v>1307</v>
      </c>
      <c r="B38" s="1379" t="s">
        <v>6</v>
      </c>
      <c r="C38" s="1387">
        <v>1977</v>
      </c>
      <c r="E38" s="1387">
        <v>2017</v>
      </c>
      <c r="G38" s="1391">
        <v>6562055</v>
      </c>
      <c r="H38" s="1391"/>
      <c r="I38" s="1391">
        <v>1634527</v>
      </c>
      <c r="K38" s="1397">
        <v>5901567.4500000002</v>
      </c>
      <c r="L38" s="1397"/>
      <c r="M38" s="1397">
        <v>1385409.07</v>
      </c>
      <c r="N38" s="1397"/>
      <c r="O38" s="1397">
        <v>5878403</v>
      </c>
      <c r="P38" s="1397"/>
      <c r="Q38" s="1397">
        <v>1066504</v>
      </c>
      <c r="R38" s="1397"/>
      <c r="S38" s="1397">
        <v>4860550.28</v>
      </c>
      <c r="T38" s="1397"/>
      <c r="U38" s="1397">
        <v>758368.5</v>
      </c>
      <c r="W38" s="1400">
        <v>4024814</v>
      </c>
      <c r="X38" s="1397"/>
      <c r="Y38" s="1397">
        <v>514339</v>
      </c>
      <c r="Z38" s="1397"/>
      <c r="AA38" s="1400">
        <v>2885412</v>
      </c>
      <c r="AB38" s="1397"/>
      <c r="AC38" s="1397">
        <v>264874</v>
      </c>
      <c r="AD38" s="1397"/>
      <c r="AE38" s="1400">
        <v>2043406</v>
      </c>
      <c r="AF38" s="1397"/>
      <c r="AG38" s="1397">
        <v>138739</v>
      </c>
      <c r="AH38" s="1397"/>
      <c r="AI38" s="1400">
        <v>1533034</v>
      </c>
      <c r="AJ38" s="1397"/>
      <c r="AK38" s="1397">
        <v>80838</v>
      </c>
      <c r="AL38" s="1397"/>
      <c r="AM38" s="1400">
        <v>396834</v>
      </c>
      <c r="AN38" s="1397"/>
      <c r="AO38" s="1397">
        <v>45693</v>
      </c>
      <c r="AQ38" s="1400">
        <v>449723.49</v>
      </c>
      <c r="AS38" s="1400">
        <v>26288.73</v>
      </c>
    </row>
    <row r="39" spans="1:45">
      <c r="A39" s="1385" t="s">
        <v>624</v>
      </c>
      <c r="C39" s="1387"/>
      <c r="E39" s="1387"/>
      <c r="G39" s="1391"/>
      <c r="H39" s="1391"/>
      <c r="I39" s="1391"/>
      <c r="K39" s="1397"/>
      <c r="L39" s="1397"/>
      <c r="M39" s="1397"/>
      <c r="N39" s="1397"/>
      <c r="O39" s="1397"/>
      <c r="P39" s="1397"/>
      <c r="Q39" s="1397"/>
      <c r="R39" s="1397"/>
      <c r="S39" s="1397"/>
      <c r="T39" s="1397"/>
      <c r="U39" s="1397"/>
      <c r="W39" s="1397"/>
      <c r="X39" s="1397"/>
      <c r="Y39" s="1397"/>
      <c r="Z39" s="1397"/>
      <c r="AA39" s="1397"/>
      <c r="AB39" s="1397"/>
      <c r="AC39" s="1397"/>
      <c r="AD39" s="1397"/>
      <c r="AE39" s="1397"/>
      <c r="AF39" s="1397"/>
      <c r="AG39" s="1397"/>
      <c r="AH39" s="1397"/>
      <c r="AI39" s="1397"/>
      <c r="AJ39" s="1397"/>
      <c r="AK39" s="1397"/>
      <c r="AL39" s="1397"/>
      <c r="AM39" s="1397"/>
      <c r="AN39" s="1397"/>
      <c r="AO39" s="1397"/>
      <c r="AQ39" s="1397"/>
      <c r="AS39" s="1397"/>
    </row>
    <row r="40" spans="1:45">
      <c r="A40" s="1379" t="s">
        <v>625</v>
      </c>
      <c r="B40" s="1379" t="s">
        <v>6</v>
      </c>
      <c r="C40" s="1387">
        <v>2006</v>
      </c>
      <c r="E40" s="1387">
        <v>2042</v>
      </c>
      <c r="G40" s="1391">
        <v>599946</v>
      </c>
      <c r="H40" s="1391"/>
      <c r="I40" s="1391">
        <v>289204</v>
      </c>
      <c r="K40" s="1397">
        <v>2739682.71</v>
      </c>
      <c r="L40" s="1397"/>
      <c r="M40" s="1397">
        <v>2001372.26</v>
      </c>
      <c r="N40" s="1397"/>
      <c r="O40" s="1397">
        <v>11828414</v>
      </c>
      <c r="P40" s="1397"/>
      <c r="Q40" s="1397">
        <v>7606786</v>
      </c>
      <c r="R40" s="1397"/>
      <c r="S40" s="1397">
        <v>16840573.050000001</v>
      </c>
      <c r="T40" s="1397"/>
      <c r="U40" s="1397">
        <v>13046843.210000001</v>
      </c>
      <c r="W40" s="1397">
        <v>27569401</v>
      </c>
      <c r="X40" s="1397"/>
      <c r="Y40" s="1397">
        <v>21218377</v>
      </c>
      <c r="Z40" s="1397"/>
      <c r="AA40" s="1397">
        <v>34756665</v>
      </c>
      <c r="AB40" s="1397"/>
      <c r="AC40" s="1397">
        <v>28962644</v>
      </c>
      <c r="AD40" s="1397"/>
      <c r="AE40" s="1397">
        <v>39875281</v>
      </c>
      <c r="AF40" s="1397"/>
      <c r="AG40" s="1397">
        <v>33531325</v>
      </c>
      <c r="AH40" s="1397"/>
      <c r="AI40" s="1397">
        <v>46821599</v>
      </c>
      <c r="AJ40" s="1397"/>
      <c r="AK40" s="1397">
        <v>38098806</v>
      </c>
      <c r="AL40" s="1397"/>
      <c r="AM40" s="1397">
        <v>48236187</v>
      </c>
      <c r="AN40" s="1397"/>
      <c r="AO40" s="1397">
        <v>36785952</v>
      </c>
      <c r="AQ40" s="1397">
        <v>53663190.07</v>
      </c>
      <c r="AS40" s="1397">
        <v>38055126.359999999</v>
      </c>
    </row>
    <row r="41" spans="1:45">
      <c r="A41" s="1379" t="s">
        <v>1308</v>
      </c>
      <c r="B41" s="1379" t="s">
        <v>6</v>
      </c>
      <c r="C41" s="1387">
        <v>2009</v>
      </c>
      <c r="E41" s="1387">
        <v>2025</v>
      </c>
      <c r="G41" s="1392">
        <v>0</v>
      </c>
      <c r="H41" s="1391"/>
      <c r="I41" s="1392">
        <v>0</v>
      </c>
      <c r="K41" s="1398">
        <v>0</v>
      </c>
      <c r="L41" s="1397"/>
      <c r="M41" s="1398">
        <v>0</v>
      </c>
      <c r="N41" s="1397"/>
      <c r="O41" s="1398">
        <v>0</v>
      </c>
      <c r="P41" s="1397"/>
      <c r="Q41" s="1398">
        <v>0</v>
      </c>
      <c r="R41" s="1397"/>
      <c r="S41" s="1399">
        <v>607862</v>
      </c>
      <c r="T41" s="1397"/>
      <c r="U41" s="1399">
        <v>275990</v>
      </c>
      <c r="W41" s="1399">
        <v>1261216</v>
      </c>
      <c r="X41" s="1397"/>
      <c r="Y41" s="1399">
        <v>477201</v>
      </c>
      <c r="Z41" s="1397"/>
      <c r="AA41" s="1399">
        <v>1288473</v>
      </c>
      <c r="AB41" s="1397"/>
      <c r="AC41" s="1399">
        <v>455013</v>
      </c>
      <c r="AD41" s="1397"/>
      <c r="AE41" s="1399">
        <v>1674360</v>
      </c>
      <c r="AF41" s="1397"/>
      <c r="AG41" s="1399">
        <v>627868</v>
      </c>
      <c r="AH41" s="1397"/>
      <c r="AI41" s="1399">
        <v>1853459</v>
      </c>
      <c r="AJ41" s="1397"/>
      <c r="AK41" s="1399">
        <v>652102</v>
      </c>
      <c r="AL41" s="1397"/>
      <c r="AM41" s="1399">
        <v>1919404</v>
      </c>
      <c r="AN41" s="1397"/>
      <c r="AO41" s="1399">
        <v>589713</v>
      </c>
      <c r="AQ41" s="1399">
        <v>2473809.85</v>
      </c>
      <c r="AS41" s="1399">
        <v>806690.04</v>
      </c>
    </row>
    <row r="42" spans="1:45">
      <c r="A42" s="1379" t="s">
        <v>1309</v>
      </c>
      <c r="B42" s="1379" t="s">
        <v>6</v>
      </c>
      <c r="C42" s="1387">
        <v>2009</v>
      </c>
      <c r="E42" s="1387">
        <v>2043</v>
      </c>
      <c r="G42" s="1392">
        <v>0</v>
      </c>
      <c r="H42" s="1391"/>
      <c r="I42" s="1392">
        <v>0</v>
      </c>
      <c r="K42" s="1398">
        <v>0</v>
      </c>
      <c r="L42" s="1397"/>
      <c r="M42" s="1398">
        <v>0</v>
      </c>
      <c r="N42" s="1397"/>
      <c r="O42" s="1398">
        <v>0</v>
      </c>
      <c r="P42" s="1397"/>
      <c r="Q42" s="1398">
        <v>0</v>
      </c>
      <c r="R42" s="1397"/>
      <c r="S42" s="1399">
        <v>645134</v>
      </c>
      <c r="T42" s="1397"/>
      <c r="U42" s="1399">
        <v>665354</v>
      </c>
      <c r="W42" s="1399">
        <v>1431412</v>
      </c>
      <c r="X42" s="1397"/>
      <c r="Y42" s="1399">
        <v>1276818</v>
      </c>
      <c r="Z42" s="1397"/>
      <c r="AA42" s="1399">
        <v>1982907</v>
      </c>
      <c r="AB42" s="1397"/>
      <c r="AC42" s="1399">
        <v>1846232</v>
      </c>
      <c r="AD42" s="1397"/>
      <c r="AE42" s="1399">
        <v>2038342</v>
      </c>
      <c r="AF42" s="1397"/>
      <c r="AG42" s="1399">
        <v>1875106</v>
      </c>
      <c r="AH42" s="1397"/>
      <c r="AI42" s="1399">
        <v>2425104</v>
      </c>
      <c r="AJ42" s="1397"/>
      <c r="AK42" s="1399">
        <v>2364454</v>
      </c>
      <c r="AL42" s="1397"/>
      <c r="AM42" s="1399">
        <v>2511284</v>
      </c>
      <c r="AN42" s="1397"/>
      <c r="AO42" s="1399">
        <v>2308409</v>
      </c>
      <c r="AQ42" s="1399">
        <v>2619079.36</v>
      </c>
      <c r="AS42" s="1399">
        <v>2214033.37</v>
      </c>
    </row>
    <row r="43" spans="1:45">
      <c r="A43" s="1379" t="s">
        <v>628</v>
      </c>
      <c r="B43" s="1379" t="s">
        <v>6</v>
      </c>
      <c r="C43" s="1393">
        <v>2007</v>
      </c>
      <c r="E43" s="1393">
        <v>2045</v>
      </c>
      <c r="G43" s="1392">
        <v>0</v>
      </c>
      <c r="H43" s="1391"/>
      <c r="I43" s="1392">
        <v>0</v>
      </c>
      <c r="K43" s="1399">
        <v>68437.61</v>
      </c>
      <c r="L43" s="1400"/>
      <c r="M43" s="1399">
        <v>157347.72</v>
      </c>
      <c r="N43" s="1397"/>
      <c r="O43" s="1399">
        <v>71392</v>
      </c>
      <c r="P43" s="1400"/>
      <c r="Q43" s="1399">
        <v>164357</v>
      </c>
      <c r="R43" s="1397"/>
      <c r="S43" s="1399">
        <v>1129797.6000000001</v>
      </c>
      <c r="T43" s="1400"/>
      <c r="U43" s="1399">
        <v>1699816.15</v>
      </c>
      <c r="W43" s="1399">
        <v>1715052</v>
      </c>
      <c r="X43" s="1400"/>
      <c r="Y43" s="1399">
        <v>2216286</v>
      </c>
      <c r="Z43" s="1397"/>
      <c r="AA43" s="1399">
        <v>2236652</v>
      </c>
      <c r="AB43" s="1400"/>
      <c r="AC43" s="1399">
        <v>3393485</v>
      </c>
      <c r="AD43" s="1397"/>
      <c r="AE43" s="1399">
        <v>2309975</v>
      </c>
      <c r="AF43" s="1400"/>
      <c r="AG43" s="1399">
        <v>3494641</v>
      </c>
      <c r="AH43" s="1397"/>
      <c r="AI43" s="1399">
        <v>2612405</v>
      </c>
      <c r="AJ43" s="1400"/>
      <c r="AK43" s="1399">
        <v>3589764</v>
      </c>
      <c r="AL43" s="1397"/>
      <c r="AM43" s="1399">
        <v>2716588</v>
      </c>
      <c r="AN43" s="1400"/>
      <c r="AO43" s="1399">
        <v>3495470</v>
      </c>
      <c r="AQ43" s="1399">
        <v>3111383.13</v>
      </c>
      <c r="AS43" s="1399">
        <v>3786378.25</v>
      </c>
    </row>
    <row r="44" spans="1:45">
      <c r="A44" s="1379" t="s">
        <v>1310</v>
      </c>
      <c r="B44" s="1379" t="s">
        <v>6</v>
      </c>
      <c r="C44" s="1393">
        <v>2008</v>
      </c>
      <c r="E44" s="1393">
        <v>2021</v>
      </c>
      <c r="G44" s="1392">
        <v>0</v>
      </c>
      <c r="H44" s="1391"/>
      <c r="I44" s="1392">
        <v>0</v>
      </c>
      <c r="K44" s="1398">
        <v>0</v>
      </c>
      <c r="L44" s="1400"/>
      <c r="M44" s="1398">
        <v>0</v>
      </c>
      <c r="N44" s="1397"/>
      <c r="O44" s="1399">
        <v>338907</v>
      </c>
      <c r="P44" s="1400"/>
      <c r="Q44" s="1399">
        <v>131898</v>
      </c>
      <c r="R44" s="1397"/>
      <c r="S44" s="1399">
        <v>1003155.69</v>
      </c>
      <c r="T44" s="1400"/>
      <c r="U44" s="1399">
        <v>422133.57</v>
      </c>
      <c r="W44" s="1399">
        <v>1098450</v>
      </c>
      <c r="X44" s="1400"/>
      <c r="Y44" s="1399">
        <v>425206</v>
      </c>
      <c r="Z44" s="1397"/>
      <c r="AA44" s="1399">
        <v>1491192</v>
      </c>
      <c r="AB44" s="1400"/>
      <c r="AC44" s="1399">
        <v>579552</v>
      </c>
      <c r="AD44" s="1397"/>
      <c r="AE44" s="1399">
        <v>1524394</v>
      </c>
      <c r="AF44" s="1400"/>
      <c r="AG44" s="1399">
        <v>561064</v>
      </c>
      <c r="AH44" s="1397"/>
      <c r="AI44" s="1399">
        <v>1595202</v>
      </c>
      <c r="AJ44" s="1400"/>
      <c r="AK44" s="1399">
        <v>502433</v>
      </c>
      <c r="AL44" s="1397"/>
      <c r="AM44" s="1399">
        <v>1652617</v>
      </c>
      <c r="AN44" s="1400"/>
      <c r="AO44" s="1399">
        <v>433575</v>
      </c>
      <c r="AQ44" s="1399">
        <v>1723729.69</v>
      </c>
      <c r="AS44" s="1399">
        <v>362697.18</v>
      </c>
    </row>
    <row r="45" spans="1:45">
      <c r="A45" s="1379" t="s">
        <v>630</v>
      </c>
      <c r="B45" s="1379" t="s">
        <v>6</v>
      </c>
      <c r="C45" s="1393">
        <v>2006</v>
      </c>
      <c r="E45" s="1393">
        <v>2043</v>
      </c>
      <c r="G45" s="1391">
        <v>1659931</v>
      </c>
      <c r="H45" s="1391"/>
      <c r="I45" s="1391">
        <v>1607452</v>
      </c>
      <c r="K45" s="1400">
        <v>2675580.61</v>
      </c>
      <c r="L45" s="1400"/>
      <c r="M45" s="1400">
        <v>3761327.31</v>
      </c>
      <c r="N45" s="1397"/>
      <c r="O45" s="1400">
        <v>5843788</v>
      </c>
      <c r="P45" s="1400"/>
      <c r="Q45" s="1400">
        <v>5152346</v>
      </c>
      <c r="R45" s="1397"/>
      <c r="S45" s="1400">
        <v>11226443.33</v>
      </c>
      <c r="T45" s="1400"/>
      <c r="U45" s="1400">
        <v>13313862.98</v>
      </c>
      <c r="W45" s="1400">
        <v>17753650</v>
      </c>
      <c r="X45" s="1400"/>
      <c r="Y45" s="1400">
        <v>20050556</v>
      </c>
      <c r="Z45" s="1397"/>
      <c r="AA45" s="1400">
        <v>21930194</v>
      </c>
      <c r="AB45" s="1400"/>
      <c r="AC45" s="1400">
        <v>27956978</v>
      </c>
      <c r="AD45" s="1397"/>
      <c r="AE45" s="1400">
        <v>27585257</v>
      </c>
      <c r="AF45" s="1400"/>
      <c r="AG45" s="1400">
        <v>35749267</v>
      </c>
      <c r="AH45" s="1397"/>
      <c r="AI45" s="1400">
        <v>36650462</v>
      </c>
      <c r="AJ45" s="1400"/>
      <c r="AK45" s="1400">
        <v>40302233</v>
      </c>
      <c r="AL45" s="1397"/>
      <c r="AM45" s="1400">
        <v>37666361</v>
      </c>
      <c r="AN45" s="1400"/>
      <c r="AO45" s="1400">
        <v>39487751</v>
      </c>
      <c r="AQ45" s="1400">
        <v>38944442.259999998</v>
      </c>
      <c r="AS45" s="1400">
        <v>38201473.460000001</v>
      </c>
    </row>
    <row r="46" spans="1:45">
      <c r="A46" s="1385" t="s">
        <v>631</v>
      </c>
      <c r="C46" s="1387"/>
      <c r="G46" s="1391"/>
      <c r="H46" s="1391"/>
      <c r="I46" s="1391"/>
      <c r="K46" s="1397"/>
      <c r="L46" s="1397"/>
      <c r="M46" s="1397"/>
      <c r="N46" s="1397"/>
      <c r="O46" s="1397"/>
      <c r="P46" s="1397"/>
      <c r="Q46" s="1397"/>
      <c r="R46" s="1397"/>
      <c r="S46" s="1397"/>
      <c r="T46" s="1397"/>
      <c r="U46" s="1397"/>
      <c r="W46" s="1397"/>
      <c r="X46" s="1397"/>
      <c r="Y46" s="1397"/>
      <c r="Z46" s="1397"/>
      <c r="AA46" s="1397"/>
      <c r="AB46" s="1397"/>
      <c r="AC46" s="1397"/>
      <c r="AD46" s="1397"/>
      <c r="AE46" s="1397"/>
      <c r="AF46" s="1397"/>
      <c r="AG46" s="1397"/>
      <c r="AH46" s="1397"/>
      <c r="AI46" s="1397"/>
      <c r="AJ46" s="1397"/>
      <c r="AK46" s="1397"/>
      <c r="AL46" s="1397"/>
      <c r="AM46" s="1397"/>
      <c r="AN46" s="1397"/>
      <c r="AO46" s="1397"/>
      <c r="AQ46" s="1397"/>
      <c r="AS46" s="1397"/>
    </row>
    <row r="47" spans="1:45">
      <c r="A47" s="1379" t="s">
        <v>661</v>
      </c>
      <c r="B47" s="1379" t="s">
        <v>6</v>
      </c>
      <c r="C47" s="1387">
        <v>1984</v>
      </c>
      <c r="E47" s="1387">
        <v>2025</v>
      </c>
      <c r="G47" s="1391">
        <v>1519210</v>
      </c>
      <c r="H47" s="1391"/>
      <c r="I47" s="1391">
        <v>328987</v>
      </c>
      <c r="K47" s="1397">
        <v>1517201.93</v>
      </c>
      <c r="L47" s="1397"/>
      <c r="M47" s="1397">
        <v>325824.53999999998</v>
      </c>
      <c r="N47" s="1397"/>
      <c r="O47" s="1397">
        <v>1463850</v>
      </c>
      <c r="P47" s="1397"/>
      <c r="Q47" s="1397">
        <v>269349</v>
      </c>
      <c r="R47" s="1397"/>
      <c r="S47" s="1397">
        <v>1403808.52</v>
      </c>
      <c r="T47" s="1397"/>
      <c r="U47" s="1397">
        <v>202001.22</v>
      </c>
      <c r="W47" s="1397">
        <v>941679</v>
      </c>
      <c r="X47" s="1397"/>
      <c r="Y47" s="1397">
        <v>157461</v>
      </c>
      <c r="Z47" s="1397"/>
      <c r="AA47" s="1397">
        <v>677982</v>
      </c>
      <c r="AB47" s="1397"/>
      <c r="AC47" s="1397">
        <v>131769</v>
      </c>
      <c r="AD47" s="1397"/>
      <c r="AE47" s="1397">
        <v>715024</v>
      </c>
      <c r="AF47" s="1397"/>
      <c r="AG47" s="1397">
        <v>113449</v>
      </c>
      <c r="AH47" s="1397"/>
      <c r="AI47" s="1397">
        <v>799745</v>
      </c>
      <c r="AJ47" s="1397"/>
      <c r="AK47" s="1397">
        <v>142524</v>
      </c>
      <c r="AL47" s="1397"/>
      <c r="AM47" s="1397">
        <v>830180</v>
      </c>
      <c r="AN47" s="1397"/>
      <c r="AO47" s="1397">
        <v>115657</v>
      </c>
      <c r="AQ47" s="1397">
        <v>381335.32</v>
      </c>
      <c r="AS47" s="1397">
        <v>84018.73</v>
      </c>
    </row>
    <row r="48" spans="1:45">
      <c r="A48" s="1379" t="s">
        <v>662</v>
      </c>
      <c r="B48" s="1379" t="s">
        <v>6</v>
      </c>
      <c r="C48" s="1387">
        <v>1984</v>
      </c>
      <c r="E48" s="1387">
        <v>2013</v>
      </c>
      <c r="G48" s="1391">
        <v>524421</v>
      </c>
      <c r="H48" s="1391"/>
      <c r="I48" s="1391">
        <v>41700</v>
      </c>
      <c r="K48" s="1397">
        <v>264197.96000000002</v>
      </c>
      <c r="L48" s="1397"/>
      <c r="M48" s="1397">
        <v>19759.48</v>
      </c>
      <c r="N48" s="1397"/>
      <c r="O48" s="1397">
        <v>73762</v>
      </c>
      <c r="P48" s="1397"/>
      <c r="Q48" s="1397">
        <v>7130</v>
      </c>
      <c r="R48" s="1397"/>
      <c r="S48" s="1397">
        <v>14912.47</v>
      </c>
      <c r="T48" s="1397"/>
      <c r="U48" s="1397">
        <v>4722.01</v>
      </c>
      <c r="W48" s="1397">
        <v>35695</v>
      </c>
      <c r="X48" s="1397"/>
      <c r="Y48" s="1397">
        <v>3747</v>
      </c>
      <c r="Z48" s="1397"/>
      <c r="AA48" s="1397">
        <v>37435</v>
      </c>
      <c r="AB48" s="1397"/>
      <c r="AC48" s="1397">
        <v>2285</v>
      </c>
      <c r="AD48" s="1397"/>
      <c r="AE48" s="1397">
        <v>38396</v>
      </c>
      <c r="AF48" s="1397"/>
      <c r="AG48" s="1397">
        <v>768</v>
      </c>
      <c r="AH48" s="1397"/>
      <c r="AI48" s="1397">
        <v>0</v>
      </c>
      <c r="AJ48" s="1397"/>
      <c r="AK48" s="1397">
        <v>0</v>
      </c>
      <c r="AL48" s="1397"/>
      <c r="AM48" s="1397">
        <v>0</v>
      </c>
      <c r="AN48" s="1397"/>
      <c r="AO48" s="1397">
        <v>0</v>
      </c>
      <c r="AQ48" s="1397">
        <v>0</v>
      </c>
      <c r="AS48" s="1397">
        <v>0</v>
      </c>
    </row>
    <row r="49" spans="1:45">
      <c r="A49" s="1379" t="s">
        <v>663</v>
      </c>
      <c r="B49" s="1379" t="s">
        <v>6</v>
      </c>
      <c r="C49" s="1387">
        <v>1984</v>
      </c>
      <c r="E49" s="1387">
        <v>2027</v>
      </c>
      <c r="G49" s="1391">
        <v>7118854</v>
      </c>
      <c r="H49" s="1391"/>
      <c r="I49" s="1391">
        <v>1772970</v>
      </c>
      <c r="K49" s="1397">
        <v>6142254.8399999999</v>
      </c>
      <c r="L49" s="1397"/>
      <c r="M49" s="1397">
        <v>1553033.95</v>
      </c>
      <c r="N49" s="1397"/>
      <c r="O49" s="1397">
        <v>2832446</v>
      </c>
      <c r="P49" s="1397"/>
      <c r="Q49" s="1397">
        <v>1203904</v>
      </c>
      <c r="R49" s="1397"/>
      <c r="S49" s="1397">
        <v>1788927.29</v>
      </c>
      <c r="T49" s="1397"/>
      <c r="U49" s="1397">
        <v>1075196.2</v>
      </c>
      <c r="W49" s="1397">
        <v>2657637</v>
      </c>
      <c r="X49" s="1397"/>
      <c r="Y49" s="1397">
        <v>958247</v>
      </c>
      <c r="Z49" s="1397"/>
      <c r="AA49" s="1397">
        <v>2387899</v>
      </c>
      <c r="AB49" s="1397"/>
      <c r="AC49" s="1397">
        <v>753898</v>
      </c>
      <c r="AD49" s="1397"/>
      <c r="AE49" s="1397">
        <v>3333691.05</v>
      </c>
      <c r="AF49" s="1397"/>
      <c r="AG49" s="1397">
        <v>631031</v>
      </c>
      <c r="AH49" s="1397"/>
      <c r="AI49" s="1397">
        <v>2970463</v>
      </c>
      <c r="AJ49" s="1397"/>
      <c r="AK49" s="1397">
        <v>417897</v>
      </c>
      <c r="AL49" s="1397"/>
      <c r="AM49" s="1397">
        <v>1588953</v>
      </c>
      <c r="AN49" s="1397"/>
      <c r="AO49" s="1397">
        <v>398640</v>
      </c>
      <c r="AQ49" s="1397">
        <v>2073633.78</v>
      </c>
      <c r="AS49" s="1397">
        <v>283009.87</v>
      </c>
    </row>
    <row r="50" spans="1:45">
      <c r="A50" s="823" t="s">
        <v>2571</v>
      </c>
      <c r="B50" s="2171" t="s">
        <v>6</v>
      </c>
      <c r="C50" s="2399" t="s">
        <v>2710</v>
      </c>
      <c r="E50" s="2399" t="s">
        <v>2710</v>
      </c>
      <c r="G50" s="1391">
        <v>0</v>
      </c>
      <c r="H50" s="1391"/>
      <c r="I50" s="1391">
        <v>0</v>
      </c>
      <c r="K50" s="1397">
        <v>0</v>
      </c>
      <c r="L50" s="1397"/>
      <c r="M50" s="1397">
        <v>0</v>
      </c>
      <c r="N50" s="1397"/>
      <c r="O50" s="1397">
        <v>0</v>
      </c>
      <c r="P50" s="1397"/>
      <c r="Q50" s="1397">
        <v>0</v>
      </c>
      <c r="R50" s="1397"/>
      <c r="S50" s="1397">
        <v>0</v>
      </c>
      <c r="T50" s="1397"/>
      <c r="U50" s="1397">
        <v>0</v>
      </c>
      <c r="W50" s="1397">
        <v>0</v>
      </c>
      <c r="X50" s="1397"/>
      <c r="Y50" s="1397">
        <v>0</v>
      </c>
      <c r="Z50" s="1397"/>
      <c r="AA50" s="1397">
        <v>0</v>
      </c>
      <c r="AB50" s="1397"/>
      <c r="AC50" s="1397">
        <v>0</v>
      </c>
      <c r="AD50" s="1397"/>
      <c r="AE50" s="1397">
        <v>0</v>
      </c>
      <c r="AF50" s="1397"/>
      <c r="AG50" s="1397">
        <v>0</v>
      </c>
      <c r="AH50" s="1397"/>
      <c r="AI50" s="1397">
        <v>0</v>
      </c>
      <c r="AJ50" s="1397"/>
      <c r="AK50" s="1397">
        <v>0</v>
      </c>
      <c r="AL50" s="1397"/>
      <c r="AM50" s="1397">
        <v>0</v>
      </c>
      <c r="AN50" s="1397"/>
      <c r="AO50" s="1397">
        <v>0</v>
      </c>
      <c r="AQ50" s="1397">
        <v>0</v>
      </c>
      <c r="AS50" s="1397">
        <v>0</v>
      </c>
    </row>
    <row r="51" spans="1:45">
      <c r="A51" s="1385" t="s">
        <v>635</v>
      </c>
      <c r="C51" s="1387"/>
      <c r="G51" s="1391"/>
      <c r="H51" s="1391"/>
      <c r="I51" s="1391"/>
      <c r="K51" s="1397"/>
      <c r="L51" s="1397"/>
      <c r="M51" s="1397"/>
      <c r="N51" s="1397"/>
      <c r="O51" s="1397"/>
      <c r="P51" s="1397"/>
      <c r="Q51" s="1397"/>
      <c r="R51" s="1397"/>
      <c r="S51" s="1397"/>
      <c r="T51" s="1397"/>
      <c r="U51" s="1397"/>
      <c r="W51" s="1397"/>
      <c r="X51" s="1397"/>
      <c r="Y51" s="1397"/>
      <c r="Z51" s="1397"/>
      <c r="AA51" s="1397"/>
      <c r="AB51" s="1397"/>
      <c r="AC51" s="1397"/>
      <c r="AD51" s="1397"/>
      <c r="AE51" s="1397"/>
      <c r="AF51" s="1397"/>
      <c r="AG51" s="1397"/>
      <c r="AH51" s="1397"/>
      <c r="AI51" s="1397"/>
      <c r="AJ51" s="1397"/>
      <c r="AK51" s="1397"/>
      <c r="AL51" s="1397"/>
      <c r="AM51" s="1397"/>
      <c r="AN51" s="1397"/>
      <c r="AO51" s="1397"/>
      <c r="AQ51" s="1397" t="s">
        <v>6</v>
      </c>
      <c r="AS51" s="1397"/>
    </row>
    <row r="52" spans="1:45">
      <c r="A52" s="1379" t="s">
        <v>636</v>
      </c>
      <c r="B52" s="1379" t="s">
        <v>6</v>
      </c>
      <c r="C52" s="1387">
        <v>1971</v>
      </c>
      <c r="D52" s="1394"/>
      <c r="E52" s="1387">
        <v>2027</v>
      </c>
      <c r="G52" s="1391">
        <v>6088152</v>
      </c>
      <c r="H52" s="1391"/>
      <c r="I52" s="1391">
        <v>1896447</v>
      </c>
      <c r="K52" s="1397">
        <v>6206475.9699999997</v>
      </c>
      <c r="L52" s="1397"/>
      <c r="M52" s="1397">
        <v>1776849.04</v>
      </c>
      <c r="N52" s="1397"/>
      <c r="O52" s="1397">
        <v>4061352</v>
      </c>
      <c r="P52" s="1397"/>
      <c r="Q52" s="1397">
        <v>1423428</v>
      </c>
      <c r="R52" s="1397"/>
      <c r="S52" s="1397">
        <v>3858075.09</v>
      </c>
      <c r="T52" s="1397"/>
      <c r="U52" s="1397">
        <v>1220589.8400000001</v>
      </c>
      <c r="W52" s="1397">
        <v>3552316</v>
      </c>
      <c r="X52" s="1397"/>
      <c r="Y52" s="1397">
        <v>1032850</v>
      </c>
      <c r="Z52" s="1397"/>
      <c r="AA52" s="1397">
        <v>3224757</v>
      </c>
      <c r="AB52" s="1397"/>
      <c r="AC52" s="1397">
        <v>758251</v>
      </c>
      <c r="AD52" s="1397"/>
      <c r="AE52" s="1397">
        <v>2594718</v>
      </c>
      <c r="AF52" s="1397"/>
      <c r="AG52" s="1397">
        <v>607650</v>
      </c>
      <c r="AH52" s="1397"/>
      <c r="AI52" s="1397">
        <v>2309984</v>
      </c>
      <c r="AJ52" s="1397"/>
      <c r="AK52" s="1397">
        <v>481966</v>
      </c>
      <c r="AL52" s="1397"/>
      <c r="AM52" s="1397">
        <v>1756299</v>
      </c>
      <c r="AN52" s="1397"/>
      <c r="AO52" s="1397">
        <v>431551</v>
      </c>
      <c r="AQ52" s="1397">
        <v>3222875.6</v>
      </c>
      <c r="AS52" s="1397">
        <v>291604.63</v>
      </c>
    </row>
    <row r="53" spans="1:45">
      <c r="A53" s="1379" t="s">
        <v>637</v>
      </c>
      <c r="B53" s="1379" t="s">
        <v>6</v>
      </c>
      <c r="C53" s="1387">
        <v>1968</v>
      </c>
      <c r="D53" s="1394"/>
      <c r="E53" s="1387">
        <v>1998</v>
      </c>
      <c r="G53" s="1392">
        <v>0</v>
      </c>
      <c r="H53" s="1391"/>
      <c r="I53" s="1392">
        <v>0</v>
      </c>
      <c r="K53" s="1398">
        <v>0</v>
      </c>
      <c r="L53" s="1397"/>
      <c r="M53" s="1398">
        <v>0</v>
      </c>
      <c r="N53" s="1397"/>
      <c r="O53" s="1398">
        <v>0</v>
      </c>
      <c r="P53" s="1397"/>
      <c r="Q53" s="1398">
        <v>0</v>
      </c>
      <c r="R53" s="1397"/>
      <c r="S53" s="1398">
        <v>0</v>
      </c>
      <c r="T53" s="1397"/>
      <c r="U53" s="1398">
        <v>0</v>
      </c>
      <c r="W53" s="1398">
        <v>0</v>
      </c>
      <c r="X53" s="1397"/>
      <c r="Y53" s="1398">
        <v>0</v>
      </c>
      <c r="Z53" s="1397"/>
      <c r="AA53" s="1398">
        <v>0</v>
      </c>
      <c r="AB53" s="1397"/>
      <c r="AC53" s="1398">
        <v>0</v>
      </c>
      <c r="AD53" s="1397"/>
      <c r="AE53" s="1398">
        <v>0</v>
      </c>
      <c r="AF53" s="1397"/>
      <c r="AG53" s="1398">
        <v>0</v>
      </c>
      <c r="AH53" s="1397"/>
      <c r="AI53" s="1398">
        <v>0</v>
      </c>
      <c r="AJ53" s="1397"/>
      <c r="AK53" s="1398">
        <v>0</v>
      </c>
      <c r="AL53" s="1397"/>
      <c r="AM53" s="1398">
        <v>0</v>
      </c>
      <c r="AN53" s="1397"/>
      <c r="AO53" s="1398">
        <v>0</v>
      </c>
      <c r="AQ53" s="1398">
        <v>0</v>
      </c>
      <c r="AS53" s="1398">
        <v>0</v>
      </c>
    </row>
    <row r="54" spans="1:45">
      <c r="A54" s="1379" t="s">
        <v>664</v>
      </c>
      <c r="B54" s="1379" t="s">
        <v>6</v>
      </c>
      <c r="C54" s="1387">
        <v>1970</v>
      </c>
      <c r="D54" s="1394"/>
      <c r="E54" s="1387">
        <v>2017</v>
      </c>
      <c r="G54" s="1391">
        <v>14714837.52</v>
      </c>
      <c r="H54" s="1391"/>
      <c r="I54" s="1391">
        <v>3073966</v>
      </c>
      <c r="K54" s="1397">
        <v>13483939.35</v>
      </c>
      <c r="L54" s="1397"/>
      <c r="M54" s="1397">
        <v>2351344.08</v>
      </c>
      <c r="N54" s="1397"/>
      <c r="O54" s="1397">
        <v>10287896</v>
      </c>
      <c r="P54" s="1397"/>
      <c r="Q54" s="1397">
        <v>1686119</v>
      </c>
      <c r="R54" s="1397"/>
      <c r="S54" s="1397">
        <v>8422572.8800000008</v>
      </c>
      <c r="T54" s="1397"/>
      <c r="U54" s="1397">
        <v>1143086.77</v>
      </c>
      <c r="W54" s="1397">
        <v>8145657</v>
      </c>
      <c r="X54" s="1397"/>
      <c r="Y54" s="1397">
        <v>682885</v>
      </c>
      <c r="Z54" s="1397"/>
      <c r="AA54" s="1397">
        <v>4695036</v>
      </c>
      <c r="AB54" s="1397"/>
      <c r="AC54" s="1397">
        <v>286703</v>
      </c>
      <c r="AD54" s="1397"/>
      <c r="AE54" s="1397">
        <v>2833555</v>
      </c>
      <c r="AF54" s="1397"/>
      <c r="AG54" s="1397">
        <v>67189</v>
      </c>
      <c r="AH54" s="1397"/>
      <c r="AI54" s="1397">
        <v>892017</v>
      </c>
      <c r="AJ54" s="1397"/>
      <c r="AK54" s="1397">
        <v>19001</v>
      </c>
      <c r="AL54" s="1397"/>
      <c r="AM54" s="1397">
        <v>40736</v>
      </c>
      <c r="AN54" s="1397"/>
      <c r="AO54" s="1397">
        <v>5063</v>
      </c>
      <c r="AQ54" s="1397">
        <v>39713.879999999997</v>
      </c>
      <c r="AS54" s="1397">
        <v>3010.63</v>
      </c>
    </row>
    <row r="55" spans="1:45" ht="17.25" customHeight="1" thickBot="1">
      <c r="A55" s="1385" t="s">
        <v>1311</v>
      </c>
      <c r="B55" s="1379" t="s">
        <v>6</v>
      </c>
      <c r="F55" s="1388"/>
      <c r="G55" s="1395">
        <f>ROUND(SUM(G13:G54),1)</f>
        <v>352071999.5</v>
      </c>
      <c r="H55" s="1390"/>
      <c r="I55" s="1395">
        <f>ROUND(SUM(I13:I54),1)</f>
        <v>146124569</v>
      </c>
      <c r="J55" s="1390"/>
      <c r="K55" s="1395">
        <f>ROUND(SUM(K13:K54),1)</f>
        <v>349700999.89999998</v>
      </c>
      <c r="L55" s="1390"/>
      <c r="M55" s="1395">
        <f>ROUND(SUM(M13:M54),1)</f>
        <v>139182468.90000001</v>
      </c>
      <c r="N55" s="1390"/>
      <c r="O55" s="1395">
        <f>ROUND(SUM(O13:O54),1)</f>
        <v>352857000</v>
      </c>
      <c r="P55" s="1390"/>
      <c r="Q55" s="1395">
        <f>ROUND(SUM(Q13:Q54),1)</f>
        <v>127038284</v>
      </c>
      <c r="S55" s="1395">
        <f>ROUND(SUM(S13:S54),1)</f>
        <v>355303999.60000002</v>
      </c>
      <c r="T55" s="1375"/>
      <c r="U55" s="1395">
        <f>ROUND(SUM(U13:U54),1)</f>
        <v>122867446.7</v>
      </c>
      <c r="V55" s="1375"/>
      <c r="W55" s="1395">
        <f>ROUND(SUM(W13:W54),1)</f>
        <v>364692000</v>
      </c>
      <c r="X55" s="1375"/>
      <c r="Y55" s="1395">
        <f>ROUND(SUM(Y13:Y54),1)</f>
        <v>134948189</v>
      </c>
      <c r="Z55" s="1375"/>
      <c r="AA55" s="1395">
        <f>ROUND(SUM(AA13:AA54),1)</f>
        <v>360998000</v>
      </c>
      <c r="AB55" s="1375"/>
      <c r="AC55" s="1395">
        <f>ROUND(SUM(AC13:AC54),1)</f>
        <v>137114003</v>
      </c>
      <c r="AE55" s="1395">
        <f>ROUND(SUM(AE13:AE54),1)</f>
        <v>345745000.10000002</v>
      </c>
      <c r="AF55" s="1375"/>
      <c r="AG55" s="1395">
        <f>ROUND(SUM(AG13:AG54),1)</f>
        <v>141452074</v>
      </c>
      <c r="AH55" s="1375"/>
      <c r="AI55" s="1395">
        <f>ROUND(SUM(AI13:AI54),1)</f>
        <v>332805000</v>
      </c>
      <c r="AJ55" s="1375"/>
      <c r="AK55" s="1395">
        <f>ROUND(SUM(AK13:AK54),1)</f>
        <v>139573925</v>
      </c>
      <c r="AL55" s="1375"/>
      <c r="AM55" s="1395">
        <f>ROUND(SUM(AM13:AM54),1)</f>
        <v>304435000</v>
      </c>
      <c r="AN55" s="1375"/>
      <c r="AO55" s="1395">
        <f>ROUND(SUM(AO13:AO54),1)</f>
        <v>132007113</v>
      </c>
      <c r="AP55" s="1374"/>
      <c r="AQ55" s="1395">
        <f>ROUND(SUM(AQ13:AQ54),1)</f>
        <v>290290000</v>
      </c>
      <c r="AR55" s="1375"/>
      <c r="AS55" s="1395">
        <f>ROUND(SUM(AS13:AS54),1)</f>
        <v>122497718.7</v>
      </c>
    </row>
    <row r="56" spans="1:45" ht="16" thickTop="1">
      <c r="AE56" s="856"/>
      <c r="AF56" s="856"/>
      <c r="AG56" s="856"/>
      <c r="AH56" s="856"/>
      <c r="AI56" s="815"/>
      <c r="AJ56" s="815"/>
      <c r="AK56" s="815"/>
      <c r="AL56" s="856"/>
      <c r="AM56" s="856"/>
      <c r="AN56" s="856"/>
      <c r="AO56" s="856"/>
      <c r="AP56" s="856"/>
      <c r="AQ56" s="856"/>
      <c r="AR56" s="856"/>
      <c r="AS56" s="648" t="s">
        <v>6</v>
      </c>
    </row>
  </sheetData>
  <mergeCells count="10">
    <mergeCell ref="AE9:AG9"/>
    <mergeCell ref="AI9:AK9"/>
    <mergeCell ref="AM9:AO9"/>
    <mergeCell ref="AQ9:AS9"/>
    <mergeCell ref="G9:I9"/>
    <mergeCell ref="K9:M9"/>
    <mergeCell ref="O9:Q9"/>
    <mergeCell ref="S9:U9"/>
    <mergeCell ref="W9:Y9"/>
    <mergeCell ref="AA9:AC9"/>
  </mergeCells>
  <printOptions verticalCentered="1"/>
  <pageMargins left="0.6" right="0.5" top="0.5" bottom="0.25" header="0.5" footer="0.25"/>
  <pageSetup scale="54" firstPageNumber="94" orientation="landscape" useFirstPageNumber="1"/>
  <headerFooter scaleWithDoc="0">
    <oddFooter>&amp;R&amp;8&amp;P</oddFooter>
  </headerFooter>
  <colBreaks count="2" manualBreakCount="2">
    <brk id="17" min="2" max="54" man="1"/>
    <brk id="29" min="2" max="54" man="1"/>
  </col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70" zoomScaleNormal="70" zoomScalePageLayoutView="70" workbookViewId="0"/>
  </sheetViews>
  <sheetFormatPr baseColWidth="10" defaultColWidth="8.85546875" defaultRowHeight="15" x14ac:dyDescent="0"/>
  <cols>
    <col min="1" max="1" width="50.85546875" style="1584" customWidth="1"/>
    <col min="2" max="2" width="2" style="1584" customWidth="1"/>
    <col min="3" max="3" width="15.42578125" style="1584" customWidth="1"/>
    <col min="4" max="4" width="2" style="1584" customWidth="1"/>
    <col min="5" max="5" width="15.85546875" style="1584" customWidth="1"/>
    <col min="6" max="6" width="2" style="1584" customWidth="1"/>
    <col min="7" max="7" width="15" style="1584" customWidth="1"/>
    <col min="8" max="8" width="2" style="1584" bestFit="1" customWidth="1"/>
    <col min="9" max="9" width="14.5703125" style="1584" customWidth="1"/>
    <col min="10" max="10" width="2" style="1584" customWidth="1"/>
    <col min="11" max="11" width="14.5703125" style="1584" customWidth="1"/>
    <col min="12" max="12" width="2" style="1584" customWidth="1"/>
    <col min="13" max="13" width="15.42578125" style="1584" customWidth="1"/>
    <col min="14" max="14" width="1.42578125" style="1584" customWidth="1"/>
    <col min="15" max="15" width="15.85546875" style="1584" customWidth="1"/>
    <col min="16" max="16" width="2" style="1584" customWidth="1"/>
    <col min="17" max="17" width="13.140625" style="1584" customWidth="1"/>
    <col min="18" max="18" width="2" style="1584" customWidth="1"/>
    <col min="19" max="19" width="14.140625" style="1584" customWidth="1"/>
    <col min="20" max="16384" width="8.85546875" style="1584"/>
  </cols>
  <sheetData>
    <row r="1" spans="1:28">
      <c r="A1" s="1582" t="s">
        <v>1443</v>
      </c>
    </row>
    <row r="3" spans="1:28" ht="20">
      <c r="A3" s="1583" t="s">
        <v>0</v>
      </c>
    </row>
    <row r="4" spans="1:28" ht="20">
      <c r="A4" s="1583" t="s">
        <v>1313</v>
      </c>
      <c r="S4" s="1585" t="s">
        <v>1314</v>
      </c>
    </row>
    <row r="5" spans="1:28" ht="20">
      <c r="A5" s="1583" t="s">
        <v>1962</v>
      </c>
    </row>
    <row r="6" spans="1:28">
      <c r="A6" s="1586"/>
    </row>
    <row r="7" spans="1:28">
      <c r="A7" s="1586"/>
    </row>
    <row r="8" spans="1:28">
      <c r="A8" s="1746"/>
      <c r="B8" s="1746"/>
      <c r="C8" s="2429">
        <v>42825</v>
      </c>
      <c r="D8" s="2429"/>
      <c r="E8" s="2429"/>
      <c r="F8" s="2429"/>
      <c r="G8" s="2429"/>
      <c r="H8" s="1746"/>
      <c r="I8" s="2429">
        <v>43190</v>
      </c>
      <c r="J8" s="2429"/>
      <c r="K8" s="2429"/>
      <c r="L8" s="2429"/>
      <c r="M8" s="2429"/>
      <c r="N8" s="1754"/>
      <c r="O8" s="2429">
        <v>43555</v>
      </c>
      <c r="P8" s="2429"/>
      <c r="Q8" s="2429"/>
      <c r="R8" s="2429"/>
      <c r="S8" s="2429"/>
    </row>
    <row r="9" spans="1:28">
      <c r="A9" s="1748" t="s">
        <v>596</v>
      </c>
      <c r="B9" s="1746"/>
      <c r="C9" s="1748" t="s">
        <v>592</v>
      </c>
      <c r="D9" s="1752"/>
      <c r="E9" s="1748" t="s">
        <v>1301</v>
      </c>
      <c r="F9" s="1752"/>
      <c r="G9" s="1748" t="s">
        <v>276</v>
      </c>
      <c r="H9" s="1746"/>
      <c r="I9" s="1748" t="s">
        <v>592</v>
      </c>
      <c r="J9" s="1752"/>
      <c r="K9" s="1748" t="s">
        <v>1301</v>
      </c>
      <c r="L9" s="1752"/>
      <c r="M9" s="1748" t="s">
        <v>276</v>
      </c>
      <c r="N9" s="1752"/>
      <c r="O9" s="1748" t="s">
        <v>592</v>
      </c>
      <c r="P9" s="1752"/>
      <c r="Q9" s="1748" t="s">
        <v>1301</v>
      </c>
      <c r="R9" s="1752"/>
      <c r="S9" s="1748" t="s">
        <v>276</v>
      </c>
    </row>
    <row r="10" spans="1:28">
      <c r="A10" s="1746"/>
      <c r="B10" s="1746"/>
      <c r="C10" s="1751"/>
      <c r="D10" s="1751"/>
      <c r="E10" s="1751"/>
      <c r="F10" s="1751"/>
      <c r="G10" s="1751"/>
      <c r="H10" s="1746"/>
      <c r="I10" s="1751"/>
      <c r="J10" s="1751"/>
      <c r="K10" s="1751"/>
      <c r="L10" s="1751"/>
      <c r="M10" s="1751"/>
      <c r="N10" s="1751"/>
      <c r="O10" s="1751"/>
      <c r="P10" s="1751"/>
      <c r="Q10" s="1751"/>
      <c r="R10" s="1751"/>
      <c r="S10" s="1751"/>
    </row>
    <row r="11" spans="1:28">
      <c r="A11" s="1749" t="s">
        <v>600</v>
      </c>
      <c r="B11" s="1746"/>
      <c r="C11" s="1746"/>
      <c r="D11" s="1751"/>
      <c r="E11" s="1746"/>
      <c r="F11" s="1751"/>
      <c r="G11" s="1746"/>
      <c r="H11" s="1746"/>
      <c r="I11" s="1746"/>
      <c r="J11" s="1751"/>
      <c r="K11" s="1746"/>
      <c r="L11" s="1751"/>
      <c r="M11" s="1746"/>
      <c r="N11" s="1746"/>
      <c r="O11" s="1746"/>
      <c r="P11" s="1751"/>
      <c r="Q11" s="1746"/>
      <c r="R11" s="1751"/>
      <c r="S11" s="1746"/>
    </row>
    <row r="12" spans="1:28">
      <c r="A12" s="1750" t="s">
        <v>1931</v>
      </c>
      <c r="B12" s="1747" t="s">
        <v>6</v>
      </c>
      <c r="C12" s="1828">
        <v>44215664</v>
      </c>
      <c r="D12" s="1824"/>
      <c r="E12" s="1828">
        <v>4219269</v>
      </c>
      <c r="F12" s="1824"/>
      <c r="G12" s="1828">
        <f>ROUND(SUM(C12:E12),0)</f>
        <v>48434933</v>
      </c>
      <c r="H12" s="1824"/>
      <c r="I12" s="1828">
        <v>30464862</v>
      </c>
      <c r="J12" s="1824"/>
      <c r="K12" s="1828">
        <v>2377655</v>
      </c>
      <c r="L12" s="1824"/>
      <c r="M12" s="1828">
        <f>ROUND(SUM(I12:K12),0)</f>
        <v>32842517</v>
      </c>
      <c r="N12" s="1828"/>
      <c r="O12" s="1830">
        <v>15527176</v>
      </c>
      <c r="P12" s="1831"/>
      <c r="Q12" s="1830">
        <f>1252387-1</f>
        <v>1252386</v>
      </c>
      <c r="R12" s="1831"/>
      <c r="S12" s="1830">
        <f>ROUND(SUM(O12:Q12),0)</f>
        <v>16779562</v>
      </c>
    </row>
    <row r="13" spans="1:28">
      <c r="A13" s="1749" t="s">
        <v>601</v>
      </c>
      <c r="B13" s="1746"/>
      <c r="C13" s="1821"/>
      <c r="D13" s="1821"/>
      <c r="E13" s="1821"/>
      <c r="F13" s="1821"/>
      <c r="G13" s="1821"/>
      <c r="H13" s="1820"/>
      <c r="I13" s="1822"/>
      <c r="J13" s="1821"/>
      <c r="K13" s="1822"/>
      <c r="L13" s="1821"/>
      <c r="M13" s="1821"/>
      <c r="N13" s="1821"/>
      <c r="O13" s="1826"/>
      <c r="P13" s="1821"/>
      <c r="Q13" s="1826"/>
      <c r="R13" s="1821"/>
      <c r="S13" s="1823"/>
    </row>
    <row r="14" spans="1:28">
      <c r="A14" s="1747" t="s">
        <v>602</v>
      </c>
      <c r="B14" s="1747" t="s">
        <v>6</v>
      </c>
      <c r="C14" s="2027">
        <v>1195274</v>
      </c>
      <c r="D14" s="2027"/>
      <c r="E14" s="2027">
        <v>127794</v>
      </c>
      <c r="F14" s="2027"/>
      <c r="G14" s="2027">
        <f>ROUND(SUM(C14:E14),0)</f>
        <v>1323068</v>
      </c>
      <c r="H14" s="2028" t="s">
        <v>6</v>
      </c>
      <c r="I14" s="2027">
        <v>472507</v>
      </c>
      <c r="J14" s="2027"/>
      <c r="K14" s="2027">
        <v>72010</v>
      </c>
      <c r="L14" s="2027"/>
      <c r="M14" s="2027">
        <f>ROUND(SUM(I14:K14),0)</f>
        <v>544517</v>
      </c>
      <c r="N14" s="2027"/>
      <c r="O14" s="2029">
        <v>490368</v>
      </c>
      <c r="P14" s="2027"/>
      <c r="Q14" s="2029">
        <v>51606</v>
      </c>
      <c r="R14" s="2027"/>
      <c r="S14" s="2029">
        <f>ROUND(SUM(O14:Q14),0)</f>
        <v>541974</v>
      </c>
      <c r="T14" s="1589"/>
      <c r="U14" s="1589"/>
      <c r="V14" s="1589"/>
      <c r="W14" s="1589"/>
      <c r="X14" s="1589"/>
      <c r="Y14" s="1589"/>
      <c r="Z14" s="1589"/>
      <c r="AA14" s="1589"/>
      <c r="AB14" s="1589"/>
    </row>
    <row r="15" spans="1:28">
      <c r="A15" s="1747" t="s">
        <v>603</v>
      </c>
      <c r="B15" s="1747" t="s">
        <v>6</v>
      </c>
      <c r="C15" s="1825">
        <v>0</v>
      </c>
      <c r="D15" s="2027"/>
      <c r="E15" s="1825">
        <v>0</v>
      </c>
      <c r="F15" s="2027"/>
      <c r="G15" s="2027">
        <f t="shared" ref="G15:G53" si="0">ROUND(SUM(C15:E15),0)</f>
        <v>0</v>
      </c>
      <c r="H15" s="2028" t="s">
        <v>6</v>
      </c>
      <c r="I15" s="1825">
        <v>0</v>
      </c>
      <c r="J15" s="1825"/>
      <c r="K15" s="1825">
        <v>0</v>
      </c>
      <c r="L15" s="1825"/>
      <c r="M15" s="2027">
        <f t="shared" ref="M15:M53" si="1">ROUND(SUM(I15:K15),0)</f>
        <v>0</v>
      </c>
      <c r="N15" s="1825"/>
      <c r="O15" s="1827">
        <v>0</v>
      </c>
      <c r="P15" s="2029"/>
      <c r="Q15" s="1827">
        <v>0</v>
      </c>
      <c r="R15" s="2029"/>
      <c r="S15" s="2029">
        <f t="shared" ref="S15:S53" si="2">ROUND(SUM(O15:Q15),0)</f>
        <v>0</v>
      </c>
    </row>
    <row r="16" spans="1:28">
      <c r="A16" s="1747" t="s">
        <v>604</v>
      </c>
      <c r="B16" s="1747" t="s">
        <v>6</v>
      </c>
      <c r="C16" s="2027">
        <v>28512699</v>
      </c>
      <c r="D16" s="2030"/>
      <c r="E16" s="2027">
        <v>16491200</v>
      </c>
      <c r="F16" s="2030"/>
      <c r="G16" s="2027">
        <f t="shared" si="0"/>
        <v>45003899</v>
      </c>
      <c r="H16" s="2028" t="s">
        <v>6</v>
      </c>
      <c r="I16" s="2027">
        <v>26962570</v>
      </c>
      <c r="J16" s="2030"/>
      <c r="K16" s="2027">
        <v>15272791</v>
      </c>
      <c r="L16" s="2030"/>
      <c r="M16" s="2027">
        <f t="shared" si="1"/>
        <v>42235361</v>
      </c>
      <c r="N16" s="2027"/>
      <c r="O16" s="2029">
        <v>25521933</v>
      </c>
      <c r="P16" s="2030"/>
      <c r="Q16" s="2029">
        <v>14074480</v>
      </c>
      <c r="R16" s="2030"/>
      <c r="S16" s="2029">
        <f t="shared" si="2"/>
        <v>39596413</v>
      </c>
    </row>
    <row r="17" spans="1:19">
      <c r="A17" s="1747" t="s">
        <v>605</v>
      </c>
      <c r="B17" s="1747" t="s">
        <v>6</v>
      </c>
      <c r="C17" s="2027">
        <f>5654801+1</f>
        <v>5654802</v>
      </c>
      <c r="D17" s="2030"/>
      <c r="E17" s="2027">
        <v>1401290</v>
      </c>
      <c r="F17" s="2030"/>
      <c r="G17" s="2027">
        <f t="shared" si="0"/>
        <v>7056092</v>
      </c>
      <c r="H17" s="2028" t="s">
        <v>6</v>
      </c>
      <c r="I17" s="2027">
        <f>5338513-1</f>
        <v>5338512</v>
      </c>
      <c r="J17" s="2030"/>
      <c r="K17" s="2027">
        <v>1174711</v>
      </c>
      <c r="L17" s="2030"/>
      <c r="M17" s="2027">
        <f t="shared" si="1"/>
        <v>6513223</v>
      </c>
      <c r="N17" s="2027"/>
      <c r="O17" s="2029">
        <v>5597765</v>
      </c>
      <c r="P17" s="2030"/>
      <c r="Q17" s="2029">
        <v>953731</v>
      </c>
      <c r="R17" s="2030"/>
      <c r="S17" s="2029">
        <f t="shared" si="2"/>
        <v>6551496</v>
      </c>
    </row>
    <row r="18" spans="1:19">
      <c r="A18" s="1747" t="s">
        <v>606</v>
      </c>
      <c r="B18" s="1747" t="s">
        <v>6</v>
      </c>
      <c r="C18" s="2027">
        <v>12168464</v>
      </c>
      <c r="D18" s="2030"/>
      <c r="E18" s="2027">
        <v>3348261</v>
      </c>
      <c r="F18" s="2030"/>
      <c r="G18" s="2027">
        <f t="shared" si="0"/>
        <v>15516725</v>
      </c>
      <c r="H18" s="2028" t="s">
        <v>6</v>
      </c>
      <c r="I18" s="2027">
        <v>10767101</v>
      </c>
      <c r="J18" s="2030"/>
      <c r="K18" s="2027">
        <f>2803095+1</f>
        <v>2803096</v>
      </c>
      <c r="L18" s="2030"/>
      <c r="M18" s="2027">
        <f t="shared" si="1"/>
        <v>13570197</v>
      </c>
      <c r="N18" s="2027"/>
      <c r="O18" s="2029">
        <v>10138496</v>
      </c>
      <c r="P18" s="2030"/>
      <c r="Q18" s="2029">
        <v>2316189</v>
      </c>
      <c r="R18" s="2030"/>
      <c r="S18" s="2029">
        <f t="shared" si="2"/>
        <v>12454685</v>
      </c>
    </row>
    <row r="19" spans="1:19">
      <c r="A19" s="1749" t="s">
        <v>1315</v>
      </c>
      <c r="B19" s="1746"/>
      <c r="C19" s="2027"/>
      <c r="D19" s="2027"/>
      <c r="E19" s="2027"/>
      <c r="F19" s="2027"/>
      <c r="G19" s="2027" t="s">
        <v>6</v>
      </c>
      <c r="H19" s="2031"/>
      <c r="I19" s="2027"/>
      <c r="J19" s="2027"/>
      <c r="K19" s="2027"/>
      <c r="L19" s="2027"/>
      <c r="M19" s="2027" t="s">
        <v>6</v>
      </c>
      <c r="N19" s="2027"/>
      <c r="O19" s="2029"/>
      <c r="P19" s="2027"/>
      <c r="Q19" s="2029"/>
      <c r="R19" s="2027"/>
      <c r="S19" s="2029" t="s">
        <v>6</v>
      </c>
    </row>
    <row r="20" spans="1:19">
      <c r="A20" s="1747" t="s">
        <v>1316</v>
      </c>
      <c r="B20" s="1747" t="s">
        <v>1317</v>
      </c>
      <c r="C20" s="1827">
        <v>0</v>
      </c>
      <c r="D20" s="2029"/>
      <c r="E20" s="1827">
        <v>0</v>
      </c>
      <c r="F20" s="2029"/>
      <c r="G20" s="2027">
        <f t="shared" si="0"/>
        <v>0</v>
      </c>
      <c r="H20" s="2032" t="s">
        <v>6</v>
      </c>
      <c r="I20" s="1827">
        <v>0</v>
      </c>
      <c r="J20" s="1827"/>
      <c r="K20" s="1827">
        <v>0</v>
      </c>
      <c r="L20" s="1827"/>
      <c r="M20" s="2027">
        <f t="shared" si="1"/>
        <v>0</v>
      </c>
      <c r="N20" s="1827"/>
      <c r="O20" s="1827">
        <v>0</v>
      </c>
      <c r="P20" s="2029"/>
      <c r="Q20" s="1827">
        <v>0</v>
      </c>
      <c r="R20" s="2029"/>
      <c r="S20" s="2029">
        <f t="shared" si="2"/>
        <v>0</v>
      </c>
    </row>
    <row r="21" spans="1:19">
      <c r="A21" s="1747" t="s">
        <v>1318</v>
      </c>
      <c r="B21" s="1747" t="s">
        <v>6</v>
      </c>
      <c r="C21" s="2027">
        <v>726809</v>
      </c>
      <c r="D21" s="2030"/>
      <c r="E21" s="2027">
        <f>98451-1</f>
        <v>98450</v>
      </c>
      <c r="F21" s="2030"/>
      <c r="G21" s="2027">
        <f t="shared" si="0"/>
        <v>825259</v>
      </c>
      <c r="H21" s="2028" t="s">
        <v>6</v>
      </c>
      <c r="I21" s="2027">
        <v>229318</v>
      </c>
      <c r="J21" s="2030"/>
      <c r="K21" s="2027">
        <v>75186</v>
      </c>
      <c r="L21" s="2027"/>
      <c r="M21" s="2027">
        <f t="shared" si="1"/>
        <v>304504</v>
      </c>
      <c r="N21" s="2027"/>
      <c r="O21" s="2029">
        <v>264788</v>
      </c>
      <c r="P21" s="2030"/>
      <c r="Q21" s="2029">
        <v>65555</v>
      </c>
      <c r="R21" s="2027"/>
      <c r="S21" s="2029">
        <f t="shared" si="2"/>
        <v>330343</v>
      </c>
    </row>
    <row r="22" spans="1:19">
      <c r="A22" s="1749" t="s">
        <v>2612</v>
      </c>
      <c r="B22" s="1746"/>
      <c r="C22" s="2027"/>
      <c r="D22" s="2027"/>
      <c r="E22" s="2027"/>
      <c r="F22" s="2027"/>
      <c r="G22" s="2027" t="s">
        <v>6</v>
      </c>
      <c r="H22" s="2031"/>
      <c r="I22" s="2027"/>
      <c r="J22" s="2027"/>
      <c r="K22" s="2027"/>
      <c r="L22" s="2027"/>
      <c r="M22" s="2027" t="s">
        <v>6</v>
      </c>
      <c r="N22" s="2027"/>
      <c r="O22" s="2029"/>
      <c r="P22" s="2027"/>
      <c r="Q22" s="2029"/>
      <c r="R22" s="2027"/>
      <c r="S22" s="2029" t="s">
        <v>6</v>
      </c>
    </row>
    <row r="23" spans="1:19">
      <c r="A23" s="1747" t="s">
        <v>610</v>
      </c>
      <c r="B23" s="1747" t="s">
        <v>6</v>
      </c>
      <c r="C23" s="2027">
        <f>162781+1</f>
        <v>162782</v>
      </c>
      <c r="D23" s="2030"/>
      <c r="E23" s="2027">
        <v>20530</v>
      </c>
      <c r="F23" s="2030"/>
      <c r="G23" s="2027">
        <f t="shared" si="0"/>
        <v>183312</v>
      </c>
      <c r="H23" s="2028" t="s">
        <v>6</v>
      </c>
      <c r="I23" s="2027">
        <f>162865-1</f>
        <v>162864</v>
      </c>
      <c r="J23" s="2030"/>
      <c r="K23" s="2027">
        <v>12450</v>
      </c>
      <c r="L23" s="2030"/>
      <c r="M23" s="2027">
        <f t="shared" si="1"/>
        <v>175314</v>
      </c>
      <c r="N23" s="2027"/>
      <c r="O23" s="2029">
        <f>162961-1</f>
        <v>162960</v>
      </c>
      <c r="P23" s="2030"/>
      <c r="Q23" s="2029">
        <f>4356+1</f>
        <v>4357</v>
      </c>
      <c r="R23" s="2030"/>
      <c r="S23" s="2029">
        <f t="shared" si="2"/>
        <v>167317</v>
      </c>
    </row>
    <row r="24" spans="1:19">
      <c r="A24" s="1747" t="s">
        <v>611</v>
      </c>
      <c r="B24" s="1747" t="s">
        <v>6</v>
      </c>
      <c r="C24" s="2027">
        <v>2958457</v>
      </c>
      <c r="D24" s="2027"/>
      <c r="E24" s="2027">
        <v>269796</v>
      </c>
      <c r="F24" s="2027"/>
      <c r="G24" s="2027">
        <f t="shared" si="0"/>
        <v>3228253</v>
      </c>
      <c r="H24" s="2028" t="s">
        <v>6</v>
      </c>
      <c r="I24" s="2027">
        <v>709823</v>
      </c>
      <c r="J24" s="2027"/>
      <c r="K24" s="2027">
        <v>176258</v>
      </c>
      <c r="L24" s="2027"/>
      <c r="M24" s="2027">
        <f t="shared" si="1"/>
        <v>886081</v>
      </c>
      <c r="N24" s="2027"/>
      <c r="O24" s="2029">
        <v>986004</v>
      </c>
      <c r="P24" s="2027"/>
      <c r="Q24" s="2029">
        <v>136191</v>
      </c>
      <c r="R24" s="2027"/>
      <c r="S24" s="2029">
        <f t="shared" si="2"/>
        <v>1122195</v>
      </c>
    </row>
    <row r="25" spans="1:19">
      <c r="A25" s="1747" t="s">
        <v>612</v>
      </c>
      <c r="B25" s="1747" t="s">
        <v>6</v>
      </c>
      <c r="C25" s="2027">
        <v>8162461</v>
      </c>
      <c r="D25" s="2030"/>
      <c r="E25" s="2027">
        <v>1028549</v>
      </c>
      <c r="F25" s="2030"/>
      <c r="G25" s="2027">
        <f t="shared" si="0"/>
        <v>9191010</v>
      </c>
      <c r="H25" s="2028" t="s">
        <v>6</v>
      </c>
      <c r="I25" s="2027">
        <v>5880496</v>
      </c>
      <c r="J25" s="2030"/>
      <c r="K25" s="2027">
        <v>729351</v>
      </c>
      <c r="L25" s="2030"/>
      <c r="M25" s="2027">
        <f t="shared" si="1"/>
        <v>6609847</v>
      </c>
      <c r="N25" s="2027"/>
      <c r="O25" s="2029">
        <v>4821685</v>
      </c>
      <c r="P25" s="2030"/>
      <c r="Q25" s="2029">
        <v>532750</v>
      </c>
      <c r="R25" s="2030"/>
      <c r="S25" s="2029">
        <f t="shared" si="2"/>
        <v>5354435</v>
      </c>
    </row>
    <row r="26" spans="1:19">
      <c r="A26" s="1749" t="s">
        <v>613</v>
      </c>
      <c r="B26" s="1747" t="s">
        <v>6</v>
      </c>
      <c r="C26" s="2027"/>
      <c r="D26" s="2027"/>
      <c r="E26" s="2027"/>
      <c r="F26" s="2027"/>
      <c r="G26" s="2027" t="s">
        <v>6</v>
      </c>
      <c r="H26" s="2028" t="s">
        <v>6</v>
      </c>
      <c r="I26" s="2027"/>
      <c r="J26" s="2027"/>
      <c r="K26" s="2027"/>
      <c r="L26" s="2027"/>
      <c r="M26" s="2027" t="s">
        <v>6</v>
      </c>
      <c r="N26" s="2027"/>
      <c r="O26" s="2029"/>
      <c r="P26" s="2027"/>
      <c r="Q26" s="2029"/>
      <c r="R26" s="2027"/>
      <c r="S26" s="2029" t="s">
        <v>6</v>
      </c>
    </row>
    <row r="27" spans="1:19">
      <c r="A27" s="2173" t="s">
        <v>2613</v>
      </c>
      <c r="B27" s="1747" t="s">
        <v>6</v>
      </c>
      <c r="C27" s="2027">
        <v>3724569</v>
      </c>
      <c r="D27" s="2030"/>
      <c r="E27" s="2027">
        <v>623205</v>
      </c>
      <c r="F27" s="2030"/>
      <c r="G27" s="2027">
        <f t="shared" si="0"/>
        <v>4347774</v>
      </c>
      <c r="H27" s="2028" t="s">
        <v>6</v>
      </c>
      <c r="I27" s="2027">
        <f>3182378-1</f>
        <v>3182377</v>
      </c>
      <c r="J27" s="2030"/>
      <c r="K27" s="2027">
        <v>466474</v>
      </c>
      <c r="L27" s="2030"/>
      <c r="M27" s="2027">
        <f t="shared" si="1"/>
        <v>3648851</v>
      </c>
      <c r="N27" s="2027"/>
      <c r="O27" s="2029">
        <v>2379711</v>
      </c>
      <c r="P27" s="2030"/>
      <c r="Q27" s="2029">
        <f>343338+1</f>
        <v>343339</v>
      </c>
      <c r="R27" s="2030"/>
      <c r="S27" s="2029">
        <f t="shared" si="2"/>
        <v>2723050</v>
      </c>
    </row>
    <row r="28" spans="1:19">
      <c r="A28" s="2173" t="s">
        <v>614</v>
      </c>
      <c r="B28" s="1747" t="s">
        <v>6</v>
      </c>
      <c r="C28" s="2027">
        <f>37584068-1</f>
        <v>37584067</v>
      </c>
      <c r="D28" s="2030"/>
      <c r="E28" s="2027">
        <v>7897432</v>
      </c>
      <c r="F28" s="2030"/>
      <c r="G28" s="2027">
        <f t="shared" si="0"/>
        <v>45481499</v>
      </c>
      <c r="H28" s="2028" t="s">
        <v>6</v>
      </c>
      <c r="I28" s="2027">
        <f>27787938+1</f>
        <v>27787939</v>
      </c>
      <c r="J28" s="2030"/>
      <c r="K28" s="2027">
        <v>6215298</v>
      </c>
      <c r="L28" s="2030"/>
      <c r="M28" s="2027">
        <f t="shared" si="1"/>
        <v>34003237</v>
      </c>
      <c r="N28" s="2027"/>
      <c r="O28" s="2029">
        <v>14088373</v>
      </c>
      <c r="P28" s="2030"/>
      <c r="Q28" s="2029">
        <v>4942716</v>
      </c>
      <c r="R28" s="2030"/>
      <c r="S28" s="2029">
        <f t="shared" si="2"/>
        <v>19031089</v>
      </c>
    </row>
    <row r="29" spans="1:19">
      <c r="A29" s="1749" t="s">
        <v>1932</v>
      </c>
      <c r="B29" s="1747" t="s">
        <v>6</v>
      </c>
      <c r="C29" s="1827">
        <v>0</v>
      </c>
      <c r="D29" s="2029"/>
      <c r="E29" s="1827">
        <v>0</v>
      </c>
      <c r="F29" s="2029"/>
      <c r="G29" s="2027">
        <f t="shared" si="0"/>
        <v>0</v>
      </c>
      <c r="H29" s="2032" t="s">
        <v>6</v>
      </c>
      <c r="I29" s="1827">
        <v>0</v>
      </c>
      <c r="J29" s="2029"/>
      <c r="K29" s="1827">
        <v>0</v>
      </c>
      <c r="L29" s="2029"/>
      <c r="M29" s="2027">
        <f t="shared" si="1"/>
        <v>0</v>
      </c>
      <c r="N29" s="1827"/>
      <c r="O29" s="1827">
        <v>0</v>
      </c>
      <c r="P29" s="2029"/>
      <c r="Q29" s="1827">
        <v>0</v>
      </c>
      <c r="R29" s="2029"/>
      <c r="S29" s="2029">
        <f t="shared" si="2"/>
        <v>0</v>
      </c>
    </row>
    <row r="30" spans="1:19">
      <c r="A30" s="1749" t="s">
        <v>616</v>
      </c>
      <c r="B30" s="1746"/>
      <c r="C30" s="2027"/>
      <c r="D30" s="2027"/>
      <c r="E30" s="2027"/>
      <c r="F30" s="2027"/>
      <c r="G30" s="2027" t="s">
        <v>6</v>
      </c>
      <c r="H30" s="2031"/>
      <c r="I30" s="2027"/>
      <c r="J30" s="2027"/>
      <c r="K30" s="2027"/>
      <c r="L30" s="2027"/>
      <c r="M30" s="2027" t="s">
        <v>6</v>
      </c>
      <c r="N30" s="2027"/>
      <c r="O30" s="2029"/>
      <c r="P30" s="2027"/>
      <c r="Q30" s="2029"/>
      <c r="R30" s="2027"/>
      <c r="S30" s="2029" t="s">
        <v>6</v>
      </c>
    </row>
    <row r="31" spans="1:19">
      <c r="A31" s="1747" t="s">
        <v>617</v>
      </c>
      <c r="B31" s="1747" t="s">
        <v>6</v>
      </c>
      <c r="C31" s="2027">
        <v>2880000</v>
      </c>
      <c r="D31" s="2027"/>
      <c r="E31" s="2027">
        <v>479000</v>
      </c>
      <c r="F31" s="2027"/>
      <c r="G31" s="2027">
        <f t="shared" si="0"/>
        <v>3359000</v>
      </c>
      <c r="H31" s="2028" t="s">
        <v>6</v>
      </c>
      <c r="I31" s="2027">
        <v>2880000</v>
      </c>
      <c r="J31" s="2027"/>
      <c r="K31" s="2027">
        <v>382800</v>
      </c>
      <c r="L31" s="2030"/>
      <c r="M31" s="2027">
        <f t="shared" si="1"/>
        <v>3262800</v>
      </c>
      <c r="N31" s="2027"/>
      <c r="O31" s="2029">
        <v>1860000</v>
      </c>
      <c r="P31" s="2027"/>
      <c r="Q31" s="2029">
        <v>302800</v>
      </c>
      <c r="R31" s="2030"/>
      <c r="S31" s="2029">
        <f t="shared" si="2"/>
        <v>2162800</v>
      </c>
    </row>
    <row r="32" spans="1:19">
      <c r="A32" s="1747" t="s">
        <v>618</v>
      </c>
      <c r="B32" s="1747" t="s">
        <v>6</v>
      </c>
      <c r="C32" s="2027">
        <v>3455000</v>
      </c>
      <c r="D32" s="2027"/>
      <c r="E32" s="2027">
        <v>419984</v>
      </c>
      <c r="F32" s="2027"/>
      <c r="G32" s="2027">
        <f t="shared" si="0"/>
        <v>3874984</v>
      </c>
      <c r="H32" s="2028" t="s">
        <v>6</v>
      </c>
      <c r="I32" s="2027">
        <v>2110000</v>
      </c>
      <c r="J32" s="2027"/>
      <c r="K32" s="2027">
        <v>341882</v>
      </c>
      <c r="L32" s="2027"/>
      <c r="M32" s="2027">
        <f t="shared" si="1"/>
        <v>2451882</v>
      </c>
      <c r="N32" s="2027"/>
      <c r="O32" s="2029">
        <v>2185000</v>
      </c>
      <c r="P32" s="2027"/>
      <c r="Q32" s="2029">
        <v>275781</v>
      </c>
      <c r="R32" s="2027"/>
      <c r="S32" s="2029">
        <f t="shared" si="2"/>
        <v>2460781</v>
      </c>
    </row>
    <row r="33" spans="1:19">
      <c r="A33" s="1747" t="s">
        <v>1319</v>
      </c>
      <c r="B33" s="1747" t="s">
        <v>1317</v>
      </c>
      <c r="C33" s="1827">
        <v>0</v>
      </c>
      <c r="D33" s="2029"/>
      <c r="E33" s="1827">
        <v>0</v>
      </c>
      <c r="F33" s="2029"/>
      <c r="G33" s="2027">
        <f t="shared" si="0"/>
        <v>0</v>
      </c>
      <c r="H33" s="2032" t="s">
        <v>6</v>
      </c>
      <c r="I33" s="1827">
        <v>0</v>
      </c>
      <c r="J33" s="2029"/>
      <c r="K33" s="1827">
        <v>0</v>
      </c>
      <c r="L33" s="2029"/>
      <c r="M33" s="2027">
        <f t="shared" si="1"/>
        <v>0</v>
      </c>
      <c r="N33" s="1827"/>
      <c r="O33" s="1827">
        <v>0</v>
      </c>
      <c r="P33" s="2029"/>
      <c r="Q33" s="1827">
        <v>0</v>
      </c>
      <c r="R33" s="2029"/>
      <c r="S33" s="2029">
        <f t="shared" si="2"/>
        <v>0</v>
      </c>
    </row>
    <row r="34" spans="1:19">
      <c r="A34" s="1749" t="s">
        <v>1933</v>
      </c>
      <c r="B34" s="1747" t="s">
        <v>6</v>
      </c>
      <c r="C34" s="1827">
        <v>0</v>
      </c>
      <c r="D34" s="2029"/>
      <c r="E34" s="1827">
        <v>0</v>
      </c>
      <c r="F34" s="2029"/>
      <c r="G34" s="2027">
        <f t="shared" si="0"/>
        <v>0</v>
      </c>
      <c r="H34" s="2032" t="s">
        <v>6</v>
      </c>
      <c r="I34" s="1827">
        <v>0</v>
      </c>
      <c r="J34" s="2029"/>
      <c r="K34" s="1827">
        <v>0</v>
      </c>
      <c r="L34" s="2029"/>
      <c r="M34" s="2027">
        <f t="shared" si="1"/>
        <v>0</v>
      </c>
      <c r="N34" s="1827"/>
      <c r="O34" s="1827">
        <v>0</v>
      </c>
      <c r="P34" s="2029"/>
      <c r="Q34" s="1827">
        <v>0</v>
      </c>
      <c r="R34" s="2029"/>
      <c r="S34" s="2029">
        <f t="shared" si="2"/>
        <v>0</v>
      </c>
    </row>
    <row r="35" spans="1:19">
      <c r="A35" s="1749" t="s">
        <v>1934</v>
      </c>
      <c r="B35" s="1747" t="s">
        <v>12</v>
      </c>
      <c r="C35" s="2027">
        <v>3113</v>
      </c>
      <c r="D35" s="2027"/>
      <c r="E35" s="2027">
        <v>254</v>
      </c>
      <c r="F35" s="2027"/>
      <c r="G35" s="2027">
        <f t="shared" si="0"/>
        <v>3367</v>
      </c>
      <c r="H35" s="2028" t="s">
        <v>12</v>
      </c>
      <c r="I35" s="2033">
        <v>3238</v>
      </c>
      <c r="J35" s="1825"/>
      <c r="K35" s="2033">
        <v>130</v>
      </c>
      <c r="L35" s="1825"/>
      <c r="M35" s="2027">
        <f t="shared" si="1"/>
        <v>3368</v>
      </c>
      <c r="N35" s="2027"/>
      <c r="O35" s="2029">
        <v>0</v>
      </c>
      <c r="P35" s="1825"/>
      <c r="Q35" s="2029">
        <v>0</v>
      </c>
      <c r="R35" s="1825"/>
      <c r="S35" s="2029">
        <f t="shared" si="2"/>
        <v>0</v>
      </c>
    </row>
    <row r="36" spans="1:19">
      <c r="A36" s="1749" t="s">
        <v>1935</v>
      </c>
      <c r="B36" s="1747" t="s">
        <v>6</v>
      </c>
      <c r="C36" s="2027">
        <v>5697235</v>
      </c>
      <c r="D36" s="2030"/>
      <c r="E36" s="2027">
        <v>1209791</v>
      </c>
      <c r="F36" s="2030"/>
      <c r="G36" s="2027">
        <f t="shared" si="0"/>
        <v>6907026</v>
      </c>
      <c r="H36" s="2028" t="s">
        <v>6</v>
      </c>
      <c r="I36" s="2027">
        <v>4276347</v>
      </c>
      <c r="J36" s="2027"/>
      <c r="K36" s="2027">
        <v>986610</v>
      </c>
      <c r="L36" s="2027"/>
      <c r="M36" s="2027">
        <f t="shared" si="1"/>
        <v>5262957</v>
      </c>
      <c r="N36" s="2027"/>
      <c r="O36" s="2029">
        <v>3217264</v>
      </c>
      <c r="P36" s="2027"/>
      <c r="Q36" s="2029">
        <f>839408-1</f>
        <v>839407</v>
      </c>
      <c r="R36" s="2027"/>
      <c r="S36" s="2029">
        <f t="shared" si="2"/>
        <v>4056671</v>
      </c>
    </row>
    <row r="37" spans="1:19">
      <c r="A37" s="1749" t="s">
        <v>1936</v>
      </c>
      <c r="B37" s="1747" t="s">
        <v>6</v>
      </c>
      <c r="C37" s="2027">
        <v>297439</v>
      </c>
      <c r="D37" s="2030"/>
      <c r="E37" s="2027">
        <v>7867</v>
      </c>
      <c r="F37" s="2030"/>
      <c r="G37" s="2027">
        <f t="shared" si="0"/>
        <v>305306</v>
      </c>
      <c r="H37" s="2028" t="s">
        <v>6</v>
      </c>
      <c r="I37" s="2027">
        <v>0</v>
      </c>
      <c r="J37" s="2030"/>
      <c r="K37" s="2027">
        <v>0</v>
      </c>
      <c r="L37" s="2030"/>
      <c r="M37" s="2027">
        <f t="shared" si="1"/>
        <v>0</v>
      </c>
      <c r="N37" s="2027"/>
      <c r="O37" s="1827">
        <v>0</v>
      </c>
      <c r="P37" s="2029"/>
      <c r="Q37" s="1827">
        <v>0</v>
      </c>
      <c r="R37" s="2029"/>
      <c r="S37" s="2029">
        <f t="shared" si="2"/>
        <v>0</v>
      </c>
    </row>
    <row r="38" spans="1:19">
      <c r="A38" s="1749" t="s">
        <v>624</v>
      </c>
      <c r="B38" s="1747" t="s">
        <v>6</v>
      </c>
      <c r="C38" s="2027"/>
      <c r="D38" s="2027"/>
      <c r="E38" s="2027"/>
      <c r="F38" s="2027"/>
      <c r="G38" s="2027" t="s">
        <v>6</v>
      </c>
      <c r="H38" s="2028" t="s">
        <v>6</v>
      </c>
      <c r="I38" s="2027"/>
      <c r="J38" s="2027"/>
      <c r="K38" s="2027"/>
      <c r="L38" s="2027"/>
      <c r="M38" s="2027" t="s">
        <v>6</v>
      </c>
      <c r="N38" s="2027"/>
      <c r="O38" s="2029"/>
      <c r="P38" s="2027"/>
      <c r="Q38" s="2029"/>
      <c r="R38" s="2027"/>
      <c r="S38" s="2029" t="s">
        <v>6</v>
      </c>
    </row>
    <row r="39" spans="1:19">
      <c r="A39" s="1747" t="s">
        <v>625</v>
      </c>
      <c r="B39" s="1747" t="s">
        <v>6</v>
      </c>
      <c r="C39" s="2027">
        <v>55248657</v>
      </c>
      <c r="D39" s="2027"/>
      <c r="E39" s="2027">
        <v>35814737</v>
      </c>
      <c r="F39" s="2027"/>
      <c r="G39" s="2027">
        <f t="shared" si="0"/>
        <v>91063394</v>
      </c>
      <c r="H39" s="2028" t="s">
        <v>6</v>
      </c>
      <c r="I39" s="2027">
        <v>55858222</v>
      </c>
      <c r="J39" s="2027"/>
      <c r="K39" s="2027">
        <v>33511076</v>
      </c>
      <c r="L39" s="2027"/>
      <c r="M39" s="2027">
        <f t="shared" si="1"/>
        <v>89369298</v>
      </c>
      <c r="N39" s="2027"/>
      <c r="O39" s="2029">
        <f>49599736-1</f>
        <v>49599735</v>
      </c>
      <c r="P39" s="2027"/>
      <c r="Q39" s="2029">
        <v>30971323</v>
      </c>
      <c r="R39" s="2027"/>
      <c r="S39" s="2029">
        <f t="shared" si="2"/>
        <v>80571058</v>
      </c>
    </row>
    <row r="40" spans="1:19">
      <c r="A40" s="1753" t="s">
        <v>626</v>
      </c>
      <c r="B40" s="1753" t="s">
        <v>6</v>
      </c>
      <c r="C40" s="1827">
        <v>2579356</v>
      </c>
      <c r="D40" s="1825"/>
      <c r="E40" s="1827">
        <f>703896-1</f>
        <v>703895</v>
      </c>
      <c r="F40" s="1825"/>
      <c r="G40" s="2027">
        <f t="shared" si="0"/>
        <v>3283251</v>
      </c>
      <c r="H40" s="2028" t="s">
        <v>6</v>
      </c>
      <c r="I40" s="2029">
        <v>2692443</v>
      </c>
      <c r="J40" s="1825"/>
      <c r="K40" s="2029">
        <v>591155</v>
      </c>
      <c r="L40" s="1825"/>
      <c r="M40" s="2027">
        <f t="shared" si="1"/>
        <v>3283598</v>
      </c>
      <c r="N40" s="2027"/>
      <c r="O40" s="2029">
        <v>2815133</v>
      </c>
      <c r="P40" s="1825"/>
      <c r="Q40" s="2029">
        <v>468539</v>
      </c>
      <c r="R40" s="1825"/>
      <c r="S40" s="2029">
        <f t="shared" si="2"/>
        <v>3283672</v>
      </c>
    </row>
    <row r="41" spans="1:19">
      <c r="A41" s="1753" t="s">
        <v>627</v>
      </c>
      <c r="B41" s="1753" t="s">
        <v>6</v>
      </c>
      <c r="C41" s="1827">
        <f>2734938+1</f>
        <v>2734939</v>
      </c>
      <c r="D41" s="1825"/>
      <c r="E41" s="1827">
        <v>2098775</v>
      </c>
      <c r="F41" s="1825"/>
      <c r="G41" s="2027">
        <f t="shared" si="0"/>
        <v>4833714</v>
      </c>
      <c r="H41" s="2028" t="s">
        <v>6</v>
      </c>
      <c r="I41" s="2029">
        <v>2849840</v>
      </c>
      <c r="J41" s="1825"/>
      <c r="K41" s="2029">
        <v>1982870</v>
      </c>
      <c r="L41" s="1825"/>
      <c r="M41" s="2027">
        <f t="shared" si="1"/>
        <v>4832710</v>
      </c>
      <c r="N41" s="2027"/>
      <c r="O41" s="2029">
        <v>2984498</v>
      </c>
      <c r="P41" s="1825"/>
      <c r="Q41" s="2029">
        <v>1848517</v>
      </c>
      <c r="R41" s="1825"/>
      <c r="S41" s="2029">
        <f t="shared" si="2"/>
        <v>4833015</v>
      </c>
    </row>
    <row r="42" spans="1:19">
      <c r="A42" s="1747" t="s">
        <v>628</v>
      </c>
      <c r="B42" s="1747" t="s">
        <v>6</v>
      </c>
      <c r="C42" s="1827">
        <f>3257340-1</f>
        <v>3257339</v>
      </c>
      <c r="D42" s="1827"/>
      <c r="E42" s="1827">
        <v>3644105</v>
      </c>
      <c r="F42" s="1825"/>
      <c r="G42" s="2027">
        <f t="shared" si="0"/>
        <v>6901444</v>
      </c>
      <c r="H42" s="2028" t="s">
        <v>6</v>
      </c>
      <c r="I42" s="2029">
        <v>3414705</v>
      </c>
      <c r="J42" s="1827"/>
      <c r="K42" s="2029">
        <v>3485942</v>
      </c>
      <c r="L42" s="1825"/>
      <c r="M42" s="2027">
        <f t="shared" si="1"/>
        <v>6900647</v>
      </c>
      <c r="N42" s="2027"/>
      <c r="O42" s="2029">
        <v>3591108</v>
      </c>
      <c r="P42" s="1827"/>
      <c r="Q42" s="2029">
        <v>3310819</v>
      </c>
      <c r="R42" s="1825"/>
      <c r="S42" s="2029">
        <f t="shared" si="2"/>
        <v>6901927</v>
      </c>
    </row>
    <row r="43" spans="1:19">
      <c r="A43" s="1747" t="s">
        <v>1310</v>
      </c>
      <c r="B43" s="1747" t="s">
        <v>6</v>
      </c>
      <c r="C43" s="2034">
        <v>1813667</v>
      </c>
      <c r="D43" s="2034"/>
      <c r="E43" s="2034">
        <v>283409</v>
      </c>
      <c r="F43" s="2034"/>
      <c r="G43" s="2027">
        <f t="shared" si="0"/>
        <v>2097076</v>
      </c>
      <c r="H43" s="2028" t="s">
        <v>6</v>
      </c>
      <c r="I43" s="2033">
        <v>1892336</v>
      </c>
      <c r="J43" s="2034"/>
      <c r="K43" s="2033">
        <v>205135</v>
      </c>
      <c r="L43" s="2034"/>
      <c r="M43" s="2027">
        <f t="shared" si="1"/>
        <v>2097471</v>
      </c>
      <c r="N43" s="2027"/>
      <c r="O43" s="2029">
        <v>1495780</v>
      </c>
      <c r="P43" s="2034"/>
      <c r="Q43" s="2029">
        <v>120699</v>
      </c>
      <c r="R43" s="2034"/>
      <c r="S43" s="2029">
        <f t="shared" si="2"/>
        <v>1616479</v>
      </c>
    </row>
    <row r="44" spans="1:19">
      <c r="A44" s="1747" t="s">
        <v>630</v>
      </c>
      <c r="B44" s="1747" t="s">
        <v>6</v>
      </c>
      <c r="C44" s="2027">
        <v>38675678</v>
      </c>
      <c r="D44" s="2030"/>
      <c r="E44" s="2027">
        <f>36743920-1</f>
        <v>36743919</v>
      </c>
      <c r="F44" s="2030"/>
      <c r="G44" s="2027">
        <f t="shared" si="0"/>
        <v>75419597</v>
      </c>
      <c r="H44" s="2028" t="s">
        <v>6</v>
      </c>
      <c r="I44" s="2027">
        <v>40070170</v>
      </c>
      <c r="J44" s="2030"/>
      <c r="K44" s="2027">
        <f>35343115+1</f>
        <v>35343116</v>
      </c>
      <c r="L44" s="2030"/>
      <c r="M44" s="2027">
        <f t="shared" si="1"/>
        <v>75413286</v>
      </c>
      <c r="N44" s="2027"/>
      <c r="O44" s="2029">
        <v>37449646</v>
      </c>
      <c r="P44" s="2030"/>
      <c r="Q44" s="2029">
        <f>33753945+1</f>
        <v>33753946</v>
      </c>
      <c r="R44" s="2030"/>
      <c r="S44" s="2029">
        <f t="shared" si="2"/>
        <v>71203592</v>
      </c>
    </row>
    <row r="45" spans="1:19">
      <c r="A45" s="1749" t="s">
        <v>631</v>
      </c>
      <c r="B45" s="1746"/>
      <c r="C45" s="2027"/>
      <c r="D45" s="2027"/>
      <c r="E45" s="2027"/>
      <c r="F45" s="2027"/>
      <c r="G45" s="2027" t="s">
        <v>6</v>
      </c>
      <c r="H45" s="2031"/>
      <c r="I45" s="2027"/>
      <c r="J45" s="2027"/>
      <c r="K45" s="2027"/>
      <c r="L45" s="2027"/>
      <c r="M45" s="2027" t="s">
        <v>6</v>
      </c>
      <c r="N45" s="2027"/>
      <c r="O45" s="2029"/>
      <c r="P45" s="2027"/>
      <c r="Q45" s="2029"/>
      <c r="R45" s="2027"/>
      <c r="S45" s="2029" t="s">
        <v>6</v>
      </c>
    </row>
    <row r="46" spans="1:19">
      <c r="A46" s="1747" t="s">
        <v>661</v>
      </c>
      <c r="B46" s="1747" t="s">
        <v>6</v>
      </c>
      <c r="C46" s="2027">
        <v>337856</v>
      </c>
      <c r="D46" s="2027"/>
      <c r="E46" s="2027">
        <v>66669</v>
      </c>
      <c r="F46" s="2027"/>
      <c r="G46" s="2027">
        <f t="shared" si="0"/>
        <v>404525</v>
      </c>
      <c r="H46" s="2028" t="s">
        <v>6</v>
      </c>
      <c r="I46" s="2027">
        <v>169791</v>
      </c>
      <c r="J46" s="2027"/>
      <c r="K46" s="2027">
        <v>52793</v>
      </c>
      <c r="L46" s="2027"/>
      <c r="M46" s="2027">
        <f t="shared" si="1"/>
        <v>222584</v>
      </c>
      <c r="N46" s="2027"/>
      <c r="O46" s="2029">
        <v>178281</v>
      </c>
      <c r="P46" s="2027"/>
      <c r="Q46" s="2029">
        <v>44303</v>
      </c>
      <c r="R46" s="2027"/>
      <c r="S46" s="2029">
        <f t="shared" si="2"/>
        <v>222584</v>
      </c>
    </row>
    <row r="47" spans="1:19">
      <c r="A47" s="1747" t="s">
        <v>662</v>
      </c>
      <c r="B47" s="1747" t="s">
        <v>6</v>
      </c>
      <c r="C47" s="1827">
        <v>0</v>
      </c>
      <c r="D47" s="2029"/>
      <c r="E47" s="1827">
        <v>0</v>
      </c>
      <c r="F47" s="2029"/>
      <c r="G47" s="2027">
        <f t="shared" si="0"/>
        <v>0</v>
      </c>
      <c r="H47" s="2032" t="s">
        <v>6</v>
      </c>
      <c r="I47" s="1827">
        <v>0</v>
      </c>
      <c r="J47" s="2029"/>
      <c r="K47" s="1827">
        <v>0</v>
      </c>
      <c r="L47" s="2029"/>
      <c r="M47" s="2027">
        <f t="shared" si="1"/>
        <v>0</v>
      </c>
      <c r="N47" s="1827"/>
      <c r="O47" s="1827">
        <v>0</v>
      </c>
      <c r="P47" s="2029"/>
      <c r="Q47" s="1827">
        <v>0</v>
      </c>
      <c r="R47" s="2029"/>
      <c r="S47" s="2029">
        <f t="shared" si="2"/>
        <v>0</v>
      </c>
    </row>
    <row r="48" spans="1:19">
      <c r="A48" s="1747" t="s">
        <v>663</v>
      </c>
      <c r="B48" s="1747" t="s">
        <v>6</v>
      </c>
      <c r="C48" s="2027">
        <v>1304038</v>
      </c>
      <c r="D48" s="2030"/>
      <c r="E48" s="2027">
        <v>230058</v>
      </c>
      <c r="F48" s="2030"/>
      <c r="G48" s="2027">
        <f t="shared" si="0"/>
        <v>1534096</v>
      </c>
      <c r="H48" s="2028" t="s">
        <v>6</v>
      </c>
      <c r="I48" s="2027">
        <v>781006</v>
      </c>
      <c r="J48" s="2030"/>
      <c r="K48" s="2027">
        <v>183789</v>
      </c>
      <c r="L48" s="2030"/>
      <c r="M48" s="2027">
        <f t="shared" si="1"/>
        <v>964795</v>
      </c>
      <c r="N48" s="2027"/>
      <c r="O48" s="2029">
        <v>1088953</v>
      </c>
      <c r="P48" s="2030"/>
      <c r="Q48" s="2029">
        <v>147448</v>
      </c>
      <c r="R48" s="2030"/>
      <c r="S48" s="2029">
        <f t="shared" si="2"/>
        <v>1236401</v>
      </c>
    </row>
    <row r="49" spans="1:19">
      <c r="A49" s="823" t="s">
        <v>2538</v>
      </c>
      <c r="B49" s="2173" t="s">
        <v>6</v>
      </c>
      <c r="C49" s="2027">
        <v>0</v>
      </c>
      <c r="D49" s="2030"/>
      <c r="E49" s="2027">
        <v>0</v>
      </c>
      <c r="F49" s="2030"/>
      <c r="G49" s="2027">
        <v>0</v>
      </c>
      <c r="H49" s="2028"/>
      <c r="I49" s="2027">
        <v>0</v>
      </c>
      <c r="J49" s="2030"/>
      <c r="K49" s="2027">
        <v>0</v>
      </c>
      <c r="L49" s="2030"/>
      <c r="M49" s="2027">
        <v>0</v>
      </c>
      <c r="N49" s="2027"/>
      <c r="O49" s="2029">
        <v>0</v>
      </c>
      <c r="P49" s="2030"/>
      <c r="Q49" s="2029">
        <v>0</v>
      </c>
      <c r="R49" s="2030"/>
      <c r="S49" s="2029">
        <f t="shared" si="2"/>
        <v>0</v>
      </c>
    </row>
    <row r="50" spans="1:19">
      <c r="A50" s="1749" t="s">
        <v>635</v>
      </c>
      <c r="B50" s="1746"/>
      <c r="C50" s="2027"/>
      <c r="D50" s="2027"/>
      <c r="E50" s="2027"/>
      <c r="F50" s="2027"/>
      <c r="G50" s="2027" t="s">
        <v>6</v>
      </c>
      <c r="H50" s="2028" t="s">
        <v>6</v>
      </c>
      <c r="I50" s="2027"/>
      <c r="J50" s="2027"/>
      <c r="K50" s="2027"/>
      <c r="L50" s="2027"/>
      <c r="M50" s="2027" t="s">
        <v>6</v>
      </c>
      <c r="N50" s="2027"/>
      <c r="O50" s="2029"/>
      <c r="P50" s="2027"/>
      <c r="Q50" s="2029"/>
      <c r="R50" s="2027"/>
      <c r="S50" s="2029" t="s">
        <v>6</v>
      </c>
    </row>
    <row r="51" spans="1:19">
      <c r="A51" s="1747" t="s">
        <v>636</v>
      </c>
      <c r="B51" s="1747" t="s">
        <v>6</v>
      </c>
      <c r="C51" s="2027">
        <v>1455965</v>
      </c>
      <c r="D51" s="2027"/>
      <c r="E51" s="2027">
        <v>215415</v>
      </c>
      <c r="F51" s="2027"/>
      <c r="G51" s="2027">
        <f t="shared" si="0"/>
        <v>1671380</v>
      </c>
      <c r="H51" s="2028" t="s">
        <v>6</v>
      </c>
      <c r="I51" s="2027">
        <v>628533</v>
      </c>
      <c r="J51" s="2027"/>
      <c r="K51" s="2027">
        <v>170406</v>
      </c>
      <c r="L51" s="2027"/>
      <c r="M51" s="2027">
        <f t="shared" si="1"/>
        <v>798939</v>
      </c>
      <c r="N51" s="2027"/>
      <c r="O51" s="2029">
        <f>720342+1</f>
        <v>720343</v>
      </c>
      <c r="P51" s="2027"/>
      <c r="Q51" s="2029">
        <v>145408</v>
      </c>
      <c r="R51" s="2027"/>
      <c r="S51" s="2029">
        <f t="shared" si="2"/>
        <v>865751</v>
      </c>
    </row>
    <row r="52" spans="1:19">
      <c r="A52" s="1747" t="s">
        <v>1320</v>
      </c>
      <c r="B52" s="1747" t="s">
        <v>1317</v>
      </c>
      <c r="C52" s="1827">
        <v>0</v>
      </c>
      <c r="D52" s="2029"/>
      <c r="E52" s="1827">
        <v>0</v>
      </c>
      <c r="F52" s="2029"/>
      <c r="G52" s="2027">
        <v>0</v>
      </c>
      <c r="H52" s="2032" t="s">
        <v>6</v>
      </c>
      <c r="I52" s="1827">
        <v>0</v>
      </c>
      <c r="J52" s="2029"/>
      <c r="K52" s="1827">
        <v>0</v>
      </c>
      <c r="L52" s="2029"/>
      <c r="M52" s="2027">
        <f t="shared" si="1"/>
        <v>0</v>
      </c>
      <c r="N52" s="1827"/>
      <c r="O52" s="1827">
        <v>0</v>
      </c>
      <c r="P52" s="2029"/>
      <c r="Q52" s="1827">
        <v>0</v>
      </c>
      <c r="R52" s="2029"/>
      <c r="S52" s="2029">
        <f t="shared" si="2"/>
        <v>0</v>
      </c>
    </row>
    <row r="53" spans="1:19">
      <c r="A53" s="1747" t="s">
        <v>664</v>
      </c>
      <c r="B53" s="1747" t="s">
        <v>6</v>
      </c>
      <c r="C53" s="2027">
        <v>38670</v>
      </c>
      <c r="D53" s="2027"/>
      <c r="E53" s="2027">
        <v>996</v>
      </c>
      <c r="F53" s="2027"/>
      <c r="G53" s="2027">
        <f t="shared" si="0"/>
        <v>39666</v>
      </c>
      <c r="H53" s="2028" t="s">
        <v>6</v>
      </c>
      <c r="I53" s="2027">
        <v>0</v>
      </c>
      <c r="J53" s="2027"/>
      <c r="K53" s="2027">
        <v>0</v>
      </c>
      <c r="L53" s="2027"/>
      <c r="M53" s="2027">
        <f t="shared" si="1"/>
        <v>0</v>
      </c>
      <c r="N53" s="2027"/>
      <c r="O53" s="1827">
        <v>0</v>
      </c>
      <c r="P53" s="2029"/>
      <c r="Q53" s="1827">
        <v>0</v>
      </c>
      <c r="R53" s="2029"/>
      <c r="S53" s="2029">
        <f t="shared" si="2"/>
        <v>0</v>
      </c>
    </row>
    <row r="54" spans="1:19" ht="21.75" customHeight="1" thickBot="1">
      <c r="A54" s="1749" t="s">
        <v>1937</v>
      </c>
      <c r="B54" s="1747" t="s">
        <v>6</v>
      </c>
      <c r="C54" s="1829">
        <f>ROUND(SUM(C12:C53),0)</f>
        <v>264845000</v>
      </c>
      <c r="D54" s="1824"/>
      <c r="E54" s="1829">
        <f>ROUND(SUM(E12:E53),0)</f>
        <v>117444650</v>
      </c>
      <c r="F54" s="1824"/>
      <c r="G54" s="1829">
        <f>ROUND(SUM(G12:G53),0)</f>
        <v>382289650</v>
      </c>
      <c r="H54" s="1824"/>
      <c r="I54" s="1829">
        <f>ROUND(SUM(I12:I53),0)</f>
        <v>229585000</v>
      </c>
      <c r="J54" s="1824"/>
      <c r="K54" s="1829">
        <f>ROUND(SUM(K12:K53),0)</f>
        <v>106612984</v>
      </c>
      <c r="L54" s="1824"/>
      <c r="M54" s="1829">
        <f>ROUND(SUM(M12:M53),0)</f>
        <v>336197984</v>
      </c>
      <c r="N54" s="2215"/>
      <c r="O54" s="1829">
        <f>ROUND(SUM(O12:O53),0)</f>
        <v>187165000</v>
      </c>
      <c r="P54" s="1824"/>
      <c r="Q54" s="1829">
        <f>ROUND(SUM(Q12:Q53),0)</f>
        <v>96902290</v>
      </c>
      <c r="R54" s="1824"/>
      <c r="S54" s="1829">
        <f>ROUND(SUM(S12:S53),0)</f>
        <v>284067290</v>
      </c>
    </row>
    <row r="55" spans="1:19" ht="16" thickTop="1">
      <c r="B55" s="1584" t="s">
        <v>6</v>
      </c>
      <c r="C55" s="1591"/>
      <c r="D55" s="1588"/>
      <c r="E55" s="1591"/>
      <c r="F55" s="1588"/>
      <c r="G55" s="1591"/>
      <c r="H55" s="1588"/>
      <c r="I55" s="1591"/>
      <c r="J55" s="1588"/>
      <c r="K55" s="1591"/>
      <c r="L55" s="1588"/>
      <c r="M55" s="1592"/>
    </row>
    <row r="56" spans="1:19">
      <c r="A56" s="1580" t="s">
        <v>1955</v>
      </c>
      <c r="C56" s="1588"/>
      <c r="D56" s="1588"/>
      <c r="E56" s="1588"/>
      <c r="F56" s="1588"/>
      <c r="G56" s="1588"/>
      <c r="H56" s="1588"/>
      <c r="I56" s="1588"/>
      <c r="J56" s="1588"/>
      <c r="K56" s="1588"/>
      <c r="L56" s="1588"/>
      <c r="M56" s="1588"/>
      <c r="R56" s="1594"/>
    </row>
    <row r="57" spans="1:19">
      <c r="A57" s="1593" t="s">
        <v>6</v>
      </c>
      <c r="C57" s="1588"/>
      <c r="D57" s="1588"/>
      <c r="E57" s="1588"/>
      <c r="F57" s="1588"/>
      <c r="G57" s="1588"/>
      <c r="H57" s="1588"/>
      <c r="I57" s="1588"/>
      <c r="J57" s="1588"/>
      <c r="K57" s="1588"/>
      <c r="L57" s="1588"/>
      <c r="M57" s="1588"/>
    </row>
    <row r="58" spans="1:19">
      <c r="A58" s="1595"/>
      <c r="C58" s="1588"/>
      <c r="D58" s="1588"/>
      <c r="E58" s="1588"/>
      <c r="F58" s="1588"/>
      <c r="G58" s="1588"/>
      <c r="H58" s="1588"/>
      <c r="L58" s="1588"/>
      <c r="M58" s="1588"/>
    </row>
  </sheetData>
  <mergeCells count="3">
    <mergeCell ref="C8:G8"/>
    <mergeCell ref="I8:M8"/>
    <mergeCell ref="O8:S8"/>
  </mergeCells>
  <printOptions verticalCentered="1"/>
  <pageMargins left="0.75" right="0.4" top="0.5" bottom="0.5" header="0.5" footer="0.25"/>
  <pageSetup scale="50" firstPageNumber="97" orientation="landscape" useFirstPageNumber="1"/>
  <headerFooter scaleWithDoc="0">
    <oddFooter>&amp;R&amp;8 97</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E58"/>
  <sheetViews>
    <sheetView showGridLines="0" zoomScale="70" zoomScaleNormal="70" zoomScaleSheetLayoutView="40" zoomScalePageLayoutView="70" workbookViewId="0"/>
  </sheetViews>
  <sheetFormatPr baseColWidth="10" defaultColWidth="8.85546875" defaultRowHeight="15" x14ac:dyDescent="0"/>
  <cols>
    <col min="1" max="1" width="48" style="1584" customWidth="1"/>
    <col min="2" max="2" width="2" style="1584" customWidth="1"/>
    <col min="3" max="3" width="15.42578125" style="1590" customWidth="1"/>
    <col min="4" max="4" width="1.42578125" style="1584" customWidth="1"/>
    <col min="5" max="5" width="14" style="1590" customWidth="1"/>
    <col min="6" max="6" width="1.85546875" style="1584" customWidth="1"/>
    <col min="7" max="7" width="14.140625" style="1590" customWidth="1"/>
    <col min="8" max="8" width="1.5703125" style="1584" customWidth="1"/>
    <col min="9" max="9" width="14.5703125" style="1584" customWidth="1"/>
    <col min="10" max="10" width="1.140625" style="1584" customWidth="1"/>
    <col min="11" max="11" width="13.5703125" style="1584" customWidth="1"/>
    <col min="12" max="12" width="1.140625" style="1584" customWidth="1"/>
    <col min="13" max="13" width="15" style="1584" customWidth="1"/>
    <col min="14" max="14" width="1.140625" style="1584" customWidth="1"/>
    <col min="15" max="15" width="15.42578125" style="1584" customWidth="1"/>
    <col min="16" max="16" width="1.140625" style="1584" customWidth="1"/>
    <col min="17" max="17" width="15.140625" style="1584" customWidth="1"/>
    <col min="18" max="18" width="0.85546875" style="1584" customWidth="1"/>
    <col min="19" max="19" width="15.42578125" style="1584" customWidth="1"/>
    <col min="20" max="20" width="0.85546875" style="1584" customWidth="1"/>
    <col min="21" max="21" width="15.5703125" style="1584" customWidth="1"/>
    <col min="22" max="22" width="1.140625" style="1584" customWidth="1"/>
    <col min="23" max="23" width="15.42578125" style="1584" customWidth="1"/>
    <col min="24" max="24" width="1" style="1584" customWidth="1"/>
    <col min="25" max="25" width="16.140625" style="1584" customWidth="1"/>
    <col min="26" max="26" width="2.5703125" style="1584" customWidth="1"/>
    <col min="27" max="27" width="14.42578125" style="1584" bestFit="1" customWidth="1"/>
    <col min="28" max="28" width="2" style="1584" customWidth="1"/>
    <col min="29" max="29" width="14.42578125" style="1584" customWidth="1"/>
    <col min="30" max="30" width="2" style="1584" customWidth="1"/>
    <col min="31" max="31" width="15.85546875" style="1584" customWidth="1"/>
    <col min="32" max="32" width="2" style="1584" customWidth="1"/>
    <col min="33" max="16384" width="8.85546875" style="1584"/>
  </cols>
  <sheetData>
    <row r="1" spans="1:25">
      <c r="A1" s="1582" t="s">
        <v>1443</v>
      </c>
    </row>
    <row r="3" spans="1:25" ht="20">
      <c r="A3" s="1583" t="s">
        <v>0</v>
      </c>
    </row>
    <row r="4" spans="1:25" ht="21">
      <c r="A4" s="1583" t="s">
        <v>1313</v>
      </c>
      <c r="Y4" s="1596" t="s">
        <v>1314</v>
      </c>
    </row>
    <row r="5" spans="1:25" ht="20">
      <c r="A5" s="1583" t="s">
        <v>1963</v>
      </c>
      <c r="Y5" s="1597" t="s">
        <v>131</v>
      </c>
    </row>
    <row r="6" spans="1:25">
      <c r="A6" s="1586"/>
    </row>
    <row r="7" spans="1:25">
      <c r="A7" s="1586"/>
    </row>
    <row r="8" spans="1:25">
      <c r="A8" s="1755"/>
      <c r="B8" s="1755"/>
      <c r="C8" s="2430">
        <v>43921</v>
      </c>
      <c r="D8" s="2430"/>
      <c r="E8" s="2430"/>
      <c r="F8" s="2430"/>
      <c r="G8" s="2430"/>
      <c r="H8" s="1763"/>
      <c r="I8" s="2430">
        <v>44286</v>
      </c>
      <c r="J8" s="2430"/>
      <c r="K8" s="2430"/>
      <c r="L8" s="2430"/>
      <c r="M8" s="2430"/>
      <c r="N8" s="1755"/>
      <c r="O8" s="2430" t="s">
        <v>1321</v>
      </c>
      <c r="P8" s="2430"/>
      <c r="Q8" s="2430"/>
      <c r="R8" s="2430"/>
      <c r="S8" s="2430"/>
      <c r="T8" s="1755"/>
      <c r="U8" s="2430" t="s">
        <v>1322</v>
      </c>
      <c r="V8" s="2430"/>
      <c r="W8" s="2430"/>
      <c r="X8" s="2430"/>
      <c r="Y8" s="2430"/>
    </row>
    <row r="9" spans="1:25">
      <c r="A9" s="1757" t="s">
        <v>596</v>
      </c>
      <c r="B9" s="1755"/>
      <c r="C9" s="1757" t="s">
        <v>592</v>
      </c>
      <c r="D9" s="1761"/>
      <c r="E9" s="1757" t="s">
        <v>1301</v>
      </c>
      <c r="F9" s="1761"/>
      <c r="G9" s="1757" t="s">
        <v>276</v>
      </c>
      <c r="H9" s="1761"/>
      <c r="I9" s="1757" t="s">
        <v>592</v>
      </c>
      <c r="J9" s="1761"/>
      <c r="K9" s="1757" t="s">
        <v>1301</v>
      </c>
      <c r="L9" s="1761"/>
      <c r="M9" s="1757" t="s">
        <v>276</v>
      </c>
      <c r="N9" s="1755"/>
      <c r="O9" s="1757" t="s">
        <v>592</v>
      </c>
      <c r="P9" s="1761"/>
      <c r="Q9" s="1757" t="s">
        <v>1301</v>
      </c>
      <c r="R9" s="1761"/>
      <c r="S9" s="1757" t="s">
        <v>276</v>
      </c>
      <c r="T9" s="1755"/>
      <c r="U9" s="1757" t="s">
        <v>592</v>
      </c>
      <c r="V9" s="1761"/>
      <c r="W9" s="1757" t="s">
        <v>1301</v>
      </c>
      <c r="X9" s="1761"/>
      <c r="Y9" s="1757" t="s">
        <v>276</v>
      </c>
    </row>
    <row r="10" spans="1:25">
      <c r="A10" s="1755"/>
      <c r="B10" s="1755"/>
      <c r="C10" s="1755"/>
      <c r="D10" s="1755"/>
      <c r="E10" s="1755"/>
      <c r="F10" s="1755"/>
      <c r="G10" s="1755"/>
      <c r="H10" s="1755"/>
      <c r="I10" s="1764"/>
      <c r="J10" s="1760"/>
      <c r="K10" s="1764"/>
      <c r="L10" s="1760"/>
      <c r="M10" s="1764"/>
      <c r="N10" s="1755"/>
      <c r="O10" s="1760"/>
      <c r="P10" s="1760"/>
      <c r="Q10" s="1760"/>
      <c r="R10" s="1760"/>
      <c r="S10" s="1760"/>
      <c r="T10" s="1755"/>
      <c r="U10" s="1760"/>
      <c r="V10" s="1760"/>
      <c r="W10" s="1760"/>
      <c r="X10" s="1760"/>
      <c r="Y10" s="1760"/>
    </row>
    <row r="11" spans="1:25">
      <c r="A11" s="1758" t="s">
        <v>600</v>
      </c>
      <c r="B11" s="1755"/>
      <c r="C11" s="1755"/>
      <c r="D11" s="1755"/>
      <c r="E11" s="1755"/>
      <c r="F11" s="1755"/>
      <c r="G11" s="1755"/>
      <c r="H11" s="1755"/>
      <c r="I11" s="1755"/>
      <c r="J11" s="1760"/>
      <c r="K11" s="1755"/>
      <c r="L11" s="1760"/>
      <c r="M11" s="1755"/>
      <c r="N11" s="1755"/>
      <c r="O11" s="1755"/>
      <c r="P11" s="1760"/>
      <c r="Q11" s="1755"/>
      <c r="R11" s="1760"/>
      <c r="S11" s="1755"/>
      <c r="T11" s="1755"/>
      <c r="U11" s="1755"/>
      <c r="V11" s="1760"/>
      <c r="W11" s="1755"/>
      <c r="X11" s="1760"/>
      <c r="Y11" s="1755"/>
    </row>
    <row r="12" spans="1:25">
      <c r="A12" s="1759" t="s">
        <v>1938</v>
      </c>
      <c r="B12" s="1756" t="s">
        <v>6</v>
      </c>
      <c r="C12" s="1840">
        <v>5501074</v>
      </c>
      <c r="D12" s="1836"/>
      <c r="E12" s="1840">
        <v>755643</v>
      </c>
      <c r="F12" s="1836"/>
      <c r="G12" s="1840">
        <f>ROUND(SUM(C12:E12),0)</f>
        <v>6256717</v>
      </c>
      <c r="H12" s="1836"/>
      <c r="I12" s="1843">
        <v>1464683</v>
      </c>
      <c r="J12" s="1836"/>
      <c r="K12" s="1843">
        <v>504701</v>
      </c>
      <c r="L12" s="1836"/>
      <c r="M12" s="1843">
        <f>ROUND(SUM(I12:K12),0)</f>
        <v>1969384</v>
      </c>
      <c r="N12" s="1836"/>
      <c r="O12" s="1840">
        <v>9782168</v>
      </c>
      <c r="P12" s="1836"/>
      <c r="Q12" s="1840">
        <v>1737645</v>
      </c>
      <c r="R12" s="1836"/>
      <c r="S12" s="1840">
        <f>ROUND(SUM(O12:Q12),0)</f>
        <v>11519813</v>
      </c>
      <c r="T12" s="1836"/>
      <c r="U12" s="1840">
        <f>ROUND(SUM('SCH 18 pg1'!C12+'SCH 18 pg1'!I12+'SCH 18 pg1'!O12+'SCH 18 pg2'!C12+'SCH 18 pg2'!I12+'SCH 18 pg2'!O12),0)</f>
        <v>106955627</v>
      </c>
      <c r="V12" s="1836"/>
      <c r="W12" s="1840">
        <f>ROUND(SUM('SCH 18 pg1'!E12+'SCH 18 pg1'!K12+'SCH 18 pg1'!Q12+'SCH 18 pg2'!E12+'SCH 18 pg2'!K12+'SCH 18 pg2'!Q12),0)</f>
        <v>10847299</v>
      </c>
      <c r="X12" s="1836"/>
      <c r="Y12" s="1840">
        <f>ROUND(SUM(U12:W12),0)</f>
        <v>117802926</v>
      </c>
    </row>
    <row r="13" spans="1:25">
      <c r="A13" s="1758" t="s">
        <v>601</v>
      </c>
      <c r="B13" s="1756" t="s">
        <v>6</v>
      </c>
      <c r="C13" s="1833"/>
      <c r="D13" s="1833"/>
      <c r="E13" s="1833"/>
      <c r="F13" s="1833"/>
      <c r="G13" s="1833"/>
      <c r="H13" s="1833"/>
      <c r="I13" s="1838"/>
      <c r="J13" s="1832"/>
      <c r="K13" s="1838"/>
      <c r="L13" s="1832"/>
      <c r="M13" s="1834"/>
      <c r="N13" s="1833"/>
      <c r="O13" s="1832"/>
      <c r="P13" s="1832"/>
      <c r="Q13" s="1832"/>
      <c r="R13" s="1832"/>
      <c r="S13" s="1832"/>
      <c r="T13" s="1833"/>
      <c r="U13" s="1835"/>
      <c r="V13" s="1835"/>
      <c r="W13" s="1835"/>
      <c r="X13" s="1835"/>
      <c r="Y13" s="1835"/>
    </row>
    <row r="14" spans="1:25">
      <c r="A14" s="1756" t="s">
        <v>602</v>
      </c>
      <c r="B14" s="1756" t="s">
        <v>6</v>
      </c>
      <c r="C14" s="2035">
        <v>509359</v>
      </c>
      <c r="D14" s="2035"/>
      <c r="E14" s="2035">
        <v>30599</v>
      </c>
      <c r="F14" s="2035"/>
      <c r="G14" s="2035">
        <f>ROUND(SUM(C14:E14),0)</f>
        <v>539958</v>
      </c>
      <c r="H14" s="2035"/>
      <c r="I14" s="2036">
        <v>309518</v>
      </c>
      <c r="J14" s="2035"/>
      <c r="K14" s="2036">
        <v>14179</v>
      </c>
      <c r="L14" s="2035"/>
      <c r="M14" s="2036">
        <f>ROUND(SUM(I14:K14),0)</f>
        <v>323697</v>
      </c>
      <c r="N14" s="2035"/>
      <c r="O14" s="2035">
        <v>33926</v>
      </c>
      <c r="P14" s="2035"/>
      <c r="Q14" s="2035">
        <v>1018</v>
      </c>
      <c r="R14" s="2035"/>
      <c r="S14" s="2035">
        <f>ROUND(SUM(O14:Q14),0)</f>
        <v>34944</v>
      </c>
      <c r="T14" s="2035"/>
      <c r="U14" s="2035">
        <f>ROUND(SUM('SCH 18 pg1'!C14+'SCH 18 pg1'!I14+'SCH 18 pg1'!O14+'SCH 18 pg2'!C14+'SCH 18 pg2'!I14+'SCH 18 pg2'!O14),0)</f>
        <v>3010952</v>
      </c>
      <c r="V14" s="2035"/>
      <c r="W14" s="2035">
        <f>ROUND(SUM('SCH 18 pg1'!E14+'SCH 18 pg1'!K14+'SCH 18 pg1'!Q14+'SCH 18 pg2'!E14+'SCH 18 pg2'!K14+'SCH 18 pg2'!Q14),0)</f>
        <v>297206</v>
      </c>
      <c r="X14" s="2035"/>
      <c r="Y14" s="2035">
        <f>ROUND(SUM(U14:W14),0)</f>
        <v>3308158</v>
      </c>
    </row>
    <row r="15" spans="1:25">
      <c r="A15" s="1756" t="s">
        <v>603</v>
      </c>
      <c r="B15" s="1756" t="s">
        <v>6</v>
      </c>
      <c r="C15" s="1839">
        <v>0</v>
      </c>
      <c r="D15" s="2036"/>
      <c r="E15" s="1839">
        <v>0</v>
      </c>
      <c r="F15" s="2036"/>
      <c r="G15" s="2035">
        <f t="shared" ref="G15:G53" si="0">ROUND(SUM(C15:E15),0)</f>
        <v>0</v>
      </c>
      <c r="H15" s="2036"/>
      <c r="I15" s="1839">
        <v>0</v>
      </c>
      <c r="J15" s="2036"/>
      <c r="K15" s="1839">
        <v>0</v>
      </c>
      <c r="L15" s="2036"/>
      <c r="M15" s="2036">
        <f t="shared" ref="M15:M53" si="1">ROUND(SUM(I15:K15),0)</f>
        <v>0</v>
      </c>
      <c r="N15" s="2036"/>
      <c r="O15" s="1839">
        <v>0</v>
      </c>
      <c r="P15" s="2036"/>
      <c r="Q15" s="1839">
        <v>0</v>
      </c>
      <c r="R15" s="2036"/>
      <c r="S15" s="2035">
        <f t="shared" ref="S15:S53" si="2">ROUND(SUM(O15:Q15),0)</f>
        <v>0</v>
      </c>
      <c r="T15" s="2035"/>
      <c r="U15" s="2035">
        <f>ROUND(SUM('SCH 18 pg1'!C15+'SCH 18 pg1'!I15+'SCH 18 pg1'!O15+'SCH 18 pg2'!C15+'SCH 18 pg2'!I15+'SCH 18 pg2'!O15),0)</f>
        <v>0</v>
      </c>
      <c r="V15" s="1839"/>
      <c r="W15" s="2035">
        <f>ROUND(SUM('SCH 18 pg1'!E15+'SCH 18 pg1'!K15+'SCH 18 pg1'!Q15+'SCH 18 pg2'!E15+'SCH 18 pg2'!K15+'SCH 18 pg2'!Q15),0)</f>
        <v>0</v>
      </c>
      <c r="X15" s="1839"/>
      <c r="Y15" s="2035">
        <f t="shared" ref="Y15:Y53" si="3">ROUND(SUM(U15:W15),0)</f>
        <v>0</v>
      </c>
    </row>
    <row r="16" spans="1:25">
      <c r="A16" s="1756" t="s">
        <v>604</v>
      </c>
      <c r="B16" s="1756" t="s">
        <v>6</v>
      </c>
      <c r="C16" s="2035">
        <v>26517327</v>
      </c>
      <c r="D16" s="2037"/>
      <c r="E16" s="2035">
        <f>12948880-1</f>
        <v>12948879</v>
      </c>
      <c r="F16" s="2037"/>
      <c r="G16" s="2035">
        <f t="shared" si="0"/>
        <v>39466206</v>
      </c>
      <c r="H16" s="2035"/>
      <c r="I16" s="2036">
        <v>25986973</v>
      </c>
      <c r="J16" s="2037"/>
      <c r="K16" s="2036">
        <v>11784735</v>
      </c>
      <c r="L16" s="2037"/>
      <c r="M16" s="2036">
        <f t="shared" si="1"/>
        <v>37771708</v>
      </c>
      <c r="N16" s="2035"/>
      <c r="O16" s="2035">
        <v>269042543</v>
      </c>
      <c r="P16" s="2037"/>
      <c r="Q16" s="2035">
        <f>83472044+1</f>
        <v>83472045</v>
      </c>
      <c r="R16" s="2037"/>
      <c r="S16" s="2035">
        <f t="shared" si="2"/>
        <v>352514588</v>
      </c>
      <c r="T16" s="2035"/>
      <c r="U16" s="2035">
        <f>ROUND(SUM('SCH 18 pg1'!C16+'SCH 18 pg1'!I16+'SCH 18 pg1'!O16+'SCH 18 pg2'!C16+'SCH 18 pg2'!I16+'SCH 18 pg2'!O16),0)</f>
        <v>402544045</v>
      </c>
      <c r="V16" s="2035"/>
      <c r="W16" s="2035">
        <f>ROUND(SUM('SCH 18 pg1'!E16+'SCH 18 pg1'!K16+'SCH 18 pg1'!Q16+'SCH 18 pg2'!E16+'SCH 18 pg2'!K16+'SCH 18 pg2'!Q16),0)</f>
        <v>154044130</v>
      </c>
      <c r="X16" s="2035"/>
      <c r="Y16" s="2035">
        <f t="shared" si="3"/>
        <v>556588175</v>
      </c>
    </row>
    <row r="17" spans="1:26">
      <c r="A17" s="1756" t="s">
        <v>605</v>
      </c>
      <c r="B17" s="1756" t="s">
        <v>6</v>
      </c>
      <c r="C17" s="2035">
        <v>5784618</v>
      </c>
      <c r="D17" s="2037"/>
      <c r="E17" s="2035">
        <v>728284</v>
      </c>
      <c r="F17" s="2037"/>
      <c r="G17" s="2035">
        <f t="shared" si="0"/>
        <v>6512902</v>
      </c>
      <c r="H17" s="2035"/>
      <c r="I17" s="2036">
        <v>5546300</v>
      </c>
      <c r="J17" s="2037"/>
      <c r="K17" s="2036">
        <v>508000</v>
      </c>
      <c r="L17" s="2037"/>
      <c r="M17" s="2036">
        <f t="shared" si="1"/>
        <v>6054300</v>
      </c>
      <c r="N17" s="2035"/>
      <c r="O17" s="2035">
        <v>9203911</v>
      </c>
      <c r="P17" s="2037"/>
      <c r="Q17" s="2035">
        <v>1458126</v>
      </c>
      <c r="R17" s="2037"/>
      <c r="S17" s="2035">
        <f t="shared" si="2"/>
        <v>10662037</v>
      </c>
      <c r="T17" s="2035"/>
      <c r="U17" s="2035">
        <f>ROUND(SUM('SCH 18 pg1'!C17+'SCH 18 pg1'!I17+'SCH 18 pg1'!O17+'SCH 18 pg2'!C17+'SCH 18 pg2'!I17+'SCH 18 pg2'!O17),0)</f>
        <v>37125908</v>
      </c>
      <c r="V17" s="2035"/>
      <c r="W17" s="2035">
        <f>ROUND(SUM('SCH 18 pg1'!E17+'SCH 18 pg1'!K17+'SCH 18 pg1'!Q17+'SCH 18 pg2'!E17+'SCH 18 pg2'!K17+'SCH 18 pg2'!Q17),0)</f>
        <v>6224142</v>
      </c>
      <c r="X17" s="2035"/>
      <c r="Y17" s="2035">
        <f t="shared" si="3"/>
        <v>43350050</v>
      </c>
      <c r="Z17" s="1584" t="s">
        <v>6</v>
      </c>
    </row>
    <row r="18" spans="1:26">
      <c r="A18" s="1756" t="s">
        <v>606</v>
      </c>
      <c r="B18" s="1756" t="s">
        <v>6</v>
      </c>
      <c r="C18" s="2035">
        <f>7101665-1</f>
        <v>7101664</v>
      </c>
      <c r="D18" s="2037"/>
      <c r="E18" s="2035">
        <v>1850104</v>
      </c>
      <c r="F18" s="2037"/>
      <c r="G18" s="2035">
        <f t="shared" si="0"/>
        <v>8951768</v>
      </c>
      <c r="H18" s="2035"/>
      <c r="I18" s="2036">
        <v>5239087</v>
      </c>
      <c r="J18" s="2037"/>
      <c r="K18" s="2036">
        <v>1566073</v>
      </c>
      <c r="L18" s="2037"/>
      <c r="M18" s="2036">
        <f t="shared" si="1"/>
        <v>6805160</v>
      </c>
      <c r="N18" s="2035"/>
      <c r="O18" s="2035">
        <f>33849578+1</f>
        <v>33849579</v>
      </c>
      <c r="P18" s="2037"/>
      <c r="Q18" s="2035">
        <f>8503586-1</f>
        <v>8503585</v>
      </c>
      <c r="R18" s="2035"/>
      <c r="S18" s="2035">
        <f t="shared" si="2"/>
        <v>42353164</v>
      </c>
      <c r="T18" s="2035"/>
      <c r="U18" s="2035">
        <f>ROUND(SUM('SCH 18 pg1'!C18+'SCH 18 pg1'!I18+'SCH 18 pg1'!O18+'SCH 18 pg2'!C18+'SCH 18 pg2'!I18+'SCH 18 pg2'!O18),0)</f>
        <v>79264391</v>
      </c>
      <c r="V18" s="2035"/>
      <c r="W18" s="2035">
        <f>ROUND(SUM('SCH 18 pg1'!E18+'SCH 18 pg1'!K18+'SCH 18 pg1'!Q18+'SCH 18 pg2'!E18+'SCH 18 pg2'!K18+'SCH 18 pg2'!Q18),0)</f>
        <v>20387308</v>
      </c>
      <c r="X18" s="2035"/>
      <c r="Y18" s="2035">
        <f t="shared" si="3"/>
        <v>99651699</v>
      </c>
    </row>
    <row r="19" spans="1:26">
      <c r="A19" s="1758" t="s">
        <v>1315</v>
      </c>
      <c r="B19" s="1755"/>
      <c r="C19" s="2035"/>
      <c r="D19" s="2035"/>
      <c r="E19" s="2035"/>
      <c r="F19" s="2035"/>
      <c r="G19" s="2035"/>
      <c r="H19" s="2035"/>
      <c r="I19" s="2036"/>
      <c r="J19" s="2035"/>
      <c r="K19" s="2036"/>
      <c r="L19" s="2035"/>
      <c r="M19" s="2036"/>
      <c r="N19" s="2035"/>
      <c r="O19" s="2035"/>
      <c r="P19" s="2035"/>
      <c r="Q19" s="2035"/>
      <c r="R19" s="2035"/>
      <c r="S19" s="2035"/>
      <c r="T19" s="2035"/>
      <c r="U19" s="2035"/>
      <c r="V19" s="2035"/>
      <c r="W19" s="2035"/>
      <c r="X19" s="2035"/>
      <c r="Y19" s="2035"/>
    </row>
    <row r="20" spans="1:26">
      <c r="A20" s="1756" t="s">
        <v>1316</v>
      </c>
      <c r="B20" s="1756" t="s">
        <v>6</v>
      </c>
      <c r="C20" s="1839">
        <v>0</v>
      </c>
      <c r="D20" s="2036"/>
      <c r="E20" s="1839">
        <v>0</v>
      </c>
      <c r="F20" s="2036"/>
      <c r="G20" s="2035">
        <f t="shared" si="0"/>
        <v>0</v>
      </c>
      <c r="H20" s="2036"/>
      <c r="I20" s="1839">
        <v>0</v>
      </c>
      <c r="J20" s="2036"/>
      <c r="K20" s="1839">
        <v>0</v>
      </c>
      <c r="L20" s="2036"/>
      <c r="M20" s="2036">
        <f t="shared" si="1"/>
        <v>0</v>
      </c>
      <c r="N20" s="2036"/>
      <c r="O20" s="1839">
        <v>0</v>
      </c>
      <c r="P20" s="2036"/>
      <c r="Q20" s="1839">
        <v>0</v>
      </c>
      <c r="R20" s="2036"/>
      <c r="S20" s="2035">
        <f t="shared" si="2"/>
        <v>0</v>
      </c>
      <c r="T20" s="2036"/>
      <c r="U20" s="2035">
        <f>ROUND(SUM('SCH 18 pg1'!C20+'SCH 18 pg1'!I20+'SCH 18 pg1'!O20+'SCH 18 pg2'!C20+'SCH 18 pg2'!I20+'SCH 18 pg2'!O20),0)</f>
        <v>0</v>
      </c>
      <c r="V20" s="1839"/>
      <c r="W20" s="2035">
        <f>ROUND(SUM('SCH 18 pg1'!E20+'SCH 18 pg1'!K20+'SCH 18 pg1'!Q20+'SCH 18 pg2'!E20+'SCH 18 pg2'!K20+'SCH 18 pg2'!Q20),0)</f>
        <v>0</v>
      </c>
      <c r="X20" s="1839"/>
      <c r="Y20" s="2035">
        <f t="shared" si="3"/>
        <v>0</v>
      </c>
    </row>
    <row r="21" spans="1:26">
      <c r="A21" s="1756" t="s">
        <v>1318</v>
      </c>
      <c r="B21" s="1756" t="s">
        <v>6</v>
      </c>
      <c r="C21" s="2035">
        <v>138980</v>
      </c>
      <c r="D21" s="2037"/>
      <c r="E21" s="2035">
        <v>56736</v>
      </c>
      <c r="F21" s="2035"/>
      <c r="G21" s="2035">
        <f t="shared" si="0"/>
        <v>195716</v>
      </c>
      <c r="H21" s="2035"/>
      <c r="I21" s="2036">
        <v>191808</v>
      </c>
      <c r="J21" s="2037"/>
      <c r="K21" s="2036">
        <v>49218</v>
      </c>
      <c r="L21" s="2035"/>
      <c r="M21" s="2036">
        <f t="shared" si="1"/>
        <v>241026</v>
      </c>
      <c r="N21" s="2035"/>
      <c r="O21" s="2035">
        <v>1022456</v>
      </c>
      <c r="P21" s="2037"/>
      <c r="Q21" s="2035">
        <f>141315+1</f>
        <v>141316</v>
      </c>
      <c r="R21" s="2035"/>
      <c r="S21" s="2035">
        <f t="shared" si="2"/>
        <v>1163772</v>
      </c>
      <c r="T21" s="2035"/>
      <c r="U21" s="2035">
        <f>ROUND(SUM('SCH 18 pg1'!C21+'SCH 18 pg1'!I21+'SCH 18 pg1'!O21+'SCH 18 pg2'!C21+'SCH 18 pg2'!I21+'SCH 18 pg2'!O21),0)</f>
        <v>2574159</v>
      </c>
      <c r="V21" s="2035"/>
      <c r="W21" s="2035">
        <f>ROUND(SUM('SCH 18 pg1'!E21+'SCH 18 pg1'!K21+'SCH 18 pg1'!Q21+'SCH 18 pg2'!E21+'SCH 18 pg2'!K21+'SCH 18 pg2'!Q21),0)</f>
        <v>486461</v>
      </c>
      <c r="X21" s="2035"/>
      <c r="Y21" s="2035">
        <f t="shared" si="3"/>
        <v>3060620</v>
      </c>
    </row>
    <row r="22" spans="1:26">
      <c r="A22" s="1758" t="s">
        <v>2612</v>
      </c>
      <c r="B22" s="1756" t="s">
        <v>6</v>
      </c>
      <c r="C22" s="2035"/>
      <c r="D22" s="2035"/>
      <c r="E22" s="2035"/>
      <c r="F22" s="2035"/>
      <c r="G22" s="2035"/>
      <c r="H22" s="2035"/>
      <c r="I22" s="2036"/>
      <c r="J22" s="2035"/>
      <c r="K22" s="2036"/>
      <c r="L22" s="2035"/>
      <c r="M22" s="2036"/>
      <c r="N22" s="2035"/>
      <c r="O22" s="2035"/>
      <c r="P22" s="2035"/>
      <c r="Q22" s="2035"/>
      <c r="R22" s="2035"/>
      <c r="S22" s="2035"/>
      <c r="T22" s="2035"/>
      <c r="U22" s="2035"/>
      <c r="V22" s="2035"/>
      <c r="W22" s="2035"/>
      <c r="X22" s="2035"/>
      <c r="Y22" s="2035"/>
    </row>
    <row r="23" spans="1:26">
      <c r="A23" s="1756" t="s">
        <v>610</v>
      </c>
      <c r="B23" s="1756" t="s">
        <v>6</v>
      </c>
      <c r="C23" s="2035">
        <v>3063</v>
      </c>
      <c r="D23" s="2037"/>
      <c r="E23" s="2035">
        <v>250</v>
      </c>
      <c r="F23" s="2037"/>
      <c r="G23" s="2035">
        <f t="shared" si="0"/>
        <v>3313</v>
      </c>
      <c r="H23" s="2035"/>
      <c r="I23" s="2036">
        <v>3184</v>
      </c>
      <c r="J23" s="2037"/>
      <c r="K23" s="2036">
        <v>129</v>
      </c>
      <c r="L23" s="2037"/>
      <c r="M23" s="2036">
        <f t="shared" si="1"/>
        <v>3313</v>
      </c>
      <c r="N23" s="2035"/>
      <c r="O23" s="2035">
        <v>0</v>
      </c>
      <c r="P23" s="2037"/>
      <c r="Q23" s="2035">
        <v>0</v>
      </c>
      <c r="R23" s="2037"/>
      <c r="S23" s="2035">
        <f t="shared" si="2"/>
        <v>0</v>
      </c>
      <c r="T23" s="2035"/>
      <c r="U23" s="2035">
        <f>ROUND(SUM('SCH 18 pg1'!C23+'SCH 18 pg1'!I23+'SCH 18 pg1'!O23+'SCH 18 pg2'!C23+'SCH 18 pg2'!I23+'SCH 18 pg2'!O23),0)</f>
        <v>494853</v>
      </c>
      <c r="V23" s="2035"/>
      <c r="W23" s="2035">
        <f>ROUND(SUM('SCH 18 pg1'!E23+'SCH 18 pg1'!K23+'SCH 18 pg1'!Q23+'SCH 18 pg2'!E23+'SCH 18 pg2'!K23+'SCH 18 pg2'!Q23),0)</f>
        <v>37716</v>
      </c>
      <c r="X23" s="2035"/>
      <c r="Y23" s="2035">
        <f t="shared" si="3"/>
        <v>532569</v>
      </c>
    </row>
    <row r="24" spans="1:26">
      <c r="A24" s="1756" t="s">
        <v>611</v>
      </c>
      <c r="B24" s="1756" t="s">
        <v>6</v>
      </c>
      <c r="C24" s="2035">
        <f>570057+1</f>
        <v>570058</v>
      </c>
      <c r="D24" s="2035"/>
      <c r="E24" s="2035">
        <f>98226-1</f>
        <v>98225</v>
      </c>
      <c r="F24" s="2035"/>
      <c r="G24" s="2035">
        <f t="shared" si="0"/>
        <v>668283</v>
      </c>
      <c r="H24" s="2035"/>
      <c r="I24" s="2036">
        <v>304452</v>
      </c>
      <c r="J24" s="2035"/>
      <c r="K24" s="2036">
        <v>71194</v>
      </c>
      <c r="L24" s="2035"/>
      <c r="M24" s="2036">
        <f t="shared" si="1"/>
        <v>375646</v>
      </c>
      <c r="N24" s="2035"/>
      <c r="O24" s="2035">
        <v>1143074</v>
      </c>
      <c r="P24" s="2037"/>
      <c r="Q24" s="2035">
        <v>143069</v>
      </c>
      <c r="R24" s="2037"/>
      <c r="S24" s="2035">
        <f t="shared" si="2"/>
        <v>1286143</v>
      </c>
      <c r="T24" s="2035"/>
      <c r="U24" s="2035">
        <f>ROUND(SUM('SCH 18 pg1'!C24+'SCH 18 pg1'!I24+'SCH 18 pg1'!O24+'SCH 18 pg2'!C24+'SCH 18 pg2'!I24+'SCH 18 pg2'!O24),0)</f>
        <v>6671868</v>
      </c>
      <c r="V24" s="2035"/>
      <c r="W24" s="2035">
        <f>ROUND(SUM('SCH 18 pg1'!E24+'SCH 18 pg1'!K24+'SCH 18 pg1'!Q24+'SCH 18 pg2'!E24+'SCH 18 pg2'!K24+'SCH 18 pg2'!Q24),0)</f>
        <v>894733</v>
      </c>
      <c r="X24" s="2035"/>
      <c r="Y24" s="2035">
        <f t="shared" si="3"/>
        <v>7566601</v>
      </c>
    </row>
    <row r="25" spans="1:26">
      <c r="A25" s="1756" t="s">
        <v>612</v>
      </c>
      <c r="B25" s="1756" t="s">
        <v>6</v>
      </c>
      <c r="C25" s="2035">
        <v>4038036</v>
      </c>
      <c r="D25" s="2037"/>
      <c r="E25" s="2035">
        <v>375590</v>
      </c>
      <c r="F25" s="2037"/>
      <c r="G25" s="2035">
        <f t="shared" si="0"/>
        <v>4413626</v>
      </c>
      <c r="H25" s="2035"/>
      <c r="I25" s="2036">
        <v>1170720</v>
      </c>
      <c r="J25" s="2037"/>
      <c r="K25" s="2036">
        <v>278686</v>
      </c>
      <c r="L25" s="2037"/>
      <c r="M25" s="2036">
        <f t="shared" si="1"/>
        <v>1449406</v>
      </c>
      <c r="N25" s="2035"/>
      <c r="O25" s="2035">
        <v>5628283</v>
      </c>
      <c r="P25" s="2037"/>
      <c r="Q25" s="2035">
        <v>1440694</v>
      </c>
      <c r="R25" s="2037"/>
      <c r="S25" s="2035">
        <f t="shared" si="2"/>
        <v>7068977</v>
      </c>
      <c r="T25" s="2035"/>
      <c r="U25" s="2035">
        <f>ROUND(SUM('SCH 18 pg1'!C25+'SCH 18 pg1'!I25+'SCH 18 pg1'!O25+'SCH 18 pg2'!C25+'SCH 18 pg2'!I25+'SCH 18 pg2'!O25),0)</f>
        <v>29701681</v>
      </c>
      <c r="V25" s="2035"/>
      <c r="W25" s="2035">
        <f>ROUND(SUM('SCH 18 pg1'!E25+'SCH 18 pg1'!K25+'SCH 18 pg1'!Q25+'SCH 18 pg2'!E25+'SCH 18 pg2'!K25+'SCH 18 pg2'!Q25),0)</f>
        <v>4385620</v>
      </c>
      <c r="X25" s="2035"/>
      <c r="Y25" s="2035">
        <f t="shared" si="3"/>
        <v>34087301</v>
      </c>
    </row>
    <row r="26" spans="1:26">
      <c r="A26" s="1758" t="s">
        <v>613</v>
      </c>
      <c r="B26" s="1756" t="s">
        <v>6</v>
      </c>
      <c r="C26" s="2035"/>
      <c r="D26" s="2035"/>
      <c r="E26" s="2035"/>
      <c r="F26" s="2035"/>
      <c r="G26" s="2035"/>
      <c r="H26" s="2035"/>
      <c r="I26" s="2036"/>
      <c r="J26" s="2035"/>
      <c r="K26" s="2036"/>
      <c r="L26" s="2035"/>
      <c r="M26" s="2036"/>
      <c r="N26" s="2035"/>
      <c r="O26" s="2035"/>
      <c r="P26" s="2035"/>
      <c r="Q26" s="2035"/>
      <c r="R26" s="2035"/>
      <c r="S26" s="2035"/>
      <c r="T26" s="2035"/>
      <c r="U26" s="2035"/>
      <c r="V26" s="2035"/>
      <c r="W26" s="2035"/>
      <c r="X26" s="2035"/>
      <c r="Y26" s="2035"/>
    </row>
    <row r="27" spans="1:26">
      <c r="A27" s="2172" t="s">
        <v>2613</v>
      </c>
      <c r="B27" s="1756" t="s">
        <v>6</v>
      </c>
      <c r="C27" s="2035">
        <v>2311965</v>
      </c>
      <c r="D27" s="2037"/>
      <c r="E27" s="2035">
        <f>242905-1</f>
        <v>242904</v>
      </c>
      <c r="F27" s="2037"/>
      <c r="G27" s="2035">
        <f t="shared" si="0"/>
        <v>2554869</v>
      </c>
      <c r="H27" s="2035"/>
      <c r="I27" s="2036">
        <f>1475187+1</f>
        <v>1475188</v>
      </c>
      <c r="J27" s="2037"/>
      <c r="K27" s="2036">
        <v>149018</v>
      </c>
      <c r="L27" s="2037"/>
      <c r="M27" s="2036">
        <f t="shared" si="1"/>
        <v>1624206</v>
      </c>
      <c r="N27" s="2035"/>
      <c r="O27" s="2035">
        <v>2415383</v>
      </c>
      <c r="P27" s="2037"/>
      <c r="Q27" s="2035">
        <v>478443</v>
      </c>
      <c r="R27" s="2037"/>
      <c r="S27" s="2035">
        <f t="shared" si="2"/>
        <v>2893826</v>
      </c>
      <c r="T27" s="2035"/>
      <c r="U27" s="2035">
        <f>ROUND(SUM('SCH 18 pg1'!C27+'SCH 18 pg1'!I27+'SCH 18 pg1'!O27+'SCH 18 pg2'!C27+'SCH 18 pg2'!I27+'SCH 18 pg2'!O27),0)</f>
        <v>15489193</v>
      </c>
      <c r="V27" s="2035"/>
      <c r="W27" s="2035">
        <f>ROUND(SUM('SCH 18 pg1'!E27+'SCH 18 pg1'!K27+'SCH 18 pg1'!Q27+'SCH 18 pg2'!E27+'SCH 18 pg2'!K27+'SCH 18 pg2'!Q27),0)</f>
        <v>2303383</v>
      </c>
      <c r="X27" s="2035"/>
      <c r="Y27" s="2035">
        <f t="shared" si="3"/>
        <v>17792576</v>
      </c>
    </row>
    <row r="28" spans="1:26">
      <c r="A28" s="2172" t="s">
        <v>614</v>
      </c>
      <c r="B28" s="1756" t="s">
        <v>6</v>
      </c>
      <c r="C28" s="2035">
        <v>14561297</v>
      </c>
      <c r="D28" s="2037"/>
      <c r="E28" s="2035">
        <v>4295907</v>
      </c>
      <c r="F28" s="2037"/>
      <c r="G28" s="2035">
        <f t="shared" si="0"/>
        <v>18857204</v>
      </c>
      <c r="H28" s="2035"/>
      <c r="I28" s="2036">
        <f>14770061+1</f>
        <v>14770062</v>
      </c>
      <c r="J28" s="2037"/>
      <c r="K28" s="2036">
        <v>3628854</v>
      </c>
      <c r="L28" s="2037"/>
      <c r="M28" s="2036">
        <f t="shared" si="1"/>
        <v>18398916</v>
      </c>
      <c r="N28" s="2035"/>
      <c r="O28" s="2035">
        <v>70343684</v>
      </c>
      <c r="P28" s="2037"/>
      <c r="Q28" s="2035">
        <v>10499019</v>
      </c>
      <c r="R28" s="2037"/>
      <c r="S28" s="2035">
        <f t="shared" si="2"/>
        <v>80842703</v>
      </c>
      <c r="T28" s="2035"/>
      <c r="U28" s="2035">
        <f>ROUND(SUM('SCH 18 pg1'!C28+'SCH 18 pg1'!I28+'SCH 18 pg1'!O28+'SCH 18 pg2'!C28+'SCH 18 pg2'!I28+'SCH 18 pg2'!O28),0)</f>
        <v>179135422</v>
      </c>
      <c r="V28" s="2035"/>
      <c r="W28" s="2035">
        <f>ROUND(SUM('SCH 18 pg1'!E28+'SCH 18 pg1'!K28+'SCH 18 pg1'!Q28+'SCH 18 pg2'!E28+'SCH 18 pg2'!K28+'SCH 18 pg2'!Q28),0)</f>
        <v>37479226</v>
      </c>
      <c r="X28" s="2035"/>
      <c r="Y28" s="2035">
        <f t="shared" si="3"/>
        <v>216614648</v>
      </c>
    </row>
    <row r="29" spans="1:26">
      <c r="A29" s="1758" t="s">
        <v>1932</v>
      </c>
      <c r="B29" s="1756" t="s">
        <v>6</v>
      </c>
      <c r="C29" s="1839">
        <v>0</v>
      </c>
      <c r="D29" s="2036"/>
      <c r="E29" s="1839">
        <v>0</v>
      </c>
      <c r="F29" s="2036"/>
      <c r="G29" s="2035">
        <f t="shared" si="0"/>
        <v>0</v>
      </c>
      <c r="H29" s="2036"/>
      <c r="I29" s="1839">
        <v>0</v>
      </c>
      <c r="J29" s="2036"/>
      <c r="K29" s="1839">
        <v>0</v>
      </c>
      <c r="L29" s="2036"/>
      <c r="M29" s="2036">
        <f t="shared" si="1"/>
        <v>0</v>
      </c>
      <c r="N29" s="2036"/>
      <c r="O29" s="1839">
        <v>0</v>
      </c>
      <c r="P29" s="2036"/>
      <c r="Q29" s="1839">
        <v>0</v>
      </c>
      <c r="R29" s="2036"/>
      <c r="S29" s="2035">
        <f t="shared" si="2"/>
        <v>0</v>
      </c>
      <c r="T29" s="2036"/>
      <c r="U29" s="2035">
        <f>ROUND(SUM('SCH 18 pg1'!C29+'SCH 18 pg1'!I29+'SCH 18 pg1'!O29+'SCH 18 pg2'!C29+'SCH 18 pg2'!I29+'SCH 18 pg2'!O29),0)</f>
        <v>0</v>
      </c>
      <c r="V29" s="1839"/>
      <c r="W29" s="2035">
        <f>ROUND(SUM('SCH 18 pg1'!E29+'SCH 18 pg1'!K29+'SCH 18 pg1'!Q29+'SCH 18 pg2'!E29+'SCH 18 pg2'!K29+'SCH 18 pg2'!Q29),0)</f>
        <v>0</v>
      </c>
      <c r="X29" s="1839"/>
      <c r="Y29" s="2035">
        <f t="shared" si="3"/>
        <v>0</v>
      </c>
    </row>
    <row r="30" spans="1:26">
      <c r="A30" s="1758" t="s">
        <v>616</v>
      </c>
      <c r="B30" s="1756"/>
      <c r="C30" s="2035"/>
      <c r="D30" s="2035"/>
      <c r="E30" s="2035"/>
      <c r="F30" s="2035"/>
      <c r="G30" s="2035"/>
      <c r="H30" s="2035"/>
      <c r="I30" s="2036"/>
      <c r="J30" s="2035"/>
      <c r="K30" s="2036"/>
      <c r="L30" s="2035"/>
      <c r="M30" s="2036"/>
      <c r="N30" s="2035"/>
      <c r="O30" s="2035"/>
      <c r="P30" s="2035"/>
      <c r="Q30" s="2035"/>
      <c r="R30" s="2035"/>
      <c r="S30" s="2035"/>
      <c r="T30" s="2035"/>
      <c r="U30" s="2035"/>
      <c r="V30" s="2035"/>
      <c r="W30" s="2035"/>
      <c r="X30" s="2035"/>
      <c r="Y30" s="2035"/>
    </row>
    <row r="31" spans="1:26">
      <c r="A31" s="1756" t="s">
        <v>617</v>
      </c>
      <c r="B31" s="1756" t="s">
        <v>6</v>
      </c>
      <c r="C31" s="2035">
        <v>1860000</v>
      </c>
      <c r="D31" s="2035"/>
      <c r="E31" s="2035">
        <v>243000</v>
      </c>
      <c r="F31" s="2037"/>
      <c r="G31" s="2035">
        <f t="shared" si="0"/>
        <v>2103000</v>
      </c>
      <c r="H31" s="2035"/>
      <c r="I31" s="2036">
        <v>1860000</v>
      </c>
      <c r="J31" s="2035"/>
      <c r="K31" s="2036">
        <v>187200</v>
      </c>
      <c r="L31" s="2037"/>
      <c r="M31" s="2036">
        <f t="shared" si="1"/>
        <v>2047200</v>
      </c>
      <c r="N31" s="2035"/>
      <c r="O31" s="2035">
        <v>4780000</v>
      </c>
      <c r="P31" s="2035"/>
      <c r="Q31" s="2035">
        <v>238800</v>
      </c>
      <c r="R31" s="2035"/>
      <c r="S31" s="2035">
        <f t="shared" si="2"/>
        <v>5018800</v>
      </c>
      <c r="T31" s="2035"/>
      <c r="U31" s="2035">
        <f>ROUND(SUM('SCH 18 pg1'!C31+'SCH 18 pg1'!I31+'SCH 18 pg1'!O31+'SCH 18 pg2'!C31+'SCH 18 pg2'!I31+'SCH 18 pg2'!O31),0)</f>
        <v>16120000</v>
      </c>
      <c r="V31" s="2035"/>
      <c r="W31" s="2035">
        <f>ROUND(SUM('SCH 18 pg1'!E31+'SCH 18 pg1'!K31+'SCH 18 pg1'!Q31+'SCH 18 pg2'!E31+'SCH 18 pg2'!K31+'SCH 18 pg2'!Q31),0)</f>
        <v>1833600</v>
      </c>
      <c r="X31" s="2035"/>
      <c r="Y31" s="2035">
        <f t="shared" si="3"/>
        <v>17953600</v>
      </c>
    </row>
    <row r="32" spans="1:26">
      <c r="A32" s="1756" t="s">
        <v>618</v>
      </c>
      <c r="B32" s="1756" t="s">
        <v>6</v>
      </c>
      <c r="C32" s="2035">
        <v>2190000</v>
      </c>
      <c r="D32" s="2035"/>
      <c r="E32" s="2035">
        <v>200855</v>
      </c>
      <c r="F32" s="2035"/>
      <c r="G32" s="2035">
        <f t="shared" si="0"/>
        <v>2390855</v>
      </c>
      <c r="H32" s="2035"/>
      <c r="I32" s="2036">
        <v>2240000</v>
      </c>
      <c r="J32" s="2035"/>
      <c r="K32" s="2036">
        <v>117195</v>
      </c>
      <c r="L32" s="2035"/>
      <c r="M32" s="2036">
        <f t="shared" si="1"/>
        <v>2357195</v>
      </c>
      <c r="N32" s="2035"/>
      <c r="O32" s="2035">
        <v>1795000</v>
      </c>
      <c r="P32" s="2035"/>
      <c r="Q32" s="2035">
        <v>57593</v>
      </c>
      <c r="R32" s="2037"/>
      <c r="S32" s="2035">
        <f t="shared" si="2"/>
        <v>1852593</v>
      </c>
      <c r="T32" s="2035"/>
      <c r="U32" s="2035">
        <f>ROUND(SUM('SCH 18 pg1'!C32+'SCH 18 pg1'!I32+'SCH 18 pg1'!O32+'SCH 18 pg2'!C32+'SCH 18 pg2'!I32+'SCH 18 pg2'!O32),0)</f>
        <v>13975000</v>
      </c>
      <c r="V32" s="2035"/>
      <c r="W32" s="2035">
        <f>ROUND(SUM('SCH 18 pg1'!E32+'SCH 18 pg1'!K32+'SCH 18 pg1'!Q32+'SCH 18 pg2'!E32+'SCH 18 pg2'!K32+'SCH 18 pg2'!Q32),0)</f>
        <v>1413290</v>
      </c>
      <c r="X32" s="2035"/>
      <c r="Y32" s="2035">
        <f t="shared" si="3"/>
        <v>15388290</v>
      </c>
    </row>
    <row r="33" spans="1:25">
      <c r="A33" s="1756" t="s">
        <v>1319</v>
      </c>
      <c r="B33" s="1756" t="s">
        <v>6</v>
      </c>
      <c r="C33" s="1839">
        <v>0</v>
      </c>
      <c r="D33" s="2036"/>
      <c r="E33" s="1839">
        <v>0</v>
      </c>
      <c r="F33" s="2036"/>
      <c r="G33" s="2035">
        <f t="shared" si="0"/>
        <v>0</v>
      </c>
      <c r="H33" s="2036"/>
      <c r="I33" s="1839">
        <v>0</v>
      </c>
      <c r="J33" s="2036"/>
      <c r="K33" s="1839">
        <v>0</v>
      </c>
      <c r="L33" s="2036"/>
      <c r="M33" s="2036">
        <f t="shared" si="1"/>
        <v>0</v>
      </c>
      <c r="N33" s="2036"/>
      <c r="O33" s="1839">
        <v>0</v>
      </c>
      <c r="P33" s="2036"/>
      <c r="Q33" s="1839">
        <v>0</v>
      </c>
      <c r="R33" s="2036"/>
      <c r="S33" s="2035">
        <f t="shared" si="2"/>
        <v>0</v>
      </c>
      <c r="T33" s="2036"/>
      <c r="U33" s="2035">
        <f>ROUND(SUM('SCH 18 pg1'!C33+'SCH 18 pg1'!I33+'SCH 18 pg1'!O33+'SCH 18 pg2'!C33+'SCH 18 pg2'!I33+'SCH 18 pg2'!O33),0)</f>
        <v>0</v>
      </c>
      <c r="V33" s="1839"/>
      <c r="W33" s="2035">
        <f>ROUND(SUM('SCH 18 pg1'!E33+'SCH 18 pg1'!K33+'SCH 18 pg1'!Q33+'SCH 18 pg2'!E33+'SCH 18 pg2'!K33+'SCH 18 pg2'!Q33),0)</f>
        <v>0</v>
      </c>
      <c r="X33" s="1839"/>
      <c r="Y33" s="2035">
        <f t="shared" si="3"/>
        <v>0</v>
      </c>
    </row>
    <row r="34" spans="1:25">
      <c r="A34" s="1758" t="s">
        <v>1933</v>
      </c>
      <c r="B34" s="1756" t="s">
        <v>6</v>
      </c>
      <c r="C34" s="1839">
        <v>0</v>
      </c>
      <c r="D34" s="2036"/>
      <c r="E34" s="1839">
        <v>0</v>
      </c>
      <c r="F34" s="2036"/>
      <c r="G34" s="2035">
        <f t="shared" si="0"/>
        <v>0</v>
      </c>
      <c r="H34" s="2036"/>
      <c r="I34" s="1839">
        <v>0</v>
      </c>
      <c r="J34" s="2036"/>
      <c r="K34" s="1839">
        <v>0</v>
      </c>
      <c r="L34" s="2036"/>
      <c r="M34" s="2036">
        <f t="shared" si="1"/>
        <v>0</v>
      </c>
      <c r="N34" s="2036"/>
      <c r="O34" s="1839">
        <v>0</v>
      </c>
      <c r="P34" s="2036"/>
      <c r="Q34" s="1839">
        <v>0</v>
      </c>
      <c r="R34" s="2036"/>
      <c r="S34" s="2035">
        <f t="shared" si="2"/>
        <v>0</v>
      </c>
      <c r="T34" s="2036"/>
      <c r="U34" s="2035">
        <f>ROUND(SUM('SCH 18 pg1'!C34+'SCH 18 pg1'!I34+'SCH 18 pg1'!O34+'SCH 18 pg2'!C34+'SCH 18 pg2'!I34+'SCH 18 pg2'!O34),0)</f>
        <v>0</v>
      </c>
      <c r="V34" s="1839"/>
      <c r="W34" s="2035">
        <f>ROUND(SUM('SCH 18 pg1'!E34+'SCH 18 pg1'!K34+'SCH 18 pg1'!Q34+'SCH 18 pg2'!E34+'SCH 18 pg2'!K34+'SCH 18 pg2'!Q34),0)</f>
        <v>0</v>
      </c>
      <c r="X34" s="1839"/>
      <c r="Y34" s="2035">
        <f t="shared" si="3"/>
        <v>0</v>
      </c>
    </row>
    <row r="35" spans="1:25">
      <c r="A35" s="1758" t="s">
        <v>1934</v>
      </c>
      <c r="B35" s="1756" t="s">
        <v>6</v>
      </c>
      <c r="C35" s="1837">
        <v>0</v>
      </c>
      <c r="D35" s="2035"/>
      <c r="E35" s="1837">
        <v>0</v>
      </c>
      <c r="F35" s="2035"/>
      <c r="G35" s="2035">
        <f t="shared" si="0"/>
        <v>0</v>
      </c>
      <c r="H35" s="2035"/>
      <c r="I35" s="1839">
        <v>0</v>
      </c>
      <c r="J35" s="2036"/>
      <c r="K35" s="1839">
        <v>0</v>
      </c>
      <c r="L35" s="2036"/>
      <c r="M35" s="2036">
        <f t="shared" si="1"/>
        <v>0</v>
      </c>
      <c r="N35" s="2035"/>
      <c r="O35" s="1837">
        <v>0</v>
      </c>
      <c r="P35" s="2035"/>
      <c r="Q35" s="1837">
        <v>0</v>
      </c>
      <c r="R35" s="2035"/>
      <c r="S35" s="2035">
        <f t="shared" si="2"/>
        <v>0</v>
      </c>
      <c r="T35" s="2035"/>
      <c r="U35" s="2035">
        <f>ROUND(SUM('SCH 18 pg1'!C35+'SCH 18 pg1'!I35+'SCH 18 pg1'!O35+'SCH 18 pg2'!C35+'SCH 18 pg2'!I35+'SCH 18 pg2'!O35),0)</f>
        <v>6351</v>
      </c>
      <c r="V35" s="1837"/>
      <c r="W35" s="2035">
        <f>ROUND(SUM('SCH 18 pg1'!E35+'SCH 18 pg1'!K35+'SCH 18 pg1'!Q35+'SCH 18 pg2'!E35+'SCH 18 pg2'!K35+'SCH 18 pg2'!Q35),0)</f>
        <v>384</v>
      </c>
      <c r="X35" s="1837"/>
      <c r="Y35" s="2035">
        <f t="shared" si="3"/>
        <v>6735</v>
      </c>
    </row>
    <row r="36" spans="1:25">
      <c r="A36" s="1758" t="s">
        <v>1935</v>
      </c>
      <c r="B36" s="1756" t="s">
        <v>6</v>
      </c>
      <c r="C36" s="2035">
        <v>2775450</v>
      </c>
      <c r="D36" s="2035"/>
      <c r="E36" s="2035">
        <f>726633+1</f>
        <v>726634</v>
      </c>
      <c r="F36" s="2035"/>
      <c r="G36" s="2035">
        <f t="shared" si="0"/>
        <v>3502084</v>
      </c>
      <c r="H36" s="2035"/>
      <c r="I36" s="2036">
        <v>2228016</v>
      </c>
      <c r="J36" s="2035"/>
      <c r="K36" s="2036">
        <v>629101</v>
      </c>
      <c r="L36" s="2035"/>
      <c r="M36" s="2036">
        <f t="shared" si="1"/>
        <v>2857117</v>
      </c>
      <c r="N36" s="2035"/>
      <c r="O36" s="2035">
        <v>13052054</v>
      </c>
      <c r="P36" s="2037"/>
      <c r="Q36" s="2035">
        <v>4848415</v>
      </c>
      <c r="R36" s="2037"/>
      <c r="S36" s="2035">
        <f t="shared" si="2"/>
        <v>17900469</v>
      </c>
      <c r="T36" s="2035"/>
      <c r="U36" s="2035">
        <f>ROUND(SUM('SCH 18 pg1'!C36+'SCH 18 pg1'!I36+'SCH 18 pg1'!O36+'SCH 18 pg2'!C36+'SCH 18 pg2'!I36+'SCH 18 pg2'!O36),0)</f>
        <v>31246366</v>
      </c>
      <c r="V36" s="2035"/>
      <c r="W36" s="2035">
        <f>ROUND(SUM('SCH 18 pg1'!E36+'SCH 18 pg1'!K36+'SCH 18 pg1'!Q36+'SCH 18 pg2'!E36+'SCH 18 pg2'!K36+'SCH 18 pg2'!Q36),0)</f>
        <v>9239958</v>
      </c>
      <c r="X36" s="2035"/>
      <c r="Y36" s="2035">
        <f t="shared" si="3"/>
        <v>40486324</v>
      </c>
    </row>
    <row r="37" spans="1:25">
      <c r="A37" s="1758" t="s">
        <v>1936</v>
      </c>
      <c r="B37" s="1756" t="s">
        <v>6</v>
      </c>
      <c r="C37" s="1839">
        <v>0</v>
      </c>
      <c r="D37" s="2036"/>
      <c r="E37" s="1839">
        <v>0</v>
      </c>
      <c r="F37" s="2036"/>
      <c r="G37" s="2035">
        <f t="shared" si="0"/>
        <v>0</v>
      </c>
      <c r="H37" s="2036"/>
      <c r="I37" s="1839">
        <v>0</v>
      </c>
      <c r="J37" s="2036"/>
      <c r="K37" s="1839">
        <v>0</v>
      </c>
      <c r="L37" s="2036"/>
      <c r="M37" s="2036">
        <f t="shared" si="1"/>
        <v>0</v>
      </c>
      <c r="N37" s="2036"/>
      <c r="O37" s="1839">
        <v>0</v>
      </c>
      <c r="P37" s="2036"/>
      <c r="Q37" s="1839">
        <v>0</v>
      </c>
      <c r="R37" s="2036"/>
      <c r="S37" s="2035">
        <f t="shared" si="2"/>
        <v>0</v>
      </c>
      <c r="T37" s="2035"/>
      <c r="U37" s="2035">
        <f>ROUND(SUM('SCH 18 pg1'!C37+'SCH 18 pg1'!I37+'SCH 18 pg1'!O37+'SCH 18 pg2'!C37+'SCH 18 pg2'!I37+'SCH 18 pg2'!O37),0)</f>
        <v>297439</v>
      </c>
      <c r="V37" s="1839"/>
      <c r="W37" s="2035">
        <f>ROUND(SUM('SCH 18 pg1'!E37+'SCH 18 pg1'!K37+'SCH 18 pg1'!Q37+'SCH 18 pg2'!E37+'SCH 18 pg2'!K37+'SCH 18 pg2'!Q37),0)</f>
        <v>7867</v>
      </c>
      <c r="X37" s="1839"/>
      <c r="Y37" s="2035">
        <f t="shared" si="3"/>
        <v>305306</v>
      </c>
    </row>
    <row r="38" spans="1:25">
      <c r="A38" s="1758" t="s">
        <v>624</v>
      </c>
      <c r="B38" s="1756" t="s">
        <v>6</v>
      </c>
      <c r="C38" s="2035"/>
      <c r="D38" s="2035"/>
      <c r="E38" s="2035"/>
      <c r="F38" s="2035"/>
      <c r="G38" s="2035"/>
      <c r="H38" s="2035"/>
      <c r="I38" s="2036"/>
      <c r="J38" s="2035"/>
      <c r="K38" s="2036"/>
      <c r="L38" s="2035"/>
      <c r="M38" s="2036"/>
      <c r="N38" s="2035"/>
      <c r="O38" s="2035"/>
      <c r="P38" s="2035"/>
      <c r="Q38" s="2035"/>
      <c r="R38" s="2035"/>
      <c r="S38" s="2035"/>
      <c r="T38" s="2035"/>
      <c r="U38" s="2035"/>
      <c r="V38" s="2035"/>
      <c r="W38" s="2035"/>
      <c r="X38" s="2035"/>
      <c r="Y38" s="2035"/>
    </row>
    <row r="39" spans="1:25">
      <c r="A39" s="1756" t="s">
        <v>625</v>
      </c>
      <c r="B39" s="1756" t="s">
        <v>6</v>
      </c>
      <c r="C39" s="2035">
        <f>49509435+1</f>
        <v>49509436</v>
      </c>
      <c r="D39" s="2035"/>
      <c r="E39" s="2035">
        <v>28847621</v>
      </c>
      <c r="F39" s="2035"/>
      <c r="G39" s="2035">
        <f t="shared" si="0"/>
        <v>78357057</v>
      </c>
      <c r="H39" s="2035"/>
      <c r="I39" s="2036">
        <v>47341116</v>
      </c>
      <c r="J39" s="2035"/>
      <c r="K39" s="2036">
        <v>26752171</v>
      </c>
      <c r="L39" s="2035"/>
      <c r="M39" s="2036">
        <f t="shared" si="1"/>
        <v>74093287</v>
      </c>
      <c r="N39" s="2035"/>
      <c r="O39" s="2035">
        <v>544472124</v>
      </c>
      <c r="P39" s="2035"/>
      <c r="Q39" s="2035">
        <v>143179871</v>
      </c>
      <c r="R39" s="2035"/>
      <c r="S39" s="2035">
        <f t="shared" si="2"/>
        <v>687651995</v>
      </c>
      <c r="T39" s="2035"/>
      <c r="U39" s="2035">
        <f>ROUND(SUM('SCH 18 pg1'!C39+'SCH 18 pg1'!I39+'SCH 18 pg1'!O39+'SCH 18 pg2'!C39+'SCH 18 pg2'!I39+'SCH 18 pg2'!O39),0)</f>
        <v>802029290</v>
      </c>
      <c r="V39" s="2035"/>
      <c r="W39" s="2035">
        <f>ROUND(SUM('SCH 18 pg1'!E39+'SCH 18 pg1'!K39+'SCH 18 pg1'!Q39+'SCH 18 pg2'!E39+'SCH 18 pg2'!K39+'SCH 18 pg2'!Q39),0)</f>
        <v>299076799</v>
      </c>
      <c r="X39" s="2035"/>
      <c r="Y39" s="2035">
        <f t="shared" si="3"/>
        <v>1101106089</v>
      </c>
    </row>
    <row r="40" spans="1:25">
      <c r="A40" s="1762" t="s">
        <v>626</v>
      </c>
      <c r="B40" s="1756" t="s">
        <v>6</v>
      </c>
      <c r="C40" s="2036">
        <v>1971091</v>
      </c>
      <c r="D40" s="1837"/>
      <c r="E40" s="2036">
        <f>339084+1</f>
        <v>339085</v>
      </c>
      <c r="F40" s="1837"/>
      <c r="G40" s="2035">
        <f t="shared" si="0"/>
        <v>2310176</v>
      </c>
      <c r="H40" s="2035"/>
      <c r="I40" s="2036">
        <v>1294178</v>
      </c>
      <c r="J40" s="1837"/>
      <c r="K40" s="2036">
        <v>246069</v>
      </c>
      <c r="L40" s="1837"/>
      <c r="M40" s="2036">
        <f t="shared" si="1"/>
        <v>1540247</v>
      </c>
      <c r="N40" s="2035"/>
      <c r="O40" s="1839">
        <v>3666907</v>
      </c>
      <c r="P40" s="1837"/>
      <c r="Q40" s="1839">
        <v>403678</v>
      </c>
      <c r="R40" s="1837"/>
      <c r="S40" s="2035">
        <f t="shared" si="2"/>
        <v>4070585</v>
      </c>
      <c r="T40" s="2035"/>
      <c r="U40" s="2035">
        <f>ROUND(SUM('SCH 18 pg1'!C40+'SCH 18 pg1'!I40+'SCH 18 pg1'!O40+'SCH 18 pg2'!C40+'SCH 18 pg2'!I40+'SCH 18 pg2'!O40),0)</f>
        <v>15019108</v>
      </c>
      <c r="V40" s="2035"/>
      <c r="W40" s="2035">
        <f>ROUND(SUM('SCH 18 pg1'!E40+'SCH 18 pg1'!K40+'SCH 18 pg1'!Q40+'SCH 18 pg2'!E40+'SCH 18 pg2'!K40+'SCH 18 pg2'!Q40),0)</f>
        <v>2752421</v>
      </c>
      <c r="X40" s="2035"/>
      <c r="Y40" s="2035">
        <f t="shared" si="3"/>
        <v>17771529</v>
      </c>
    </row>
    <row r="41" spans="1:25">
      <c r="A41" s="1762" t="s">
        <v>627</v>
      </c>
      <c r="B41" s="1756" t="s">
        <v>6</v>
      </c>
      <c r="C41" s="2036">
        <v>2300142</v>
      </c>
      <c r="D41" s="1837"/>
      <c r="E41" s="2036">
        <v>1724050</v>
      </c>
      <c r="F41" s="1837"/>
      <c r="G41" s="2035">
        <f t="shared" si="0"/>
        <v>4024192</v>
      </c>
      <c r="H41" s="2035"/>
      <c r="I41" s="2036">
        <v>1785925</v>
      </c>
      <c r="J41" s="1837"/>
      <c r="K41" s="2036">
        <v>1656470</v>
      </c>
      <c r="L41" s="1837"/>
      <c r="M41" s="2036">
        <f t="shared" si="1"/>
        <v>3442395</v>
      </c>
      <c r="N41" s="2035"/>
      <c r="O41" s="1839">
        <f>36047750-1</f>
        <v>36047749</v>
      </c>
      <c r="P41" s="1837"/>
      <c r="Q41" s="1839">
        <v>18517530</v>
      </c>
      <c r="R41" s="1837"/>
      <c r="S41" s="2035">
        <f t="shared" si="2"/>
        <v>54565279</v>
      </c>
      <c r="T41" s="2035"/>
      <c r="U41" s="2035">
        <f>ROUND(SUM('SCH 18 pg1'!C41+'SCH 18 pg1'!I41+'SCH 18 pg1'!O41+'SCH 18 pg2'!C41+'SCH 18 pg2'!I41+'SCH 18 pg2'!O41),0)</f>
        <v>48703093</v>
      </c>
      <c r="V41" s="2035"/>
      <c r="W41" s="2035">
        <f>ROUND(SUM('SCH 18 pg1'!E41+'SCH 18 pg1'!K41+'SCH 18 pg1'!Q41+'SCH 18 pg2'!E41+'SCH 18 pg2'!K41+'SCH 18 pg2'!Q41),0)</f>
        <v>27828212</v>
      </c>
      <c r="X41" s="2035"/>
      <c r="Y41" s="2035">
        <f t="shared" si="3"/>
        <v>76531305</v>
      </c>
    </row>
    <row r="42" spans="1:25">
      <c r="A42" s="1756" t="s">
        <v>628</v>
      </c>
      <c r="B42" s="1756" t="s">
        <v>6</v>
      </c>
      <c r="C42" s="2036">
        <f>2661303+1</f>
        <v>2661304</v>
      </c>
      <c r="D42" s="1839"/>
      <c r="E42" s="2036">
        <v>3151341</v>
      </c>
      <c r="F42" s="1837"/>
      <c r="G42" s="2035">
        <f t="shared" si="0"/>
        <v>5812645</v>
      </c>
      <c r="H42" s="2035"/>
      <c r="I42" s="2036">
        <v>2757022</v>
      </c>
      <c r="J42" s="1839"/>
      <c r="K42" s="2036">
        <v>3054806</v>
      </c>
      <c r="L42" s="1837"/>
      <c r="M42" s="2036">
        <f t="shared" si="1"/>
        <v>5811828</v>
      </c>
      <c r="N42" s="2035"/>
      <c r="O42" s="1839">
        <v>63969935</v>
      </c>
      <c r="P42" s="1837"/>
      <c r="Q42" s="1839">
        <v>32004787</v>
      </c>
      <c r="R42" s="1837"/>
      <c r="S42" s="2035">
        <f t="shared" si="2"/>
        <v>95974722</v>
      </c>
      <c r="T42" s="2035"/>
      <c r="U42" s="2035">
        <f>ROUND(SUM('SCH 18 pg1'!C42+'SCH 18 pg1'!I42+'SCH 18 pg1'!O42+'SCH 18 pg2'!C42+'SCH 18 pg2'!I42+'SCH 18 pg2'!O42),0)</f>
        <v>79651413</v>
      </c>
      <c r="V42" s="2035"/>
      <c r="W42" s="2035">
        <f>ROUND(SUM('SCH 18 pg1'!E42+'SCH 18 pg1'!K42+'SCH 18 pg1'!Q42+'SCH 18 pg2'!E42+'SCH 18 pg2'!K42+'SCH 18 pg2'!Q42),0)</f>
        <v>48651800</v>
      </c>
      <c r="X42" s="2035"/>
      <c r="Y42" s="2035">
        <f t="shared" si="3"/>
        <v>128303213</v>
      </c>
    </row>
    <row r="43" spans="1:25">
      <c r="A43" s="1756" t="s">
        <v>1310</v>
      </c>
      <c r="B43" s="1756" t="s">
        <v>6</v>
      </c>
      <c r="C43" s="2038">
        <v>520267</v>
      </c>
      <c r="D43" s="2039"/>
      <c r="E43" s="2038">
        <v>53327</v>
      </c>
      <c r="F43" s="2039"/>
      <c r="G43" s="2035">
        <f t="shared" si="0"/>
        <v>573594</v>
      </c>
      <c r="H43" s="2038"/>
      <c r="I43" s="2036">
        <v>546281</v>
      </c>
      <c r="J43" s="2039"/>
      <c r="K43" s="2036">
        <v>27314</v>
      </c>
      <c r="L43" s="2039"/>
      <c r="M43" s="2036">
        <f t="shared" si="1"/>
        <v>573595</v>
      </c>
      <c r="N43" s="2038"/>
      <c r="O43" s="2039">
        <v>0</v>
      </c>
      <c r="P43" s="2040"/>
      <c r="Q43" s="2039">
        <v>0</v>
      </c>
      <c r="R43" s="2039"/>
      <c r="S43" s="2035">
        <f t="shared" si="2"/>
        <v>0</v>
      </c>
      <c r="T43" s="2038"/>
      <c r="U43" s="2035">
        <f>ROUND(SUM('SCH 18 pg1'!C43+'SCH 18 pg1'!I43+'SCH 18 pg1'!O43+'SCH 18 pg2'!C43+'SCH 18 pg2'!I43+'SCH 18 pg2'!O43),0)</f>
        <v>6268331</v>
      </c>
      <c r="V43" s="2035"/>
      <c r="W43" s="2035">
        <f>ROUND(SUM('SCH 18 pg1'!E43+'SCH 18 pg1'!K43+'SCH 18 pg1'!Q43+'SCH 18 pg2'!E43+'SCH 18 pg2'!K43+'SCH 18 pg2'!Q43),0)</f>
        <v>689884</v>
      </c>
      <c r="X43" s="2035"/>
      <c r="Y43" s="2035">
        <f t="shared" si="3"/>
        <v>6958215</v>
      </c>
    </row>
    <row r="44" spans="1:25">
      <c r="A44" s="1756" t="s">
        <v>630</v>
      </c>
      <c r="B44" s="1756" t="s">
        <v>6</v>
      </c>
      <c r="C44" s="2035">
        <v>34468972</v>
      </c>
      <c r="D44" s="2037"/>
      <c r="E44" s="2035">
        <v>32361383</v>
      </c>
      <c r="F44" s="2037"/>
      <c r="G44" s="2035">
        <f t="shared" si="0"/>
        <v>66830355</v>
      </c>
      <c r="H44" s="2035"/>
      <c r="I44" s="2036">
        <v>30907004</v>
      </c>
      <c r="J44" s="2037"/>
      <c r="K44" s="2036">
        <v>31035423</v>
      </c>
      <c r="L44" s="2037"/>
      <c r="M44" s="2036">
        <f t="shared" si="1"/>
        <v>61942427</v>
      </c>
      <c r="N44" s="2035"/>
      <c r="O44" s="2035">
        <v>656515423</v>
      </c>
      <c r="P44" s="2037"/>
      <c r="Q44" s="2035">
        <v>342722241</v>
      </c>
      <c r="R44" s="2037"/>
      <c r="S44" s="2035">
        <f t="shared" si="2"/>
        <v>999237664</v>
      </c>
      <c r="T44" s="2035"/>
      <c r="U44" s="2035">
        <f>ROUND(SUM('SCH 18 pg1'!C44+'SCH 18 pg1'!I44+'SCH 18 pg1'!O44+'SCH 18 pg2'!C44+'SCH 18 pg2'!I44+'SCH 18 pg2'!O44),0)</f>
        <v>838086893</v>
      </c>
      <c r="V44" s="2035"/>
      <c r="W44" s="2035">
        <f>ROUND(SUM('SCH 18 pg1'!E44+'SCH 18 pg1'!K44+'SCH 18 pg1'!Q44+'SCH 18 pg2'!E44+'SCH 18 pg2'!K44+'SCH 18 pg2'!Q44),0)</f>
        <v>511960028</v>
      </c>
      <c r="X44" s="2035"/>
      <c r="Y44" s="2035">
        <f t="shared" si="3"/>
        <v>1350046921</v>
      </c>
    </row>
    <row r="45" spans="1:25">
      <c r="A45" s="1758" t="s">
        <v>631</v>
      </c>
      <c r="B45" s="1755"/>
      <c r="C45" s="2035"/>
      <c r="D45" s="2035"/>
      <c r="E45" s="2035"/>
      <c r="F45" s="2035"/>
      <c r="G45" s="2035"/>
      <c r="H45" s="2035"/>
      <c r="I45" s="2036"/>
      <c r="J45" s="2035"/>
      <c r="K45" s="2036"/>
      <c r="L45" s="2035"/>
      <c r="M45" s="2036"/>
      <c r="N45" s="2035"/>
      <c r="O45" s="2035"/>
      <c r="P45" s="2035"/>
      <c r="Q45" s="2035"/>
      <c r="R45" s="2035"/>
      <c r="S45" s="2035"/>
      <c r="T45" s="2035"/>
      <c r="U45" s="2035"/>
      <c r="V45" s="2035"/>
      <c r="W45" s="2035"/>
      <c r="X45" s="2035"/>
      <c r="Y45" s="2035"/>
    </row>
    <row r="46" spans="1:25">
      <c r="A46" s="1756" t="s">
        <v>661</v>
      </c>
      <c r="B46" s="1756" t="s">
        <v>6</v>
      </c>
      <c r="C46" s="2035">
        <v>187195</v>
      </c>
      <c r="D46" s="2035"/>
      <c r="E46" s="2035">
        <v>35389</v>
      </c>
      <c r="F46" s="2035"/>
      <c r="G46" s="2035">
        <f t="shared" si="0"/>
        <v>222584</v>
      </c>
      <c r="H46" s="2035"/>
      <c r="I46" s="2036">
        <v>196555</v>
      </c>
      <c r="J46" s="2035"/>
      <c r="K46" s="2036">
        <v>26029</v>
      </c>
      <c r="L46" s="2035"/>
      <c r="M46" s="2036">
        <f t="shared" si="1"/>
        <v>222584</v>
      </c>
      <c r="N46" s="2035"/>
      <c r="O46" s="2035">
        <v>357668</v>
      </c>
      <c r="P46" s="2037"/>
      <c r="Q46" s="2035">
        <v>23855</v>
      </c>
      <c r="R46" s="2037"/>
      <c r="S46" s="2035">
        <f t="shared" si="2"/>
        <v>381523</v>
      </c>
      <c r="T46" s="2035"/>
      <c r="U46" s="2035">
        <f>ROUND(SUM('SCH 18 pg1'!C46+'SCH 18 pg1'!I46+'SCH 18 pg1'!O46+'SCH 18 pg2'!C46+'SCH 18 pg2'!I46+'SCH 18 pg2'!O46),0)</f>
        <v>1427346</v>
      </c>
      <c r="V46" s="2035"/>
      <c r="W46" s="2035">
        <f>ROUND(SUM('SCH 18 pg1'!E46+'SCH 18 pg1'!K46+'SCH 18 pg1'!Q46+'SCH 18 pg2'!E46+'SCH 18 pg2'!K46+'SCH 18 pg2'!Q46),0)</f>
        <v>249038</v>
      </c>
      <c r="X46" s="2035"/>
      <c r="Y46" s="2035">
        <f t="shared" si="3"/>
        <v>1676384</v>
      </c>
    </row>
    <row r="47" spans="1:25">
      <c r="A47" s="1756" t="s">
        <v>662</v>
      </c>
      <c r="B47" s="1756" t="s">
        <v>6</v>
      </c>
      <c r="C47" s="1839">
        <v>0</v>
      </c>
      <c r="D47" s="2036"/>
      <c r="E47" s="1839">
        <v>0</v>
      </c>
      <c r="F47" s="2036"/>
      <c r="G47" s="2035">
        <f t="shared" si="0"/>
        <v>0</v>
      </c>
      <c r="H47" s="2036"/>
      <c r="I47" s="1839">
        <v>0</v>
      </c>
      <c r="J47" s="2036"/>
      <c r="K47" s="1839">
        <v>0</v>
      </c>
      <c r="L47" s="2036"/>
      <c r="M47" s="2036">
        <f t="shared" si="1"/>
        <v>0</v>
      </c>
      <c r="N47" s="2036"/>
      <c r="O47" s="1839">
        <v>0</v>
      </c>
      <c r="P47" s="2036"/>
      <c r="Q47" s="1839">
        <v>0</v>
      </c>
      <c r="R47" s="2036"/>
      <c r="S47" s="2035">
        <f t="shared" si="2"/>
        <v>0</v>
      </c>
      <c r="T47" s="2036"/>
      <c r="U47" s="2035">
        <f>ROUND(SUM('SCH 18 pg1'!C47+'SCH 18 pg1'!I47+'SCH 18 pg1'!O47+'SCH 18 pg2'!C47+'SCH 18 pg2'!I47+'SCH 18 pg2'!O47),0)</f>
        <v>0</v>
      </c>
      <c r="V47" s="1839"/>
      <c r="W47" s="2035">
        <f>ROUND(SUM('SCH 18 pg1'!E47+'SCH 18 pg1'!K47+'SCH 18 pg1'!Q47+'SCH 18 pg2'!E47+'SCH 18 pg2'!K47+'SCH 18 pg2'!Q47),0)</f>
        <v>0</v>
      </c>
      <c r="X47" s="1839"/>
      <c r="Y47" s="2035">
        <f t="shared" si="3"/>
        <v>0</v>
      </c>
    </row>
    <row r="48" spans="1:25">
      <c r="A48" s="1756" t="s">
        <v>663</v>
      </c>
      <c r="B48" s="1756" t="s">
        <v>6</v>
      </c>
      <c r="C48" s="2035">
        <v>566568</v>
      </c>
      <c r="D48" s="2037"/>
      <c r="E48" s="2035">
        <v>112023</v>
      </c>
      <c r="F48" s="2037"/>
      <c r="G48" s="2035">
        <f t="shared" si="0"/>
        <v>678591</v>
      </c>
      <c r="H48" s="2035"/>
      <c r="I48" s="2036">
        <v>491155</v>
      </c>
      <c r="J48" s="2037"/>
      <c r="K48" s="2036">
        <f>85697+1</f>
        <v>85698</v>
      </c>
      <c r="L48" s="2037"/>
      <c r="M48" s="2036">
        <f t="shared" si="1"/>
        <v>576853</v>
      </c>
      <c r="N48" s="2035"/>
      <c r="O48" s="2035">
        <v>1544265</v>
      </c>
      <c r="P48" s="2037"/>
      <c r="Q48" s="2035">
        <f>161433-1</f>
        <v>161432</v>
      </c>
      <c r="R48" s="2037"/>
      <c r="S48" s="2035">
        <f t="shared" si="2"/>
        <v>1705697</v>
      </c>
      <c r="T48" s="2035"/>
      <c r="U48" s="2035">
        <f>ROUND(SUM('SCH 18 pg1'!C48+'SCH 18 pg1'!I48+'SCH 18 pg1'!O48+'SCH 18 pg2'!C48+'SCH 18 pg2'!I48+'SCH 18 pg2'!O48),0)</f>
        <v>5775985</v>
      </c>
      <c r="V48" s="2035"/>
      <c r="W48" s="2035">
        <f>ROUND(SUM('SCH 18 pg1'!E48+'SCH 18 pg1'!K48+'SCH 18 pg1'!Q48+'SCH 18 pg2'!E48+'SCH 18 pg2'!K48+'SCH 18 pg2'!Q48),0)</f>
        <v>920448</v>
      </c>
      <c r="X48" s="2035"/>
      <c r="Y48" s="2035">
        <f t="shared" si="3"/>
        <v>6696433</v>
      </c>
    </row>
    <row r="49" spans="1:31">
      <c r="A49" s="823" t="s">
        <v>2538</v>
      </c>
      <c r="B49" s="2172" t="s">
        <v>6</v>
      </c>
      <c r="C49" s="2035">
        <v>0</v>
      </c>
      <c r="D49" s="2037"/>
      <c r="E49" s="2035">
        <v>0</v>
      </c>
      <c r="F49" s="2037"/>
      <c r="G49" s="2035">
        <f t="shared" si="0"/>
        <v>0</v>
      </c>
      <c r="H49" s="2035"/>
      <c r="I49" s="2036">
        <v>0</v>
      </c>
      <c r="J49" s="2037"/>
      <c r="K49" s="2036">
        <v>0</v>
      </c>
      <c r="L49" s="2037"/>
      <c r="M49" s="2036">
        <f t="shared" si="1"/>
        <v>0</v>
      </c>
      <c r="N49" s="2035"/>
      <c r="O49" s="2035">
        <v>0</v>
      </c>
      <c r="P49" s="2037"/>
      <c r="Q49" s="2035">
        <v>0</v>
      </c>
      <c r="R49" s="2037"/>
      <c r="S49" s="2035">
        <f t="shared" si="2"/>
        <v>0</v>
      </c>
      <c r="T49" s="2035"/>
      <c r="U49" s="2035">
        <v>0</v>
      </c>
      <c r="V49" s="2035"/>
      <c r="W49" s="2035">
        <v>0</v>
      </c>
      <c r="X49" s="2035"/>
      <c r="Y49" s="2035">
        <v>0</v>
      </c>
    </row>
    <row r="50" spans="1:31">
      <c r="A50" s="1758" t="s">
        <v>635</v>
      </c>
      <c r="B50" s="1756" t="s">
        <v>6</v>
      </c>
      <c r="C50" s="2035"/>
      <c r="D50" s="2035"/>
      <c r="E50" s="2035"/>
      <c r="F50" s="2035"/>
      <c r="G50" s="2035"/>
      <c r="H50" s="2035"/>
      <c r="I50" s="2036"/>
      <c r="J50" s="2035"/>
      <c r="K50" s="2036"/>
      <c r="L50" s="2035"/>
      <c r="M50" s="2036"/>
      <c r="N50" s="2035"/>
      <c r="O50" s="2035"/>
      <c r="P50" s="2035"/>
      <c r="Q50" s="2035"/>
      <c r="R50" s="2035"/>
      <c r="S50" s="2035"/>
      <c r="T50" s="2035"/>
      <c r="U50" s="2035"/>
      <c r="V50" s="2035"/>
      <c r="W50" s="2035"/>
      <c r="X50" s="2035"/>
      <c r="Y50" s="2035"/>
    </row>
    <row r="51" spans="1:31">
      <c r="A51" s="1756" t="s">
        <v>636</v>
      </c>
      <c r="B51" s="1756" t="s">
        <v>6</v>
      </c>
      <c r="C51" s="2035">
        <v>947134</v>
      </c>
      <c r="D51" s="2035"/>
      <c r="E51" s="2035">
        <v>114603</v>
      </c>
      <c r="F51" s="2035"/>
      <c r="G51" s="2035">
        <f t="shared" si="0"/>
        <v>1061737</v>
      </c>
      <c r="H51" s="2035"/>
      <c r="I51" s="2036">
        <v>460773</v>
      </c>
      <c r="J51" s="2035"/>
      <c r="K51" s="2036">
        <v>87745</v>
      </c>
      <c r="L51" s="2035"/>
      <c r="M51" s="2036">
        <f t="shared" si="1"/>
        <v>548518</v>
      </c>
      <c r="N51" s="2035"/>
      <c r="O51" s="2035">
        <f>1633868-1</f>
        <v>1633867</v>
      </c>
      <c r="P51" s="2035"/>
      <c r="Q51" s="2035">
        <v>159814</v>
      </c>
      <c r="R51" s="2035"/>
      <c r="S51" s="2035">
        <f t="shared" si="2"/>
        <v>1793681</v>
      </c>
      <c r="T51" s="2035"/>
      <c r="U51" s="2035">
        <f>ROUND(SUM('SCH 18 pg1'!C51+'SCH 18 pg1'!I51+'SCH 18 pg1'!O51+'SCH 18 pg2'!C51+'SCH 18 pg2'!I51+'SCH 18 pg2'!O51),0)</f>
        <v>5846615</v>
      </c>
      <c r="V51" s="2035"/>
      <c r="W51" s="2035">
        <f>ROUND(SUM('SCH 18 pg1'!E51+'SCH 18 pg1'!K51+'SCH 18 pg1'!Q51+'SCH 18 pg2'!E51+'SCH 18 pg2'!K51+'SCH 18 pg2'!Q51),0)</f>
        <v>893391</v>
      </c>
      <c r="X51" s="2035"/>
      <c r="Y51" s="2035">
        <f t="shared" si="3"/>
        <v>6740006</v>
      </c>
    </row>
    <row r="52" spans="1:31">
      <c r="A52" s="1756" t="s">
        <v>1320</v>
      </c>
      <c r="B52" s="1756" t="s">
        <v>6</v>
      </c>
      <c r="C52" s="1839">
        <v>0</v>
      </c>
      <c r="D52" s="2036"/>
      <c r="E52" s="1839">
        <v>0</v>
      </c>
      <c r="F52" s="2036"/>
      <c r="G52" s="2035">
        <f t="shared" si="0"/>
        <v>0</v>
      </c>
      <c r="H52" s="2036"/>
      <c r="I52" s="1839">
        <v>0</v>
      </c>
      <c r="J52" s="2036"/>
      <c r="K52" s="1839">
        <v>0</v>
      </c>
      <c r="L52" s="2036"/>
      <c r="M52" s="2036">
        <f t="shared" si="1"/>
        <v>0</v>
      </c>
      <c r="N52" s="2036"/>
      <c r="O52" s="1839">
        <v>0</v>
      </c>
      <c r="P52" s="2036"/>
      <c r="Q52" s="1839">
        <v>0</v>
      </c>
      <c r="R52" s="2036"/>
      <c r="S52" s="2035">
        <f t="shared" si="2"/>
        <v>0</v>
      </c>
      <c r="T52" s="2036"/>
      <c r="U52" s="2035">
        <f>ROUND(SUM('SCH 18 pg1'!C52+'SCH 18 pg1'!I52+'SCH 18 pg1'!O52+'SCH 18 pg2'!C52+'SCH 18 pg2'!I52+'SCH 18 pg2'!O52),0)</f>
        <v>0</v>
      </c>
      <c r="V52" s="1839"/>
      <c r="W52" s="2035">
        <f>ROUND(SUM('SCH 18 pg1'!E52+'SCH 18 pg1'!K52+'SCH 18 pg1'!Q52+'SCH 18 pg2'!E52+'SCH 18 pg2'!K52+'SCH 18 pg2'!Q52),0)</f>
        <v>0</v>
      </c>
      <c r="X52" s="1839"/>
      <c r="Y52" s="2035">
        <f t="shared" si="3"/>
        <v>0</v>
      </c>
    </row>
    <row r="53" spans="1:31">
      <c r="A53" s="1756" t="s">
        <v>664</v>
      </c>
      <c r="B53" s="1756" t="s">
        <v>6</v>
      </c>
      <c r="C53" s="1839">
        <v>0</v>
      </c>
      <c r="D53" s="2036"/>
      <c r="E53" s="1839">
        <v>0</v>
      </c>
      <c r="F53" s="2036"/>
      <c r="G53" s="2035">
        <f t="shared" si="0"/>
        <v>0</v>
      </c>
      <c r="H53" s="2036"/>
      <c r="I53" s="1839">
        <v>0</v>
      </c>
      <c r="J53" s="2036"/>
      <c r="K53" s="1839">
        <v>0</v>
      </c>
      <c r="L53" s="2036"/>
      <c r="M53" s="2036">
        <f t="shared" si="1"/>
        <v>0</v>
      </c>
      <c r="N53" s="2036"/>
      <c r="O53" s="1839">
        <v>0</v>
      </c>
      <c r="P53" s="2036"/>
      <c r="Q53" s="1839">
        <v>0</v>
      </c>
      <c r="R53" s="2036"/>
      <c r="S53" s="2035">
        <f t="shared" si="2"/>
        <v>0</v>
      </c>
      <c r="T53" s="2035"/>
      <c r="U53" s="2035">
        <f>ROUND(SUM('SCH 18 pg1'!C53+'SCH 18 pg1'!I53+'SCH 18 pg1'!O53+'SCH 18 pg2'!C53+'SCH 18 pg2'!I53+'SCH 18 pg2'!O53),0)</f>
        <v>38670</v>
      </c>
      <c r="V53" s="1839"/>
      <c r="W53" s="2035">
        <f>ROUND(SUM('SCH 18 pg1'!E53+'SCH 18 pg1'!K53+'SCH 18 pg1'!Q53+'SCH 18 pg2'!E53+'SCH 18 pg2'!K53+'SCH 18 pg2'!Q53),0)</f>
        <v>996</v>
      </c>
      <c r="X53" s="1839"/>
      <c r="Y53" s="2035">
        <f t="shared" si="3"/>
        <v>39666</v>
      </c>
    </row>
    <row r="54" spans="1:31" ht="21.75" customHeight="1" thickBot="1">
      <c r="A54" s="1758" t="s">
        <v>1939</v>
      </c>
      <c r="B54" s="1756" t="s">
        <v>6</v>
      </c>
      <c r="C54" s="1841">
        <f>ROUND(SUM(C12:C53),0)</f>
        <v>166995000</v>
      </c>
      <c r="D54" s="1836"/>
      <c r="E54" s="1841">
        <f>ROUND(SUM(E12:E53),0)</f>
        <v>89292432</v>
      </c>
      <c r="F54" s="1836"/>
      <c r="G54" s="1841">
        <f>ROUND(SUM(G12:G53),0)</f>
        <v>256287432</v>
      </c>
      <c r="H54" s="1836"/>
      <c r="I54" s="1841">
        <f>ROUND(SUM(I12:I53),0)</f>
        <v>148570000</v>
      </c>
      <c r="J54" s="1836"/>
      <c r="K54" s="1841">
        <f>ROUND(SUM(K12:K53),0)</f>
        <v>82460008</v>
      </c>
      <c r="L54" s="1836"/>
      <c r="M54" s="1841">
        <f>ROUND(SUM(M12:M53),0)</f>
        <v>231030008</v>
      </c>
      <c r="N54" s="1836"/>
      <c r="O54" s="1841">
        <f>ROUND(SUM(O12:O53),0)</f>
        <v>1730299999</v>
      </c>
      <c r="P54" s="1836"/>
      <c r="Q54" s="1841">
        <f>ROUND(SUM(Q12:Q53),0)</f>
        <v>650192976</v>
      </c>
      <c r="R54" s="1836"/>
      <c r="S54" s="1841">
        <f>ROUND(SUM(S12:S53),0)</f>
        <v>2380492975</v>
      </c>
      <c r="T54" s="1842"/>
      <c r="U54" s="1841">
        <f>ROUND(SUM(U12:U53),0)</f>
        <v>2727459999</v>
      </c>
      <c r="V54" s="1842"/>
      <c r="W54" s="1841">
        <f>ROUND(SUM(W12:W53),0)</f>
        <v>1142905340</v>
      </c>
      <c r="X54" s="1842"/>
      <c r="Y54" s="1841">
        <f>ROUND(SUM(Y12:Y53),0)</f>
        <v>3870365339</v>
      </c>
    </row>
    <row r="55" spans="1:31" ht="16" thickTop="1">
      <c r="B55" s="1584" t="s">
        <v>6</v>
      </c>
      <c r="C55" s="1598"/>
      <c r="E55" s="1598"/>
      <c r="G55" s="1598"/>
      <c r="I55" s="1587"/>
      <c r="K55" s="1587"/>
      <c r="M55" s="1587"/>
      <c r="U55" s="1587"/>
      <c r="W55" s="1587"/>
      <c r="Y55" s="1592"/>
      <c r="Z55" s="1588"/>
      <c r="AA55" s="1591"/>
      <c r="AB55" s="1588"/>
      <c r="AC55" s="1591"/>
      <c r="AD55" s="1588"/>
      <c r="AE55" s="1592"/>
    </row>
    <row r="56" spans="1:31">
      <c r="A56" s="1580" t="s">
        <v>1955</v>
      </c>
      <c r="AA56" s="1599" t="s">
        <v>6</v>
      </c>
      <c r="AE56" s="1594"/>
    </row>
    <row r="57" spans="1:31">
      <c r="A57" s="1593" t="s">
        <v>6</v>
      </c>
    </row>
    <row r="58" spans="1:31">
      <c r="A58" s="1595"/>
    </row>
  </sheetData>
  <mergeCells count="4">
    <mergeCell ref="I8:M8"/>
    <mergeCell ref="O8:S8"/>
    <mergeCell ref="U8:Y8"/>
    <mergeCell ref="C8:G8"/>
  </mergeCells>
  <printOptions verticalCentered="1"/>
  <pageMargins left="0.4" right="0.5" top="0.5" bottom="0.5" header="0.5" footer="0.25"/>
  <pageSetup scale="44" firstPageNumber="98" orientation="landscape"/>
  <headerFooter scaleWithDoc="0">
    <oddFooter>&amp;R&amp;8 98</oddFooter>
  </headerFooter>
  <rowBreaks count="1" manualBreakCount="1">
    <brk id="22" max="16383" man="1"/>
  </rowBreaks>
  <colBreaks count="1" manualBreakCount="1">
    <brk id="32" max="1048575" man="1"/>
  </col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59"/>
  <sheetViews>
    <sheetView showGridLines="0" showOutlineSymbols="0" zoomScale="70" zoomScaleNormal="70" zoomScalePageLayoutView="70" workbookViewId="0"/>
  </sheetViews>
  <sheetFormatPr baseColWidth="10" defaultColWidth="8.85546875" defaultRowHeight="15" x14ac:dyDescent="0"/>
  <cols>
    <col min="1" max="1" width="56" style="856" customWidth="1"/>
    <col min="2" max="2" width="1.140625" style="856" customWidth="1"/>
    <col min="3" max="3" width="15.140625" style="856" bestFit="1" customWidth="1"/>
    <col min="4" max="4" width="1.140625" style="856" customWidth="1"/>
    <col min="5" max="5" width="17.140625" style="857" bestFit="1" customWidth="1"/>
    <col min="6" max="6" width="1.140625" style="856" customWidth="1"/>
    <col min="7" max="7" width="14.85546875" style="856" bestFit="1" customWidth="1"/>
    <col min="8" max="8" width="0.85546875" style="856" customWidth="1"/>
    <col min="9" max="9" width="15.85546875" style="856" bestFit="1" customWidth="1"/>
    <col min="10" max="10" width="0.85546875" style="856" customWidth="1"/>
    <col min="11" max="11" width="15.85546875" style="856" bestFit="1" customWidth="1"/>
    <col min="12" max="12" width="1.140625" style="856" customWidth="1"/>
    <col min="13" max="13" width="17.140625" style="856" bestFit="1" customWidth="1"/>
    <col min="14" max="14" width="1.140625" style="856" customWidth="1"/>
    <col min="15" max="15" width="16" style="856" bestFit="1" customWidth="1"/>
    <col min="16" max="16" width="1.140625" style="856" customWidth="1"/>
    <col min="17" max="17" width="0.85546875" style="856" customWidth="1"/>
    <col min="18" max="18" width="19.42578125" style="858" bestFit="1" customWidth="1"/>
    <col min="19" max="19" width="1.140625" style="856" customWidth="1"/>
    <col min="20" max="20" width="17.140625" style="856" customWidth="1"/>
    <col min="21" max="21" width="1.42578125" style="856" customWidth="1"/>
    <col min="22" max="16384" width="8.85546875" style="856"/>
  </cols>
  <sheetData>
    <row r="1" spans="1:21">
      <c r="A1" s="1582" t="s">
        <v>1443</v>
      </c>
    </row>
    <row r="3" spans="1:21" ht="17">
      <c r="A3" s="855" t="s">
        <v>0</v>
      </c>
      <c r="B3" s="855"/>
    </row>
    <row r="4" spans="1:21" ht="17">
      <c r="A4" s="855" t="s">
        <v>670</v>
      </c>
      <c r="B4" s="855"/>
      <c r="T4" s="859" t="s">
        <v>671</v>
      </c>
    </row>
    <row r="5" spans="1:21" ht="17">
      <c r="A5" s="855" t="s">
        <v>2539</v>
      </c>
      <c r="B5" s="855"/>
    </row>
    <row r="6" spans="1:21" ht="17">
      <c r="A6" s="855" t="s">
        <v>2585</v>
      </c>
      <c r="B6" s="855"/>
    </row>
    <row r="7" spans="1:21">
      <c r="A7" s="860"/>
      <c r="B7" s="860"/>
    </row>
    <row r="8" spans="1:21" ht="16">
      <c r="A8" s="861"/>
      <c r="B8" s="861"/>
      <c r="D8" s="862"/>
      <c r="E8" s="862"/>
      <c r="F8" s="862"/>
      <c r="G8" s="862"/>
      <c r="H8" s="862"/>
      <c r="I8" s="862" t="s">
        <v>139</v>
      </c>
      <c r="J8" s="862"/>
      <c r="K8" s="862"/>
      <c r="L8" s="862"/>
      <c r="M8" s="862"/>
      <c r="N8" s="862"/>
      <c r="O8" s="862"/>
      <c r="P8" s="862"/>
      <c r="Q8" s="862"/>
      <c r="R8" s="861"/>
      <c r="S8" s="861"/>
      <c r="T8" s="861"/>
      <c r="U8" s="861"/>
    </row>
    <row r="9" spans="1:21" ht="16">
      <c r="A9" s="861"/>
      <c r="B9" s="861"/>
      <c r="C9" s="862" t="s">
        <v>153</v>
      </c>
      <c r="D9" s="862"/>
      <c r="E9" s="862" t="s">
        <v>133</v>
      </c>
      <c r="F9" s="862"/>
      <c r="G9" s="862" t="s">
        <v>673</v>
      </c>
      <c r="H9" s="862"/>
      <c r="I9" s="862" t="s">
        <v>144</v>
      </c>
      <c r="J9" s="862"/>
      <c r="K9" s="862" t="s">
        <v>674</v>
      </c>
      <c r="L9" s="862"/>
      <c r="M9" s="862" t="s">
        <v>675</v>
      </c>
      <c r="N9" s="862"/>
      <c r="O9" s="862" t="s">
        <v>676</v>
      </c>
      <c r="P9" s="862"/>
      <c r="Q9" s="862"/>
      <c r="R9" s="861"/>
      <c r="S9" s="861"/>
      <c r="T9" s="861"/>
      <c r="U9" s="861"/>
    </row>
    <row r="10" spans="1:21" ht="16">
      <c r="A10" s="861"/>
      <c r="B10" s="861"/>
      <c r="C10" s="862" t="s">
        <v>672</v>
      </c>
      <c r="D10" s="862"/>
      <c r="E10" s="862" t="s">
        <v>153</v>
      </c>
      <c r="F10" s="862"/>
      <c r="G10" s="862" t="s">
        <v>678</v>
      </c>
      <c r="H10" s="862"/>
      <c r="I10" s="862" t="s">
        <v>154</v>
      </c>
      <c r="J10" s="862"/>
      <c r="K10" s="862" t="s">
        <v>679</v>
      </c>
      <c r="L10" s="862"/>
      <c r="M10" s="863" t="s">
        <v>680</v>
      </c>
      <c r="N10" s="863"/>
      <c r="O10" s="862" t="s">
        <v>681</v>
      </c>
      <c r="P10" s="862"/>
      <c r="Q10" s="862"/>
      <c r="R10" s="856"/>
      <c r="S10" s="864"/>
      <c r="T10" s="864"/>
      <c r="U10" s="864"/>
    </row>
    <row r="11" spans="1:21" ht="16">
      <c r="A11" s="861"/>
      <c r="B11" s="861"/>
      <c r="C11" s="862" t="s">
        <v>677</v>
      </c>
      <c r="D11" s="862"/>
      <c r="E11" s="862" t="s">
        <v>683</v>
      </c>
      <c r="F11" s="862"/>
      <c r="G11" s="862" t="s">
        <v>684</v>
      </c>
      <c r="H11" s="862"/>
      <c r="I11" s="862" t="s">
        <v>151</v>
      </c>
      <c r="J11" s="862"/>
      <c r="K11" s="862" t="s">
        <v>685</v>
      </c>
      <c r="L11" s="862"/>
      <c r="M11" s="862" t="s">
        <v>151</v>
      </c>
      <c r="N11" s="862"/>
      <c r="O11" s="862" t="s">
        <v>151</v>
      </c>
      <c r="P11" s="862"/>
      <c r="Q11" s="862"/>
      <c r="R11" s="864" t="s">
        <v>686</v>
      </c>
      <c r="S11" s="865"/>
      <c r="T11" s="865"/>
      <c r="U11" s="866"/>
    </row>
    <row r="12" spans="1:21" ht="16">
      <c r="A12" s="867" t="s">
        <v>687</v>
      </c>
      <c r="B12" s="868"/>
      <c r="C12" s="869" t="s">
        <v>688</v>
      </c>
      <c r="D12" s="870"/>
      <c r="E12" s="869" t="s">
        <v>689</v>
      </c>
      <c r="F12" s="870"/>
      <c r="G12" s="871" t="s">
        <v>690</v>
      </c>
      <c r="H12" s="870"/>
      <c r="I12" s="871" t="s">
        <v>175</v>
      </c>
      <c r="J12" s="870"/>
      <c r="K12" s="871" t="s">
        <v>691</v>
      </c>
      <c r="L12" s="870"/>
      <c r="M12" s="872" t="s">
        <v>692</v>
      </c>
      <c r="N12" s="870"/>
      <c r="O12" s="872" t="s">
        <v>693</v>
      </c>
      <c r="P12" s="870"/>
      <c r="Q12" s="870"/>
      <c r="R12" s="873" t="s">
        <v>2584</v>
      </c>
      <c r="S12" s="870"/>
      <c r="T12" s="873" t="s">
        <v>1917</v>
      </c>
      <c r="U12" s="874"/>
    </row>
    <row r="13" spans="1:21" ht="16">
      <c r="A13" s="868" t="s">
        <v>694</v>
      </c>
      <c r="B13" s="868"/>
      <c r="C13" s="875"/>
      <c r="D13" s="875"/>
      <c r="E13" s="876"/>
      <c r="F13" s="876"/>
      <c r="G13" s="875"/>
      <c r="H13" s="875"/>
      <c r="I13" s="875"/>
      <c r="J13" s="875"/>
      <c r="K13" s="875"/>
      <c r="L13" s="875"/>
      <c r="M13" s="875"/>
      <c r="N13" s="875"/>
      <c r="O13" s="875"/>
      <c r="P13" s="875"/>
      <c r="Q13" s="875"/>
      <c r="R13" s="875"/>
      <c r="S13" s="875"/>
      <c r="T13" s="877"/>
      <c r="U13" s="877"/>
    </row>
    <row r="14" spans="1:21" ht="16">
      <c r="A14" s="861" t="s">
        <v>695</v>
      </c>
      <c r="B14" s="878" t="s">
        <v>6</v>
      </c>
      <c r="C14" s="879">
        <v>0</v>
      </c>
      <c r="D14" s="879"/>
      <c r="E14" s="879">
        <v>219529219</v>
      </c>
      <c r="F14" s="879"/>
      <c r="G14" s="879">
        <v>0</v>
      </c>
      <c r="H14" s="879"/>
      <c r="I14" s="879">
        <v>0</v>
      </c>
      <c r="J14" s="879"/>
      <c r="K14" s="879">
        <v>0</v>
      </c>
      <c r="L14" s="879"/>
      <c r="M14" s="879">
        <v>0</v>
      </c>
      <c r="N14" s="879"/>
      <c r="O14" s="879">
        <v>0</v>
      </c>
      <c r="P14" s="879"/>
      <c r="Q14" s="879"/>
      <c r="R14" s="879">
        <f>ROUND(SUM(C14:P14),1)</f>
        <v>219529219</v>
      </c>
      <c r="S14" s="879"/>
      <c r="T14" s="879">
        <v>182266796</v>
      </c>
      <c r="U14" s="879"/>
    </row>
    <row r="15" spans="1:21" ht="16">
      <c r="A15" s="861" t="s">
        <v>696</v>
      </c>
      <c r="B15" s="878" t="s">
        <v>6</v>
      </c>
      <c r="C15" s="880"/>
      <c r="D15" s="880"/>
      <c r="E15" s="880"/>
      <c r="F15" s="880"/>
      <c r="G15" s="880"/>
      <c r="H15" s="880"/>
      <c r="I15" s="879"/>
      <c r="J15" s="879"/>
      <c r="K15" s="881"/>
      <c r="L15" s="881"/>
      <c r="M15" s="881"/>
      <c r="N15" s="881"/>
      <c r="O15" s="881" t="s">
        <v>6</v>
      </c>
      <c r="P15" s="881"/>
      <c r="Q15" s="881"/>
      <c r="R15" s="881"/>
      <c r="S15" s="881"/>
      <c r="T15" s="882"/>
      <c r="U15" s="882"/>
    </row>
    <row r="16" spans="1:21" ht="16">
      <c r="A16" s="861" t="s">
        <v>697</v>
      </c>
      <c r="B16" s="878" t="s">
        <v>6</v>
      </c>
      <c r="C16" s="880">
        <v>0</v>
      </c>
      <c r="D16" s="880"/>
      <c r="E16" s="881">
        <v>0</v>
      </c>
      <c r="F16" s="881"/>
      <c r="G16" s="880">
        <v>0</v>
      </c>
      <c r="H16" s="880"/>
      <c r="I16" s="881">
        <v>0</v>
      </c>
      <c r="J16" s="881"/>
      <c r="K16" s="881">
        <v>0</v>
      </c>
      <c r="L16" s="881"/>
      <c r="M16" s="881">
        <v>0</v>
      </c>
      <c r="N16" s="881"/>
      <c r="O16" s="881">
        <v>0</v>
      </c>
      <c r="P16" s="881"/>
      <c r="Q16" s="883"/>
      <c r="R16" s="881">
        <f t="shared" ref="R16:R36" si="0">ROUND(SUM(C16:P16),1)</f>
        <v>0</v>
      </c>
      <c r="S16" s="881"/>
      <c r="T16" s="882">
        <v>3153283</v>
      </c>
      <c r="U16" s="882"/>
    </row>
    <row r="17" spans="1:21" ht="16">
      <c r="A17" s="861" t="s">
        <v>698</v>
      </c>
      <c r="B17" s="878" t="s">
        <v>6</v>
      </c>
      <c r="C17" s="880">
        <v>0</v>
      </c>
      <c r="D17" s="880"/>
      <c r="E17" s="881">
        <v>89809150</v>
      </c>
      <c r="F17" s="881"/>
      <c r="G17" s="880">
        <v>0</v>
      </c>
      <c r="H17" s="880"/>
      <c r="I17" s="881">
        <v>0</v>
      </c>
      <c r="J17" s="881"/>
      <c r="K17" s="881">
        <v>0</v>
      </c>
      <c r="L17" s="881"/>
      <c r="M17" s="881">
        <v>0</v>
      </c>
      <c r="N17" s="881"/>
      <c r="O17" s="881">
        <v>0</v>
      </c>
      <c r="P17" s="881"/>
      <c r="Q17" s="883"/>
      <c r="R17" s="881">
        <f t="shared" si="0"/>
        <v>89809150</v>
      </c>
      <c r="S17" s="881"/>
      <c r="T17" s="882">
        <v>73527502</v>
      </c>
      <c r="U17" s="882"/>
    </row>
    <row r="18" spans="1:21" ht="16">
      <c r="A18" s="861" t="s">
        <v>1928</v>
      </c>
      <c r="B18" s="878"/>
      <c r="C18" s="880">
        <v>0</v>
      </c>
      <c r="D18" s="880"/>
      <c r="E18" s="881">
        <v>0</v>
      </c>
      <c r="F18" s="881"/>
      <c r="G18" s="880">
        <v>0</v>
      </c>
      <c r="H18" s="880"/>
      <c r="I18" s="881">
        <v>0</v>
      </c>
      <c r="J18" s="881"/>
      <c r="K18" s="881">
        <v>0</v>
      </c>
      <c r="L18" s="881"/>
      <c r="M18" s="881">
        <v>1419868966</v>
      </c>
      <c r="N18" s="881"/>
      <c r="O18" s="881">
        <v>361896699</v>
      </c>
      <c r="P18" s="881"/>
      <c r="Q18" s="883"/>
      <c r="R18" s="881">
        <f t="shared" ref="R18" si="1">ROUND(SUM(C18:P18),1)</f>
        <v>1781765665</v>
      </c>
      <c r="S18" s="881"/>
      <c r="T18" s="882">
        <v>1757954255</v>
      </c>
      <c r="U18" s="882"/>
    </row>
    <row r="19" spans="1:21" ht="16">
      <c r="A19" s="861" t="s">
        <v>699</v>
      </c>
      <c r="B19" s="878" t="s">
        <v>6</v>
      </c>
      <c r="C19" s="880">
        <v>0</v>
      </c>
      <c r="D19" s="880"/>
      <c r="E19" s="881">
        <v>0</v>
      </c>
      <c r="F19" s="881"/>
      <c r="G19" s="880">
        <v>0</v>
      </c>
      <c r="H19" s="880"/>
      <c r="I19" s="881">
        <v>0</v>
      </c>
      <c r="J19" s="881"/>
      <c r="K19" s="881">
        <v>0</v>
      </c>
      <c r="L19" s="881"/>
      <c r="M19" s="881">
        <v>0</v>
      </c>
      <c r="N19" s="881"/>
      <c r="O19" s="881">
        <v>0</v>
      </c>
      <c r="P19" s="881"/>
      <c r="Q19" s="883"/>
      <c r="R19" s="881">
        <f t="shared" si="0"/>
        <v>0</v>
      </c>
      <c r="S19" s="881"/>
      <c r="T19" s="882">
        <v>5690774</v>
      </c>
      <c r="U19" s="882"/>
    </row>
    <row r="20" spans="1:21" ht="16">
      <c r="A20" s="861" t="s">
        <v>700</v>
      </c>
      <c r="B20" s="878" t="s">
        <v>6</v>
      </c>
      <c r="C20" s="880">
        <v>0</v>
      </c>
      <c r="D20" s="880"/>
      <c r="E20" s="881">
        <v>0</v>
      </c>
      <c r="F20" s="881"/>
      <c r="G20" s="881">
        <v>28307274</v>
      </c>
      <c r="H20" s="881"/>
      <c r="I20" s="881">
        <v>0</v>
      </c>
      <c r="J20" s="881"/>
      <c r="K20" s="881">
        <v>0</v>
      </c>
      <c r="L20" s="881"/>
      <c r="M20" s="881">
        <v>0</v>
      </c>
      <c r="N20" s="881"/>
      <c r="O20" s="881">
        <v>0</v>
      </c>
      <c r="P20" s="881"/>
      <c r="Q20" s="883"/>
      <c r="R20" s="881">
        <f t="shared" si="0"/>
        <v>28307274</v>
      </c>
      <c r="S20" s="881"/>
      <c r="T20" s="882">
        <v>28202126</v>
      </c>
      <c r="U20" s="882"/>
    </row>
    <row r="21" spans="1:21" ht="16">
      <c r="A21" s="861" t="s">
        <v>701</v>
      </c>
      <c r="B21" s="878" t="s">
        <v>6</v>
      </c>
      <c r="C21" s="880">
        <v>0</v>
      </c>
      <c r="D21" s="880"/>
      <c r="E21" s="881">
        <v>0</v>
      </c>
      <c r="F21" s="881"/>
      <c r="G21" s="880">
        <v>0</v>
      </c>
      <c r="H21" s="880"/>
      <c r="I21" s="881">
        <v>0</v>
      </c>
      <c r="J21" s="881"/>
      <c r="K21" s="881">
        <v>0</v>
      </c>
      <c r="L21" s="881"/>
      <c r="M21" s="881">
        <v>0</v>
      </c>
      <c r="N21" s="881"/>
      <c r="O21" s="881">
        <v>0</v>
      </c>
      <c r="P21" s="881"/>
      <c r="Q21" s="883"/>
      <c r="R21" s="881">
        <f t="shared" si="0"/>
        <v>0</v>
      </c>
      <c r="S21" s="881"/>
      <c r="T21" s="882">
        <v>0</v>
      </c>
      <c r="U21" s="882"/>
    </row>
    <row r="22" spans="1:21" ht="16">
      <c r="A22" s="861" t="s">
        <v>702</v>
      </c>
      <c r="B22" s="878" t="s">
        <v>6</v>
      </c>
      <c r="C22" s="880">
        <v>0</v>
      </c>
      <c r="D22" s="880"/>
      <c r="E22" s="881">
        <v>0</v>
      </c>
      <c r="F22" s="881"/>
      <c r="G22" s="880">
        <v>0</v>
      </c>
      <c r="H22" s="880"/>
      <c r="I22" s="881">
        <v>0</v>
      </c>
      <c r="J22" s="881"/>
      <c r="K22" s="881">
        <v>0</v>
      </c>
      <c r="L22" s="881"/>
      <c r="M22" s="881">
        <v>0</v>
      </c>
      <c r="N22" s="881"/>
      <c r="O22" s="881">
        <v>0</v>
      </c>
      <c r="P22" s="881"/>
      <c r="Q22" s="883"/>
      <c r="R22" s="881">
        <f t="shared" si="0"/>
        <v>0</v>
      </c>
      <c r="S22" s="881"/>
      <c r="T22" s="882">
        <v>0</v>
      </c>
      <c r="U22" s="882"/>
    </row>
    <row r="23" spans="1:21" ht="16">
      <c r="A23" s="861" t="s">
        <v>703</v>
      </c>
      <c r="B23" s="878" t="s">
        <v>6</v>
      </c>
      <c r="C23" s="880">
        <v>0</v>
      </c>
      <c r="D23" s="880"/>
      <c r="E23" s="881">
        <v>0</v>
      </c>
      <c r="F23" s="881"/>
      <c r="G23" s="880">
        <v>0</v>
      </c>
      <c r="H23" s="880"/>
      <c r="I23" s="881">
        <v>0</v>
      </c>
      <c r="J23" s="881"/>
      <c r="K23" s="881">
        <v>0</v>
      </c>
      <c r="L23" s="881"/>
      <c r="M23" s="881">
        <v>0</v>
      </c>
      <c r="N23" s="881"/>
      <c r="O23" s="881">
        <v>0</v>
      </c>
      <c r="P23" s="881"/>
      <c r="Q23" s="881"/>
      <c r="R23" s="881">
        <f t="shared" si="0"/>
        <v>0</v>
      </c>
      <c r="S23" s="881"/>
      <c r="T23" s="884">
        <v>0</v>
      </c>
      <c r="U23" s="884"/>
    </row>
    <row r="24" spans="1:21" ht="16">
      <c r="A24" s="861" t="s">
        <v>704</v>
      </c>
      <c r="B24" s="878" t="s">
        <v>6</v>
      </c>
      <c r="C24" s="880">
        <v>0</v>
      </c>
      <c r="D24" s="880"/>
      <c r="E24" s="881">
        <v>0</v>
      </c>
      <c r="F24" s="881"/>
      <c r="G24" s="880">
        <v>0</v>
      </c>
      <c r="H24" s="880"/>
      <c r="I24" s="881">
        <v>0</v>
      </c>
      <c r="J24" s="881"/>
      <c r="K24" s="881">
        <v>0</v>
      </c>
      <c r="L24" s="881"/>
      <c r="M24" s="881">
        <v>0</v>
      </c>
      <c r="N24" s="881"/>
      <c r="O24" s="881">
        <v>0</v>
      </c>
      <c r="P24" s="881"/>
      <c r="Q24" s="881"/>
      <c r="R24" s="881">
        <f t="shared" si="0"/>
        <v>0</v>
      </c>
      <c r="S24" s="881"/>
      <c r="T24" s="884">
        <v>0</v>
      </c>
      <c r="U24" s="884"/>
    </row>
    <row r="25" spans="1:21" ht="16">
      <c r="A25" s="861" t="s">
        <v>705</v>
      </c>
      <c r="B25" s="878" t="s">
        <v>6</v>
      </c>
      <c r="C25" s="880">
        <v>0</v>
      </c>
      <c r="D25" s="880"/>
      <c r="E25" s="881">
        <v>0</v>
      </c>
      <c r="F25" s="881"/>
      <c r="G25" s="880">
        <v>0</v>
      </c>
      <c r="H25" s="880"/>
      <c r="I25" s="881">
        <v>0</v>
      </c>
      <c r="J25" s="881"/>
      <c r="K25" s="881">
        <v>202444923</v>
      </c>
      <c r="L25" s="881"/>
      <c r="M25" s="881">
        <v>0</v>
      </c>
      <c r="N25" s="881"/>
      <c r="O25" s="881">
        <v>0</v>
      </c>
      <c r="P25" s="881"/>
      <c r="Q25" s="881"/>
      <c r="R25" s="881">
        <f t="shared" si="0"/>
        <v>202444923</v>
      </c>
      <c r="S25" s="881"/>
      <c r="T25" s="884">
        <v>255809225</v>
      </c>
      <c r="U25" s="884"/>
    </row>
    <row r="26" spans="1:21" ht="16">
      <c r="A26" s="861" t="s">
        <v>706</v>
      </c>
      <c r="B26" s="878" t="s">
        <v>6</v>
      </c>
      <c r="C26" s="880">
        <v>0</v>
      </c>
      <c r="D26" s="880"/>
      <c r="E26" s="881">
        <v>0</v>
      </c>
      <c r="F26" s="881"/>
      <c r="G26" s="880">
        <v>0</v>
      </c>
      <c r="H26" s="880"/>
      <c r="I26" s="881">
        <v>0</v>
      </c>
      <c r="J26" s="881"/>
      <c r="K26" s="881">
        <v>0</v>
      </c>
      <c r="L26" s="881"/>
      <c r="M26" s="881">
        <v>0</v>
      </c>
      <c r="N26" s="881"/>
      <c r="O26" s="881">
        <v>0</v>
      </c>
      <c r="P26" s="881"/>
      <c r="Q26" s="881"/>
      <c r="R26" s="881">
        <f t="shared" si="0"/>
        <v>0</v>
      </c>
      <c r="S26" s="881"/>
      <c r="T26" s="884">
        <v>0</v>
      </c>
      <c r="U26" s="884"/>
    </row>
    <row r="27" spans="1:21" ht="16">
      <c r="A27" s="861" t="s">
        <v>707</v>
      </c>
      <c r="B27" s="878" t="s">
        <v>6</v>
      </c>
      <c r="C27" s="880">
        <v>0</v>
      </c>
      <c r="D27" s="880"/>
      <c r="E27" s="881">
        <v>0</v>
      </c>
      <c r="F27" s="881"/>
      <c r="G27" s="880">
        <v>0</v>
      </c>
      <c r="H27" s="880"/>
      <c r="I27" s="881">
        <v>0</v>
      </c>
      <c r="J27" s="881"/>
      <c r="K27" s="881">
        <v>0</v>
      </c>
      <c r="L27" s="881"/>
      <c r="M27" s="881">
        <v>0</v>
      </c>
      <c r="N27" s="881"/>
      <c r="O27" s="881">
        <v>0</v>
      </c>
      <c r="P27" s="881"/>
      <c r="Q27" s="881"/>
      <c r="R27" s="881">
        <f t="shared" si="0"/>
        <v>0</v>
      </c>
      <c r="S27" s="881"/>
      <c r="T27" s="884">
        <v>0</v>
      </c>
      <c r="U27" s="884"/>
    </row>
    <row r="28" spans="1:21" ht="16">
      <c r="A28" s="861" t="s">
        <v>708</v>
      </c>
      <c r="B28" s="878" t="s">
        <v>6</v>
      </c>
      <c r="C28" s="880">
        <v>0</v>
      </c>
      <c r="D28" s="880"/>
      <c r="E28" s="881">
        <v>19276575</v>
      </c>
      <c r="F28" s="881"/>
      <c r="G28" s="880">
        <v>0</v>
      </c>
      <c r="H28" s="880"/>
      <c r="I28" s="881">
        <v>0</v>
      </c>
      <c r="J28" s="881"/>
      <c r="K28" s="881">
        <v>0</v>
      </c>
      <c r="L28" s="881"/>
      <c r="M28" s="881">
        <v>0</v>
      </c>
      <c r="N28" s="881"/>
      <c r="O28" s="881">
        <v>0</v>
      </c>
      <c r="P28" s="881"/>
      <c r="Q28" s="881"/>
      <c r="R28" s="881">
        <f t="shared" si="0"/>
        <v>19276575</v>
      </c>
      <c r="S28" s="881"/>
      <c r="T28" s="884">
        <v>24145791</v>
      </c>
      <c r="U28" s="884"/>
    </row>
    <row r="29" spans="1:21" ht="16">
      <c r="A29" s="861" t="s">
        <v>709</v>
      </c>
      <c r="B29" s="878" t="s">
        <v>6</v>
      </c>
      <c r="C29" s="880">
        <v>0</v>
      </c>
      <c r="D29" s="880"/>
      <c r="E29" s="881">
        <v>2453831</v>
      </c>
      <c r="F29" s="881"/>
      <c r="G29" s="880">
        <v>0</v>
      </c>
      <c r="H29" s="880"/>
      <c r="I29" s="881">
        <v>0</v>
      </c>
      <c r="J29" s="881"/>
      <c r="K29" s="881">
        <v>0</v>
      </c>
      <c r="L29" s="881"/>
      <c r="M29" s="881">
        <v>0</v>
      </c>
      <c r="N29" s="881"/>
      <c r="O29" s="881">
        <v>0</v>
      </c>
      <c r="P29" s="881"/>
      <c r="Q29" s="883"/>
      <c r="R29" s="881">
        <f t="shared" si="0"/>
        <v>2453831</v>
      </c>
      <c r="S29" s="881"/>
      <c r="T29" s="882">
        <v>2446207</v>
      </c>
      <c r="U29" s="882"/>
    </row>
    <row r="30" spans="1:21" ht="16">
      <c r="A30" s="861" t="s">
        <v>710</v>
      </c>
      <c r="B30" s="878" t="s">
        <v>6</v>
      </c>
      <c r="C30" s="880">
        <v>0</v>
      </c>
      <c r="D30" s="880"/>
      <c r="E30" s="881">
        <v>0</v>
      </c>
      <c r="F30" s="881"/>
      <c r="G30" s="880">
        <v>0</v>
      </c>
      <c r="H30" s="880"/>
      <c r="I30" s="881">
        <v>0</v>
      </c>
      <c r="J30" s="881"/>
      <c r="K30" s="881">
        <v>0</v>
      </c>
      <c r="L30" s="881"/>
      <c r="M30" s="881">
        <v>0</v>
      </c>
      <c r="N30" s="881"/>
      <c r="O30" s="881">
        <v>0</v>
      </c>
      <c r="P30" s="881"/>
      <c r="Q30" s="881"/>
      <c r="R30" s="881">
        <f t="shared" si="0"/>
        <v>0</v>
      </c>
      <c r="S30" s="881"/>
      <c r="T30" s="882">
        <v>0</v>
      </c>
      <c r="U30" s="882"/>
    </row>
    <row r="31" spans="1:21" ht="16">
      <c r="A31" s="861" t="s">
        <v>711</v>
      </c>
      <c r="B31" s="878" t="s">
        <v>6</v>
      </c>
      <c r="C31" s="880">
        <v>0</v>
      </c>
      <c r="D31" s="880"/>
      <c r="E31" s="881">
        <v>0</v>
      </c>
      <c r="F31" s="881"/>
      <c r="G31" s="880">
        <v>0</v>
      </c>
      <c r="H31" s="880"/>
      <c r="I31" s="881">
        <v>0</v>
      </c>
      <c r="J31" s="881"/>
      <c r="K31" s="881">
        <v>0</v>
      </c>
      <c r="L31" s="881"/>
      <c r="M31" s="881">
        <v>0</v>
      </c>
      <c r="N31" s="881"/>
      <c r="O31" s="881">
        <v>0</v>
      </c>
      <c r="P31" s="881"/>
      <c r="Q31" s="883"/>
      <c r="R31" s="881">
        <f t="shared" si="0"/>
        <v>0</v>
      </c>
      <c r="S31" s="881"/>
      <c r="T31" s="882">
        <v>158675</v>
      </c>
      <c r="U31" s="882"/>
    </row>
    <row r="32" spans="1:21" ht="16">
      <c r="A32" s="861" t="s">
        <v>712</v>
      </c>
      <c r="B32" s="878" t="s">
        <v>6</v>
      </c>
      <c r="C32" s="880">
        <v>0</v>
      </c>
      <c r="D32" s="880"/>
      <c r="E32" s="881">
        <v>0</v>
      </c>
      <c r="F32" s="881"/>
      <c r="G32" s="880">
        <v>0</v>
      </c>
      <c r="H32" s="880"/>
      <c r="I32" s="881">
        <v>0</v>
      </c>
      <c r="J32" s="881"/>
      <c r="K32" s="881">
        <v>0</v>
      </c>
      <c r="L32" s="881"/>
      <c r="M32" s="881">
        <v>0</v>
      </c>
      <c r="N32" s="881"/>
      <c r="O32" s="881">
        <v>0</v>
      </c>
      <c r="P32" s="881"/>
      <c r="Q32" s="883"/>
      <c r="R32" s="881">
        <f t="shared" si="0"/>
        <v>0</v>
      </c>
      <c r="S32" s="881"/>
      <c r="T32" s="882">
        <v>0</v>
      </c>
      <c r="U32" s="882"/>
    </row>
    <row r="33" spans="1:21" ht="16">
      <c r="A33" s="861" t="s">
        <v>713</v>
      </c>
      <c r="B33" s="878" t="s">
        <v>6</v>
      </c>
      <c r="C33" s="880">
        <v>0</v>
      </c>
      <c r="D33" s="880"/>
      <c r="E33" s="881">
        <v>93015153</v>
      </c>
      <c r="F33" s="881"/>
      <c r="G33" s="880">
        <v>0</v>
      </c>
      <c r="H33" s="880"/>
      <c r="I33" s="881">
        <v>0</v>
      </c>
      <c r="J33" s="881"/>
      <c r="K33" s="881">
        <v>0</v>
      </c>
      <c r="L33" s="881"/>
      <c r="M33" s="881">
        <v>0</v>
      </c>
      <c r="N33" s="881"/>
      <c r="O33" s="881">
        <v>0</v>
      </c>
      <c r="P33" s="881"/>
      <c r="Q33" s="881"/>
      <c r="R33" s="881">
        <f t="shared" si="0"/>
        <v>93015153</v>
      </c>
      <c r="S33" s="881"/>
      <c r="T33" s="882">
        <v>168068690</v>
      </c>
      <c r="U33" s="882"/>
    </row>
    <row r="34" spans="1:21" ht="16">
      <c r="A34" s="861" t="s">
        <v>714</v>
      </c>
      <c r="B34" s="878" t="s">
        <v>6</v>
      </c>
      <c r="C34" s="880">
        <v>0</v>
      </c>
      <c r="D34" s="880"/>
      <c r="E34" s="881">
        <v>5942092</v>
      </c>
      <c r="F34" s="881"/>
      <c r="G34" s="881">
        <v>0</v>
      </c>
      <c r="H34" s="881"/>
      <c r="I34" s="881">
        <v>0</v>
      </c>
      <c r="J34" s="881"/>
      <c r="K34" s="881">
        <v>0</v>
      </c>
      <c r="L34" s="881"/>
      <c r="M34" s="881">
        <v>75237324</v>
      </c>
      <c r="N34" s="881"/>
      <c r="O34" s="881">
        <v>0</v>
      </c>
      <c r="P34" s="881"/>
      <c r="Q34" s="881"/>
      <c r="R34" s="881">
        <f t="shared" si="0"/>
        <v>81179416</v>
      </c>
      <c r="S34" s="881"/>
      <c r="T34" s="882">
        <v>88370375</v>
      </c>
      <c r="U34" s="882"/>
    </row>
    <row r="35" spans="1:21" ht="16">
      <c r="A35" s="861" t="s">
        <v>715</v>
      </c>
      <c r="B35" s="878" t="s">
        <v>6</v>
      </c>
      <c r="C35" s="880">
        <v>0</v>
      </c>
      <c r="D35" s="880"/>
      <c r="E35" s="881">
        <v>35320671</v>
      </c>
      <c r="F35" s="881"/>
      <c r="G35" s="885">
        <v>0</v>
      </c>
      <c r="H35" s="885"/>
      <c r="I35" s="881">
        <v>0</v>
      </c>
      <c r="J35" s="881"/>
      <c r="K35" s="881">
        <v>0</v>
      </c>
      <c r="L35" s="881"/>
      <c r="M35" s="881">
        <v>56360034</v>
      </c>
      <c r="N35" s="881"/>
      <c r="O35" s="881">
        <v>0</v>
      </c>
      <c r="P35" s="881"/>
      <c r="Q35" s="881"/>
      <c r="R35" s="881">
        <f t="shared" si="0"/>
        <v>91680705</v>
      </c>
      <c r="S35" s="881"/>
      <c r="T35" s="882">
        <v>97122346</v>
      </c>
      <c r="U35" s="882"/>
    </row>
    <row r="36" spans="1:21" ht="16">
      <c r="A36" s="861" t="s">
        <v>716</v>
      </c>
      <c r="B36" s="878" t="s">
        <v>6</v>
      </c>
      <c r="C36" s="880">
        <v>0</v>
      </c>
      <c r="D36" s="880"/>
      <c r="E36" s="881">
        <v>0</v>
      </c>
      <c r="F36" s="881"/>
      <c r="G36" s="880">
        <v>0</v>
      </c>
      <c r="H36" s="880"/>
      <c r="I36" s="881">
        <v>389549865</v>
      </c>
      <c r="J36" s="881"/>
      <c r="K36" s="881">
        <v>0</v>
      </c>
      <c r="L36" s="881"/>
      <c r="M36" s="881">
        <v>0</v>
      </c>
      <c r="N36" s="881"/>
      <c r="O36" s="881">
        <v>0</v>
      </c>
      <c r="P36" s="881"/>
      <c r="Q36" s="883"/>
      <c r="R36" s="881">
        <f t="shared" si="0"/>
        <v>389549865</v>
      </c>
      <c r="S36" s="881"/>
      <c r="T36" s="882">
        <v>390936934</v>
      </c>
      <c r="U36" s="882"/>
    </row>
    <row r="37" spans="1:21" ht="16">
      <c r="A37" s="861" t="s">
        <v>717</v>
      </c>
      <c r="B37" s="878" t="s">
        <v>6</v>
      </c>
      <c r="C37" s="886" t="s">
        <v>6</v>
      </c>
      <c r="D37" s="886"/>
      <c r="E37" s="882" t="s">
        <v>6</v>
      </c>
      <c r="F37" s="882"/>
      <c r="G37" s="886"/>
      <c r="H37" s="886"/>
      <c r="I37" s="882"/>
      <c r="J37" s="882"/>
      <c r="K37" s="882"/>
      <c r="L37" s="882"/>
      <c r="M37" s="882"/>
      <c r="N37" s="882"/>
      <c r="O37" s="882"/>
      <c r="P37" s="882"/>
      <c r="Q37" s="882"/>
      <c r="R37" s="881" t="s">
        <v>6</v>
      </c>
      <c r="S37" s="881"/>
      <c r="T37" s="882" t="s">
        <v>6</v>
      </c>
      <c r="U37" s="882"/>
    </row>
    <row r="38" spans="1:21" ht="16">
      <c r="A38" s="861" t="s">
        <v>718</v>
      </c>
      <c r="B38" s="878" t="s">
        <v>6</v>
      </c>
      <c r="C38" s="880">
        <v>0</v>
      </c>
      <c r="D38" s="880"/>
      <c r="E38" s="881">
        <v>84084181</v>
      </c>
      <c r="F38" s="881"/>
      <c r="G38" s="880">
        <v>0</v>
      </c>
      <c r="H38" s="880"/>
      <c r="I38" s="881">
        <v>0</v>
      </c>
      <c r="J38" s="881"/>
      <c r="K38" s="881">
        <v>0</v>
      </c>
      <c r="L38" s="881"/>
      <c r="M38" s="881">
        <v>0</v>
      </c>
      <c r="N38" s="881"/>
      <c r="O38" s="881">
        <v>0</v>
      </c>
      <c r="P38" s="881"/>
      <c r="Q38" s="881"/>
      <c r="R38" s="881">
        <f>ROUND(SUM(C38:P38),1)</f>
        <v>84084181</v>
      </c>
      <c r="S38" s="881"/>
      <c r="T38" s="882">
        <v>79857004</v>
      </c>
      <c r="U38" s="882"/>
    </row>
    <row r="39" spans="1:21" ht="16">
      <c r="A39" s="861" t="s">
        <v>719</v>
      </c>
      <c r="B39" s="878" t="s">
        <v>6</v>
      </c>
      <c r="C39" s="880"/>
      <c r="D39" s="880"/>
      <c r="E39" s="881"/>
      <c r="F39" s="881"/>
      <c r="G39" s="880"/>
      <c r="H39" s="880"/>
      <c r="I39" s="881"/>
      <c r="J39" s="881"/>
      <c r="K39" s="881"/>
      <c r="L39" s="881"/>
      <c r="M39" s="881"/>
      <c r="N39" s="881"/>
      <c r="O39" s="881"/>
      <c r="P39" s="881"/>
      <c r="Q39" s="881"/>
      <c r="R39" s="881" t="s">
        <v>6</v>
      </c>
      <c r="S39" s="881" t="s">
        <v>6</v>
      </c>
      <c r="T39" s="882" t="s">
        <v>6</v>
      </c>
      <c r="U39" s="882"/>
    </row>
    <row r="40" spans="1:21" ht="16">
      <c r="A40" s="861" t="s">
        <v>720</v>
      </c>
      <c r="B40" s="878" t="s">
        <v>6</v>
      </c>
      <c r="C40" s="880">
        <v>0</v>
      </c>
      <c r="D40" s="880"/>
      <c r="E40" s="881">
        <v>502940316</v>
      </c>
      <c r="F40" s="881"/>
      <c r="G40" s="880">
        <v>0</v>
      </c>
      <c r="H40" s="880"/>
      <c r="I40" s="881">
        <v>0</v>
      </c>
      <c r="J40" s="881"/>
      <c r="K40" s="881">
        <v>0</v>
      </c>
      <c r="L40" s="881"/>
      <c r="M40" s="881">
        <v>0</v>
      </c>
      <c r="N40" s="881"/>
      <c r="O40" s="881">
        <v>0</v>
      </c>
      <c r="P40" s="881"/>
      <c r="Q40" s="881"/>
      <c r="R40" s="881">
        <f>ROUND(SUM(C40:P40),1)</f>
        <v>502940316</v>
      </c>
      <c r="S40" s="881"/>
      <c r="T40" s="882">
        <v>777503370</v>
      </c>
      <c r="U40" s="882"/>
    </row>
    <row r="41" spans="1:21" ht="16">
      <c r="A41" s="861" t="s">
        <v>721</v>
      </c>
      <c r="B41" s="878" t="s">
        <v>6</v>
      </c>
      <c r="C41" s="880">
        <v>0</v>
      </c>
      <c r="D41" s="880"/>
      <c r="E41" s="881">
        <v>127271900</v>
      </c>
      <c r="F41" s="881"/>
      <c r="G41" s="885">
        <v>0</v>
      </c>
      <c r="H41" s="885"/>
      <c r="I41" s="881">
        <v>0</v>
      </c>
      <c r="J41" s="881"/>
      <c r="K41" s="881">
        <v>0</v>
      </c>
      <c r="L41" s="881"/>
      <c r="M41" s="881">
        <v>0</v>
      </c>
      <c r="N41" s="881"/>
      <c r="O41" s="881">
        <v>0</v>
      </c>
      <c r="P41" s="881"/>
      <c r="Q41" s="881"/>
      <c r="R41" s="881">
        <f>ROUND(SUM(C41:P41),1)</f>
        <v>127271900</v>
      </c>
      <c r="S41" s="881"/>
      <c r="T41" s="882">
        <v>183996900</v>
      </c>
      <c r="U41" s="882"/>
    </row>
    <row r="42" spans="1:21" ht="16">
      <c r="A42" s="861" t="s">
        <v>722</v>
      </c>
      <c r="B42" s="878" t="s">
        <v>6</v>
      </c>
      <c r="C42" s="880">
        <v>0</v>
      </c>
      <c r="D42" s="880"/>
      <c r="E42" s="887">
        <v>0</v>
      </c>
      <c r="F42" s="887"/>
      <c r="G42" s="880">
        <v>0</v>
      </c>
      <c r="H42" s="880"/>
      <c r="I42" s="881">
        <v>0</v>
      </c>
      <c r="J42" s="881"/>
      <c r="K42" s="881">
        <v>0</v>
      </c>
      <c r="L42" s="881"/>
      <c r="M42" s="881">
        <v>290852150</v>
      </c>
      <c r="N42" s="881"/>
      <c r="O42" s="881">
        <v>0</v>
      </c>
      <c r="P42" s="881"/>
      <c r="Q42" s="881"/>
      <c r="R42" s="881">
        <f>ROUND(SUM(C42:P42),1)</f>
        <v>290852150</v>
      </c>
      <c r="S42" s="881"/>
      <c r="T42" s="882">
        <v>313288150</v>
      </c>
      <c r="U42" s="882"/>
    </row>
    <row r="43" spans="1:21" ht="16">
      <c r="A43" s="861" t="s">
        <v>723</v>
      </c>
      <c r="B43" s="878" t="s">
        <v>6</v>
      </c>
      <c r="C43" s="880"/>
      <c r="D43" s="880"/>
      <c r="E43" s="881" t="s">
        <v>6</v>
      </c>
      <c r="F43" s="881"/>
      <c r="G43" s="880"/>
      <c r="H43" s="880"/>
      <c r="I43" s="881"/>
      <c r="J43" s="881"/>
      <c r="K43" s="881"/>
      <c r="L43" s="881"/>
      <c r="M43" s="881"/>
      <c r="N43" s="881"/>
      <c r="O43" s="881"/>
      <c r="P43" s="881"/>
      <c r="Q43" s="883"/>
      <c r="R43" s="881" t="s">
        <v>6</v>
      </c>
      <c r="S43" s="881"/>
      <c r="T43" s="882" t="s">
        <v>6</v>
      </c>
      <c r="U43" s="882"/>
    </row>
    <row r="44" spans="1:21" ht="16">
      <c r="A44" s="861" t="s">
        <v>724</v>
      </c>
      <c r="B44" s="878" t="s">
        <v>6</v>
      </c>
      <c r="C44" s="880">
        <v>0</v>
      </c>
      <c r="D44" s="880"/>
      <c r="E44" s="881">
        <v>0</v>
      </c>
      <c r="F44" s="881"/>
      <c r="G44" s="880">
        <v>0</v>
      </c>
      <c r="H44" s="880"/>
      <c r="I44" s="881">
        <v>0</v>
      </c>
      <c r="J44" s="881"/>
      <c r="K44" s="881">
        <v>0</v>
      </c>
      <c r="L44" s="881"/>
      <c r="M44" s="881">
        <v>0</v>
      </c>
      <c r="N44" s="881"/>
      <c r="O44" s="881">
        <v>0</v>
      </c>
      <c r="P44" s="881"/>
      <c r="Q44" s="883"/>
      <c r="R44" s="881">
        <f t="shared" ref="R44:R57" si="2">ROUND(SUM(C44:P44),1)</f>
        <v>0</v>
      </c>
      <c r="S44" s="881"/>
      <c r="T44" s="884">
        <v>0</v>
      </c>
      <c r="U44" s="884"/>
    </row>
    <row r="45" spans="1:21" ht="16">
      <c r="A45" s="861" t="s">
        <v>725</v>
      </c>
      <c r="B45" s="878" t="s">
        <v>6</v>
      </c>
      <c r="C45" s="880">
        <v>0</v>
      </c>
      <c r="D45" s="880"/>
      <c r="E45" s="881">
        <v>1927350</v>
      </c>
      <c r="F45" s="881"/>
      <c r="G45" s="880">
        <v>0</v>
      </c>
      <c r="H45" s="880"/>
      <c r="I45" s="881">
        <v>0</v>
      </c>
      <c r="J45" s="881"/>
      <c r="K45" s="881">
        <v>0</v>
      </c>
      <c r="L45" s="881"/>
      <c r="M45" s="881">
        <v>0</v>
      </c>
      <c r="N45" s="881"/>
      <c r="O45" s="881">
        <v>0</v>
      </c>
      <c r="P45" s="881"/>
      <c r="Q45" s="881"/>
      <c r="R45" s="881">
        <f t="shared" si="2"/>
        <v>1927350</v>
      </c>
      <c r="S45" s="881"/>
      <c r="T45" s="884">
        <v>1000700</v>
      </c>
      <c r="U45" s="884"/>
    </row>
    <row r="46" spans="1:21" ht="16">
      <c r="A46" s="888" t="s">
        <v>726</v>
      </c>
      <c r="B46" s="878" t="s">
        <v>6</v>
      </c>
      <c r="C46" s="889">
        <v>0</v>
      </c>
      <c r="D46" s="889"/>
      <c r="E46" s="890">
        <v>3516000</v>
      </c>
      <c r="F46" s="890"/>
      <c r="G46" s="891">
        <v>0</v>
      </c>
      <c r="H46" s="891"/>
      <c r="I46" s="890">
        <v>0</v>
      </c>
      <c r="J46" s="890"/>
      <c r="K46" s="884">
        <v>0</v>
      </c>
      <c r="L46" s="884"/>
      <c r="M46" s="884">
        <v>0</v>
      </c>
      <c r="N46" s="884"/>
      <c r="O46" s="890">
        <v>0</v>
      </c>
      <c r="P46" s="890"/>
      <c r="Q46" s="883"/>
      <c r="R46" s="881">
        <f t="shared" si="2"/>
        <v>3516000</v>
      </c>
      <c r="S46" s="881"/>
      <c r="T46" s="882">
        <v>4630000</v>
      </c>
      <c r="U46" s="882"/>
    </row>
    <row r="47" spans="1:21" ht="16">
      <c r="A47" s="861" t="s">
        <v>727</v>
      </c>
      <c r="B47" s="878" t="s">
        <v>6</v>
      </c>
      <c r="C47" s="880">
        <v>0</v>
      </c>
      <c r="D47" s="880"/>
      <c r="E47" s="881">
        <v>0</v>
      </c>
      <c r="F47" s="881"/>
      <c r="G47" s="880">
        <v>0</v>
      </c>
      <c r="H47" s="880"/>
      <c r="I47" s="881">
        <v>0</v>
      </c>
      <c r="J47" s="881"/>
      <c r="K47" s="881">
        <v>0</v>
      </c>
      <c r="L47" s="881"/>
      <c r="M47" s="881">
        <v>0</v>
      </c>
      <c r="N47" s="881"/>
      <c r="O47" s="881">
        <v>0</v>
      </c>
      <c r="P47" s="881"/>
      <c r="Q47" s="883"/>
      <c r="R47" s="881">
        <f t="shared" si="2"/>
        <v>0</v>
      </c>
      <c r="S47" s="881"/>
      <c r="T47" s="884">
        <v>0</v>
      </c>
      <c r="U47" s="884"/>
    </row>
    <row r="48" spans="1:21" ht="16">
      <c r="A48" s="861" t="s">
        <v>698</v>
      </c>
      <c r="B48" s="878" t="s">
        <v>6</v>
      </c>
      <c r="C48" s="880">
        <v>0</v>
      </c>
      <c r="D48" s="880"/>
      <c r="E48" s="881">
        <v>292929550</v>
      </c>
      <c r="F48" s="881"/>
      <c r="G48" s="880">
        <v>0</v>
      </c>
      <c r="H48" s="880"/>
      <c r="I48" s="881">
        <v>0</v>
      </c>
      <c r="J48" s="881"/>
      <c r="K48" s="881">
        <v>0</v>
      </c>
      <c r="L48" s="881"/>
      <c r="M48" s="881">
        <v>0</v>
      </c>
      <c r="N48" s="881"/>
      <c r="O48" s="881">
        <v>0</v>
      </c>
      <c r="P48" s="881"/>
      <c r="Q48" s="883"/>
      <c r="R48" s="881">
        <f t="shared" si="2"/>
        <v>292929550</v>
      </c>
      <c r="S48" s="881"/>
      <c r="T48" s="882">
        <v>354294386</v>
      </c>
      <c r="U48" s="882"/>
    </row>
    <row r="49" spans="1:21" ht="16">
      <c r="A49" s="892" t="s">
        <v>728</v>
      </c>
      <c r="B49" s="878" t="s">
        <v>6</v>
      </c>
      <c r="C49" s="893">
        <v>0</v>
      </c>
      <c r="D49" s="893"/>
      <c r="E49" s="881">
        <v>492000</v>
      </c>
      <c r="F49" s="881"/>
      <c r="G49" s="880">
        <v>0</v>
      </c>
      <c r="H49" s="880"/>
      <c r="I49" s="881">
        <v>0</v>
      </c>
      <c r="J49" s="881"/>
      <c r="K49" s="881">
        <v>0</v>
      </c>
      <c r="L49" s="881"/>
      <c r="M49" s="881">
        <v>0</v>
      </c>
      <c r="N49" s="881"/>
      <c r="O49" s="881">
        <v>0</v>
      </c>
      <c r="P49" s="881"/>
      <c r="Q49" s="883"/>
      <c r="R49" s="881">
        <f t="shared" si="2"/>
        <v>492000</v>
      </c>
      <c r="S49" s="881"/>
      <c r="T49" s="882">
        <v>620000</v>
      </c>
      <c r="U49" s="882"/>
    </row>
    <row r="50" spans="1:21" ht="16">
      <c r="A50" s="861" t="s">
        <v>729</v>
      </c>
      <c r="B50" s="878" t="s">
        <v>6</v>
      </c>
      <c r="C50" s="889">
        <v>0</v>
      </c>
      <c r="D50" s="889"/>
      <c r="E50" s="890">
        <v>20169183</v>
      </c>
      <c r="F50" s="890"/>
      <c r="G50" s="891">
        <v>0</v>
      </c>
      <c r="H50" s="891"/>
      <c r="I50" s="890">
        <v>0</v>
      </c>
      <c r="J50" s="890"/>
      <c r="K50" s="881">
        <v>0</v>
      </c>
      <c r="L50" s="881"/>
      <c r="M50" s="881">
        <v>0</v>
      </c>
      <c r="N50" s="881"/>
      <c r="O50" s="890">
        <v>0</v>
      </c>
      <c r="P50" s="890"/>
      <c r="Q50" s="883"/>
      <c r="R50" s="881">
        <f t="shared" si="2"/>
        <v>20169183</v>
      </c>
      <c r="S50" s="881"/>
      <c r="T50" s="882">
        <v>20193615</v>
      </c>
      <c r="U50" s="882"/>
    </row>
    <row r="51" spans="1:21" ht="16">
      <c r="A51" s="892" t="s">
        <v>730</v>
      </c>
      <c r="B51" s="878" t="s">
        <v>6</v>
      </c>
      <c r="C51" s="889">
        <v>0</v>
      </c>
      <c r="D51" s="889"/>
      <c r="E51" s="890">
        <v>0</v>
      </c>
      <c r="F51" s="890"/>
      <c r="G51" s="891">
        <v>0</v>
      </c>
      <c r="H51" s="891"/>
      <c r="I51" s="890">
        <v>0</v>
      </c>
      <c r="J51" s="890"/>
      <c r="K51" s="881">
        <v>0</v>
      </c>
      <c r="L51" s="881"/>
      <c r="M51" s="881">
        <v>0</v>
      </c>
      <c r="N51" s="881"/>
      <c r="O51" s="890">
        <v>0</v>
      </c>
      <c r="P51" s="890"/>
      <c r="Q51" s="881"/>
      <c r="R51" s="881">
        <f t="shared" si="2"/>
        <v>0</v>
      </c>
      <c r="S51" s="881"/>
      <c r="T51" s="882">
        <v>0</v>
      </c>
      <c r="U51" s="882"/>
    </row>
    <row r="52" spans="1:21" ht="16">
      <c r="A52" s="861" t="s">
        <v>701</v>
      </c>
      <c r="B52" s="878" t="s">
        <v>6</v>
      </c>
      <c r="C52" s="880">
        <v>0</v>
      </c>
      <c r="D52" s="880"/>
      <c r="E52" s="881">
        <v>0</v>
      </c>
      <c r="F52" s="881"/>
      <c r="G52" s="885">
        <v>0</v>
      </c>
      <c r="H52" s="885"/>
      <c r="I52" s="881">
        <v>0</v>
      </c>
      <c r="J52" s="881"/>
      <c r="K52" s="881">
        <v>0</v>
      </c>
      <c r="L52" s="881"/>
      <c r="M52" s="881">
        <v>0</v>
      </c>
      <c r="N52" s="881"/>
      <c r="O52" s="881">
        <v>0</v>
      </c>
      <c r="P52" s="881"/>
      <c r="Q52" s="881"/>
      <c r="R52" s="881">
        <f t="shared" si="2"/>
        <v>0</v>
      </c>
      <c r="S52" s="881"/>
      <c r="T52" s="881">
        <v>0</v>
      </c>
      <c r="U52" s="881"/>
    </row>
    <row r="53" spans="1:21" ht="16">
      <c r="A53" s="861" t="s">
        <v>703</v>
      </c>
      <c r="B53" s="878" t="s">
        <v>6</v>
      </c>
      <c r="C53" s="880">
        <v>0</v>
      </c>
      <c r="D53" s="880"/>
      <c r="E53" s="881">
        <v>0</v>
      </c>
      <c r="F53" s="881"/>
      <c r="G53" s="880">
        <v>0</v>
      </c>
      <c r="H53" s="880"/>
      <c r="I53" s="881">
        <v>0</v>
      </c>
      <c r="J53" s="881"/>
      <c r="K53" s="881">
        <v>0</v>
      </c>
      <c r="L53" s="881"/>
      <c r="M53" s="881">
        <v>0</v>
      </c>
      <c r="N53" s="881"/>
      <c r="O53" s="881">
        <v>0</v>
      </c>
      <c r="P53" s="881"/>
      <c r="Q53" s="883"/>
      <c r="R53" s="881">
        <f t="shared" si="2"/>
        <v>0</v>
      </c>
      <c r="S53" s="881"/>
      <c r="T53" s="882">
        <v>0</v>
      </c>
      <c r="U53" s="882"/>
    </row>
    <row r="54" spans="1:21" ht="16">
      <c r="A54" s="861" t="s">
        <v>710</v>
      </c>
      <c r="B54" s="878" t="s">
        <v>6</v>
      </c>
      <c r="C54" s="893">
        <v>0</v>
      </c>
      <c r="D54" s="893"/>
      <c r="E54" s="881">
        <v>0</v>
      </c>
      <c r="F54" s="881"/>
      <c r="G54" s="880">
        <v>0</v>
      </c>
      <c r="H54" s="880"/>
      <c r="I54" s="881">
        <v>0</v>
      </c>
      <c r="J54" s="881"/>
      <c r="K54" s="881">
        <v>0</v>
      </c>
      <c r="L54" s="881"/>
      <c r="M54" s="881">
        <v>0</v>
      </c>
      <c r="N54" s="881"/>
      <c r="O54" s="881">
        <v>0</v>
      </c>
      <c r="P54" s="881"/>
      <c r="Q54" s="883"/>
      <c r="R54" s="881">
        <f t="shared" si="2"/>
        <v>0</v>
      </c>
      <c r="S54" s="881"/>
      <c r="T54" s="882">
        <v>0</v>
      </c>
      <c r="U54" s="882"/>
    </row>
    <row r="55" spans="1:21" ht="16">
      <c r="A55" s="861" t="s">
        <v>731</v>
      </c>
      <c r="B55" s="878" t="s">
        <v>6</v>
      </c>
      <c r="C55" s="893">
        <v>0</v>
      </c>
      <c r="D55" s="893"/>
      <c r="E55" s="890">
        <v>2578638</v>
      </c>
      <c r="F55" s="894"/>
      <c r="G55" s="880">
        <v>0</v>
      </c>
      <c r="H55" s="880"/>
      <c r="I55" s="881">
        <v>0</v>
      </c>
      <c r="J55" s="881"/>
      <c r="K55" s="881">
        <v>0</v>
      </c>
      <c r="L55" s="881"/>
      <c r="M55" s="881">
        <v>0</v>
      </c>
      <c r="N55" s="881"/>
      <c r="O55" s="881">
        <v>0</v>
      </c>
      <c r="P55" s="881"/>
      <c r="Q55" s="881"/>
      <c r="R55" s="881">
        <f t="shared" si="2"/>
        <v>2578638</v>
      </c>
      <c r="S55" s="881"/>
      <c r="T55" s="895">
        <v>2591100</v>
      </c>
      <c r="U55" s="895"/>
    </row>
    <row r="56" spans="1:21" ht="16">
      <c r="A56" s="861" t="s">
        <v>1929</v>
      </c>
      <c r="B56" s="878"/>
      <c r="C56" s="893">
        <v>0</v>
      </c>
      <c r="D56" s="893"/>
      <c r="E56" s="890">
        <v>0</v>
      </c>
      <c r="F56" s="894"/>
      <c r="G56" s="880">
        <v>0</v>
      </c>
      <c r="H56" s="880"/>
      <c r="I56" s="881">
        <v>0</v>
      </c>
      <c r="J56" s="881"/>
      <c r="K56" s="881">
        <v>0</v>
      </c>
      <c r="L56" s="881"/>
      <c r="M56" s="881">
        <v>856611031</v>
      </c>
      <c r="N56" s="881"/>
      <c r="O56" s="881">
        <v>0</v>
      </c>
      <c r="P56" s="881"/>
      <c r="Q56" s="881"/>
      <c r="R56" s="881">
        <f t="shared" si="2"/>
        <v>856611031</v>
      </c>
      <c r="S56" s="881"/>
      <c r="T56" s="895">
        <v>928990083</v>
      </c>
      <c r="U56" s="895"/>
    </row>
    <row r="57" spans="1:21" ht="16">
      <c r="A57" s="861" t="s">
        <v>732</v>
      </c>
      <c r="B57" s="878" t="s">
        <v>6</v>
      </c>
      <c r="C57" s="893">
        <v>0</v>
      </c>
      <c r="D57" s="893"/>
      <c r="E57" s="896">
        <v>3313503</v>
      </c>
      <c r="F57" s="894"/>
      <c r="G57" s="880">
        <v>0</v>
      </c>
      <c r="H57" s="880"/>
      <c r="I57" s="881">
        <v>0</v>
      </c>
      <c r="J57" s="881"/>
      <c r="K57" s="881">
        <v>0</v>
      </c>
      <c r="L57" s="881"/>
      <c r="M57" s="881">
        <v>0</v>
      </c>
      <c r="N57" s="881"/>
      <c r="O57" s="881">
        <v>0</v>
      </c>
      <c r="P57" s="881"/>
      <c r="Q57" s="881"/>
      <c r="R57" s="881">
        <f t="shared" si="2"/>
        <v>3313503</v>
      </c>
      <c r="S57" s="881"/>
      <c r="T57" s="895">
        <v>1556281</v>
      </c>
      <c r="U57" s="895"/>
    </row>
    <row r="58" spans="1:21" ht="17" thickBot="1">
      <c r="A58" s="897" t="s">
        <v>733</v>
      </c>
      <c r="B58" s="878" t="s">
        <v>6</v>
      </c>
      <c r="C58" s="898">
        <f>ROUND(SUM(C14:C57),1)</f>
        <v>0</v>
      </c>
      <c r="D58" s="899"/>
      <c r="E58" s="898">
        <f>ROUND(SUM(E14:E57),1)</f>
        <v>1504569312</v>
      </c>
      <c r="F58" s="899"/>
      <c r="G58" s="898">
        <f>ROUND(SUM(G14:G57),1)</f>
        <v>28307274</v>
      </c>
      <c r="H58" s="899"/>
      <c r="I58" s="898">
        <f>ROUND(SUM(I14:I57),1)</f>
        <v>389549865</v>
      </c>
      <c r="J58" s="899"/>
      <c r="K58" s="898">
        <f>ROUND(SUM(K14:K57),1)</f>
        <v>202444923</v>
      </c>
      <c r="L58" s="899"/>
      <c r="M58" s="898">
        <f>ROUND(SUM(M14:M57),1)</f>
        <v>2698929505</v>
      </c>
      <c r="N58" s="899"/>
      <c r="O58" s="898">
        <f>ROUND(SUM(O14:O57),1)</f>
        <v>361896699</v>
      </c>
      <c r="P58" s="899"/>
      <c r="Q58" s="899"/>
      <c r="R58" s="898">
        <f>ROUND(SUM(R14:R57),1)</f>
        <v>5185697578</v>
      </c>
      <c r="S58" s="899"/>
      <c r="T58" s="898">
        <f>ROUND(SUM(T14:T57),1)</f>
        <v>5746374568</v>
      </c>
      <c r="U58" s="899"/>
    </row>
    <row r="59" spans="1:21" ht="16" thickTop="1">
      <c r="B59" s="878" t="s">
        <v>6</v>
      </c>
    </row>
  </sheetData>
  <printOptions horizontalCentered="1"/>
  <pageMargins left="0.5" right="0.5" top="1" bottom="0.25" header="0" footer="0.25"/>
  <pageSetup scale="49" orientation="landscape"/>
  <headerFooter scaleWithDoc="0">
    <oddFooter xml:space="preserve">&amp;R&amp;8 99&amp;12
</oddFooter>
  </headerFooter>
  <ignoredErrors>
    <ignoredError sqref="E12 M12:O12" numberStoredAsText="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showGridLines="0" zoomScale="70" zoomScaleNormal="70" zoomScalePageLayoutView="70" workbookViewId="0"/>
  </sheetViews>
  <sheetFormatPr baseColWidth="10" defaultColWidth="8.85546875" defaultRowHeight="15" x14ac:dyDescent="0"/>
  <cols>
    <col min="1" max="1" width="64.5703125" style="1536" customWidth="1"/>
    <col min="2" max="2" width="2" style="1536" bestFit="1" customWidth="1"/>
    <col min="3" max="3" width="11.42578125" style="1536" customWidth="1"/>
    <col min="4" max="4" width="2" style="1536" bestFit="1" customWidth="1"/>
    <col min="5" max="5" width="11.42578125" style="1536" customWidth="1"/>
    <col min="6" max="6" width="2" style="1536" bestFit="1" customWidth="1"/>
    <col min="7" max="7" width="11.42578125" style="1536" customWidth="1"/>
    <col min="8" max="8" width="2" style="1536" bestFit="1" customWidth="1"/>
    <col min="9" max="9" width="11.42578125" style="1536" customWidth="1"/>
    <col min="10" max="10" width="2" style="1536" bestFit="1" customWidth="1"/>
    <col min="11" max="11" width="11.42578125" style="1536" customWidth="1"/>
    <col min="12" max="12" width="2" style="1536" bestFit="1" customWidth="1"/>
    <col min="13" max="13" width="11.42578125" style="1536" customWidth="1"/>
    <col min="14" max="14" width="2" style="1536" customWidth="1"/>
    <col min="15" max="15" width="12.42578125" style="1536" customWidth="1"/>
    <col min="16" max="16" width="2" style="1536" customWidth="1"/>
    <col min="17" max="17" width="11.5703125" style="1536" customWidth="1"/>
    <col min="18" max="18" width="2" style="1536" customWidth="1"/>
    <col min="19" max="19" width="11.42578125" style="1536" customWidth="1"/>
    <col min="20" max="20" width="2" style="1536" customWidth="1"/>
    <col min="21" max="21" width="11.140625" style="1536" customWidth="1"/>
    <col min="22" max="22" width="2" style="1536" customWidth="1"/>
    <col min="23" max="23" width="11.42578125" style="1536" customWidth="1"/>
    <col min="24" max="24" width="2" style="1536" customWidth="1"/>
    <col min="25" max="25" width="11.42578125" style="1536" customWidth="1"/>
    <col min="26" max="26" width="2" style="1536" customWidth="1"/>
    <col min="27" max="27" width="11.140625" style="1536" customWidth="1"/>
    <col min="28" max="28" width="2" style="1536" customWidth="1"/>
    <col min="29" max="29" width="11.42578125" style="1536" customWidth="1"/>
    <col min="30" max="30" width="2" style="1536" customWidth="1"/>
    <col min="31" max="31" width="11.42578125" style="1536" customWidth="1"/>
    <col min="32" max="32" width="2" style="1536" customWidth="1"/>
    <col min="33" max="33" width="12.140625" style="1536" customWidth="1"/>
    <col min="34" max="34" width="2" style="1536" customWidth="1"/>
    <col min="35" max="35" width="12.42578125" style="1536" customWidth="1"/>
    <col min="36" max="36" width="2" style="1536" customWidth="1"/>
    <col min="37" max="37" width="12.140625" style="1536" customWidth="1"/>
    <col min="38" max="38" width="2" style="1536" customWidth="1"/>
    <col min="39" max="39" width="12.140625" style="1536" customWidth="1"/>
    <col min="40" max="40" width="2" style="1536" customWidth="1"/>
    <col min="41" max="41" width="13.140625" style="1536" customWidth="1"/>
    <col min="42" max="42" width="2" style="1536" customWidth="1"/>
    <col min="43" max="43" width="13.5703125" style="1536" customWidth="1"/>
    <col min="44" max="16384" width="8.85546875" style="1536"/>
  </cols>
  <sheetData>
    <row r="1" spans="1:43">
      <c r="A1" s="1582" t="s">
        <v>1443</v>
      </c>
    </row>
    <row r="3" spans="1:43" ht="17">
      <c r="A3" s="1535" t="s">
        <v>0</v>
      </c>
    </row>
    <row r="4" spans="1:43" ht="18">
      <c r="A4" s="1535" t="s">
        <v>1373</v>
      </c>
      <c r="O4" s="815"/>
      <c r="P4" s="815"/>
      <c r="Q4" s="815"/>
      <c r="R4" s="815"/>
      <c r="T4" s="815"/>
      <c r="U4" s="815"/>
      <c r="V4" s="815"/>
      <c r="W4" s="815"/>
      <c r="X4" s="815"/>
      <c r="Y4" s="1537" t="s">
        <v>1374</v>
      </c>
      <c r="Z4" s="815"/>
      <c r="AA4" s="815"/>
      <c r="AB4" s="815"/>
      <c r="AC4" s="815"/>
      <c r="AD4" s="815"/>
      <c r="AE4" s="815"/>
      <c r="AF4" s="815"/>
      <c r="AG4" s="815"/>
      <c r="AH4" s="815"/>
      <c r="AI4" s="815"/>
      <c r="AJ4" s="815"/>
      <c r="AK4" s="1567"/>
      <c r="AL4" s="815"/>
      <c r="AM4" s="815"/>
      <c r="AN4" s="815"/>
      <c r="AO4" s="815"/>
      <c r="AP4" s="815"/>
      <c r="AQ4" s="1568" t="s">
        <v>1374</v>
      </c>
    </row>
    <row r="5" spans="1:43" ht="18">
      <c r="A5" s="1535" t="s">
        <v>1375</v>
      </c>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1568" t="s">
        <v>131</v>
      </c>
    </row>
    <row r="6" spans="1:43" ht="17">
      <c r="A6" s="1535" t="s">
        <v>1376</v>
      </c>
      <c r="O6" s="815"/>
      <c r="P6" s="815"/>
      <c r="Q6" s="815"/>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row>
    <row r="7" spans="1:43" ht="17">
      <c r="A7" s="1535" t="s">
        <v>4</v>
      </c>
      <c r="O7" s="815"/>
      <c r="P7" s="815"/>
      <c r="Q7" s="815"/>
      <c r="R7" s="815"/>
      <c r="S7" s="815"/>
      <c r="T7" s="815"/>
      <c r="U7" s="815"/>
      <c r="V7" s="815"/>
      <c r="W7" s="815"/>
      <c r="X7" s="815"/>
      <c r="Y7" s="815"/>
      <c r="Z7" s="815"/>
      <c r="AA7" s="815"/>
      <c r="AB7" s="815"/>
      <c r="AC7" s="815"/>
      <c r="AD7" s="815"/>
      <c r="AE7" s="815"/>
      <c r="AF7" s="815"/>
      <c r="AG7" s="815"/>
      <c r="AH7" s="815"/>
      <c r="AI7" s="815"/>
      <c r="AJ7" s="815"/>
      <c r="AK7" s="815"/>
      <c r="AL7" s="815"/>
      <c r="AM7" s="815"/>
      <c r="AN7" s="815"/>
      <c r="AO7" s="815"/>
      <c r="AP7" s="815"/>
      <c r="AQ7" s="815"/>
    </row>
    <row r="8" spans="1:43">
      <c r="A8" s="1538"/>
      <c r="O8" s="815"/>
      <c r="P8" s="815"/>
      <c r="Q8" s="815"/>
      <c r="R8" s="815"/>
      <c r="S8" s="815"/>
      <c r="T8" s="815"/>
      <c r="U8" s="815"/>
      <c r="V8" s="815"/>
      <c r="W8" s="815"/>
      <c r="X8" s="815"/>
      <c r="Y8" s="815"/>
      <c r="Z8" s="815"/>
      <c r="AA8" s="815"/>
      <c r="AB8" s="815"/>
      <c r="AC8" s="815"/>
      <c r="AD8" s="815"/>
      <c r="AE8" s="815"/>
      <c r="AF8" s="815"/>
      <c r="AG8" s="815"/>
      <c r="AH8" s="815"/>
      <c r="AI8" s="815"/>
      <c r="AJ8" s="815"/>
      <c r="AK8" s="815"/>
      <c r="AL8" s="815"/>
      <c r="AM8" s="815"/>
      <c r="AN8" s="815"/>
      <c r="AO8" s="815"/>
      <c r="AP8" s="815"/>
      <c r="AQ8" s="815"/>
    </row>
    <row r="9" spans="1:43">
      <c r="O9" s="815"/>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815"/>
    </row>
    <row r="10" spans="1:43">
      <c r="C10" s="2434" t="s">
        <v>1377</v>
      </c>
      <c r="D10" s="2434"/>
      <c r="E10" s="2435"/>
      <c r="F10" s="2435"/>
      <c r="G10" s="2435"/>
      <c r="I10" s="2434" t="s">
        <v>1408</v>
      </c>
      <c r="J10" s="2434"/>
      <c r="K10" s="2435"/>
      <c r="L10" s="2435"/>
      <c r="M10" s="2435"/>
      <c r="O10" s="2431" t="s">
        <v>1409</v>
      </c>
      <c r="P10" s="2431"/>
      <c r="Q10" s="2432"/>
      <c r="R10" s="2432"/>
      <c r="S10" s="2432"/>
      <c r="T10" s="815"/>
      <c r="U10" s="2431" t="s">
        <v>2272</v>
      </c>
      <c r="V10" s="2431"/>
      <c r="W10" s="2431"/>
      <c r="X10" s="2431"/>
      <c r="Y10" s="2431"/>
      <c r="Z10" s="815"/>
      <c r="AA10" s="2431" t="s">
        <v>2683</v>
      </c>
      <c r="AB10" s="2431"/>
      <c r="AC10" s="2431"/>
      <c r="AD10" s="2431"/>
      <c r="AE10" s="2431"/>
      <c r="AF10" s="815"/>
      <c r="AG10" s="2433" t="s">
        <v>1321</v>
      </c>
      <c r="AH10" s="2433"/>
      <c r="AI10" s="2433"/>
      <c r="AJ10" s="2433"/>
      <c r="AK10" s="2433"/>
      <c r="AL10" s="815"/>
      <c r="AM10" s="2433" t="s">
        <v>1322</v>
      </c>
      <c r="AN10" s="2433"/>
      <c r="AO10" s="2433"/>
      <c r="AP10" s="2433"/>
      <c r="AQ10" s="2433"/>
    </row>
    <row r="11" spans="1:43" s="1538" customFormat="1">
      <c r="A11" s="1539" t="s">
        <v>2548</v>
      </c>
      <c r="C11" s="1540" t="s">
        <v>592</v>
      </c>
      <c r="D11" s="1541"/>
      <c r="E11" s="1540" t="s">
        <v>1301</v>
      </c>
      <c r="F11" s="1542"/>
      <c r="G11" s="1540" t="s">
        <v>276</v>
      </c>
      <c r="I11" s="1540" t="s">
        <v>592</v>
      </c>
      <c r="J11" s="1541"/>
      <c r="K11" s="1540" t="s">
        <v>1301</v>
      </c>
      <c r="L11" s="1542"/>
      <c r="M11" s="1540" t="s">
        <v>276</v>
      </c>
      <c r="O11" s="1569" t="s">
        <v>592</v>
      </c>
      <c r="P11" s="819"/>
      <c r="Q11" s="1569" t="s">
        <v>1301</v>
      </c>
      <c r="R11" s="818"/>
      <c r="S11" s="1569" t="s">
        <v>276</v>
      </c>
      <c r="T11" s="823"/>
      <c r="U11" s="1569" t="s">
        <v>592</v>
      </c>
      <c r="V11" s="819"/>
      <c r="W11" s="1569" t="s">
        <v>1301</v>
      </c>
      <c r="X11" s="818"/>
      <c r="Y11" s="1569" t="s">
        <v>276</v>
      </c>
      <c r="Z11" s="823"/>
      <c r="AA11" s="1569" t="s">
        <v>592</v>
      </c>
      <c r="AB11" s="819"/>
      <c r="AC11" s="1569" t="s">
        <v>1301</v>
      </c>
      <c r="AD11" s="818"/>
      <c r="AE11" s="1569" t="s">
        <v>276</v>
      </c>
      <c r="AF11" s="823"/>
      <c r="AG11" s="1569" t="s">
        <v>592</v>
      </c>
      <c r="AH11" s="819"/>
      <c r="AI11" s="1569" t="s">
        <v>1301</v>
      </c>
      <c r="AJ11" s="818"/>
      <c r="AK11" s="1569" t="s">
        <v>276</v>
      </c>
      <c r="AL11" s="823"/>
      <c r="AM11" s="1569" t="s">
        <v>592</v>
      </c>
      <c r="AN11" s="819"/>
      <c r="AO11" s="1569" t="s">
        <v>1301</v>
      </c>
      <c r="AP11" s="818"/>
      <c r="AQ11" s="1569" t="s">
        <v>276</v>
      </c>
    </row>
    <row r="12" spans="1:43">
      <c r="C12" s="1543"/>
      <c r="D12" s="1543"/>
      <c r="E12" s="1543"/>
      <c r="F12" s="1544"/>
      <c r="G12" s="1543"/>
      <c r="I12" s="1543"/>
      <c r="J12" s="1543"/>
      <c r="K12" s="1543"/>
      <c r="L12" s="1544"/>
      <c r="M12" s="1543"/>
      <c r="O12" s="1533"/>
      <c r="P12" s="1533"/>
      <c r="Q12" s="1533"/>
      <c r="R12" s="826"/>
      <c r="S12" s="1533"/>
      <c r="T12" s="815"/>
      <c r="U12" s="1533"/>
      <c r="V12" s="1533"/>
      <c r="W12" s="1533"/>
      <c r="X12" s="826"/>
      <c r="Y12" s="1533"/>
      <c r="Z12" s="815"/>
      <c r="AA12" s="2390"/>
      <c r="AB12" s="2390"/>
      <c r="AC12" s="2390"/>
      <c r="AD12" s="826"/>
      <c r="AE12" s="2390"/>
      <c r="AF12" s="815"/>
      <c r="AG12" s="1533"/>
      <c r="AH12" s="1533"/>
      <c r="AI12" s="1533"/>
      <c r="AJ12" s="826"/>
      <c r="AK12" s="1533"/>
      <c r="AL12" s="815"/>
      <c r="AM12" s="1533"/>
      <c r="AN12" s="1533"/>
      <c r="AO12" s="1533"/>
      <c r="AP12" s="826"/>
      <c r="AQ12" s="1533"/>
    </row>
    <row r="13" spans="1:43">
      <c r="A13" s="1538" t="s">
        <v>1378</v>
      </c>
      <c r="O13" s="815"/>
      <c r="P13" s="815"/>
      <c r="Q13" s="815"/>
      <c r="R13" s="815"/>
      <c r="S13" s="815"/>
      <c r="T13" s="815"/>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815"/>
    </row>
    <row r="14" spans="1:43">
      <c r="A14" s="1545" t="s">
        <v>1379</v>
      </c>
      <c r="B14" s="1546" t="s">
        <v>6</v>
      </c>
      <c r="C14" s="1547">
        <v>209893</v>
      </c>
      <c r="D14" s="1570" t="s">
        <v>6</v>
      </c>
      <c r="E14" s="1547">
        <v>242876</v>
      </c>
      <c r="F14" s="1570" t="s">
        <v>6</v>
      </c>
      <c r="G14" s="1547">
        <f>SUM(C14+E14)</f>
        <v>452769</v>
      </c>
      <c r="H14" s="1570" t="s">
        <v>6</v>
      </c>
      <c r="I14" s="1547">
        <v>175017</v>
      </c>
      <c r="J14" s="1570" t="s">
        <v>6</v>
      </c>
      <c r="K14" s="1547">
        <v>233117</v>
      </c>
      <c r="L14" s="1570" t="s">
        <v>6</v>
      </c>
      <c r="M14" s="1547">
        <f t="shared" ref="M14:M23" si="0">SUM(I14+K14)</f>
        <v>408134</v>
      </c>
      <c r="N14" s="1570" t="s">
        <v>6</v>
      </c>
      <c r="O14" s="1547">
        <v>195909</v>
      </c>
      <c r="P14" s="1570" t="s">
        <v>6</v>
      </c>
      <c r="Q14" s="1547">
        <v>224176</v>
      </c>
      <c r="R14" s="1570" t="s">
        <v>6</v>
      </c>
      <c r="S14" s="1547">
        <f>SUM(O14+Q14)</f>
        <v>420085</v>
      </c>
      <c r="T14" s="1570" t="s">
        <v>6</v>
      </c>
      <c r="U14" s="1547">
        <v>222578</v>
      </c>
      <c r="V14" s="1570" t="s">
        <v>6</v>
      </c>
      <c r="W14" s="1547">
        <v>214481</v>
      </c>
      <c r="X14" s="1570" t="s">
        <v>6</v>
      </c>
      <c r="Y14" s="1547">
        <f t="shared" ref="Y14:Y23" si="1">SUM(U14+W14)</f>
        <v>437059</v>
      </c>
      <c r="Z14" s="1570" t="s">
        <v>6</v>
      </c>
      <c r="AA14" s="1547">
        <v>269305</v>
      </c>
      <c r="AB14" s="1570"/>
      <c r="AC14" s="1547">
        <v>200311</v>
      </c>
      <c r="AD14" s="1570"/>
      <c r="AE14" s="1547">
        <f t="shared" ref="AE14:AE23" si="2">SUM(AA14+AC14)</f>
        <v>469616</v>
      </c>
      <c r="AF14" s="1570" t="s">
        <v>6</v>
      </c>
      <c r="AG14" s="1547">
        <v>3647325</v>
      </c>
      <c r="AH14" s="1570"/>
      <c r="AI14" s="1547">
        <v>2006797</v>
      </c>
      <c r="AJ14" s="1570"/>
      <c r="AK14" s="1547">
        <f>SUM(AG14+AI14)</f>
        <v>5654122</v>
      </c>
      <c r="AL14" s="1570" t="s">
        <v>6</v>
      </c>
      <c r="AM14" s="1547">
        <f>C14+I14+O14+U14+AA14+AG14</f>
        <v>4720027</v>
      </c>
      <c r="AN14" s="1570" t="s">
        <v>6</v>
      </c>
      <c r="AO14" s="1547">
        <f>E14+K14+Q14+W14+AC14+AI14</f>
        <v>3121758</v>
      </c>
      <c r="AP14" s="1570"/>
      <c r="AQ14" s="1547">
        <f>SUM(AM14+AO14)</f>
        <v>7841785</v>
      </c>
    </row>
    <row r="15" spans="1:43">
      <c r="A15" s="1548" t="s">
        <v>1380</v>
      </c>
      <c r="B15" s="1549" t="s">
        <v>1381</v>
      </c>
      <c r="C15" s="1550">
        <v>0</v>
      </c>
      <c r="D15" s="1571"/>
      <c r="E15" s="1550">
        <v>10117</v>
      </c>
      <c r="F15" s="1571"/>
      <c r="G15" s="1550">
        <f t="shared" ref="G15:G23" si="3">SUM(C15+E15)</f>
        <v>10117</v>
      </c>
      <c r="H15" s="1571"/>
      <c r="I15" s="1550">
        <v>0</v>
      </c>
      <c r="J15" s="1571"/>
      <c r="K15" s="1550">
        <v>10117</v>
      </c>
      <c r="L15" s="1571"/>
      <c r="M15" s="1550">
        <f t="shared" si="0"/>
        <v>10117</v>
      </c>
      <c r="N15" s="1571"/>
      <c r="O15" s="1550">
        <v>0</v>
      </c>
      <c r="P15" s="1571"/>
      <c r="Q15" s="1550">
        <v>10117</v>
      </c>
      <c r="R15" s="1571"/>
      <c r="S15" s="1550">
        <f t="shared" ref="S15:S23" si="4">SUM(O15+Q15)</f>
        <v>10117</v>
      </c>
      <c r="T15" s="1571"/>
      <c r="U15" s="1550">
        <v>0</v>
      </c>
      <c r="V15" s="1571"/>
      <c r="W15" s="1550">
        <v>10117</v>
      </c>
      <c r="X15" s="1571"/>
      <c r="Y15" s="1550">
        <f t="shared" si="1"/>
        <v>10117</v>
      </c>
      <c r="Z15" s="1571"/>
      <c r="AA15" s="1550">
        <v>0</v>
      </c>
      <c r="AB15" s="1571"/>
      <c r="AC15" s="1550">
        <v>10117</v>
      </c>
      <c r="AD15" s="1571"/>
      <c r="AE15" s="1550">
        <f t="shared" si="2"/>
        <v>10117</v>
      </c>
      <c r="AF15" s="1571"/>
      <c r="AG15" s="1550">
        <v>204515</v>
      </c>
      <c r="AH15" s="1571"/>
      <c r="AI15" s="1550">
        <v>70360</v>
      </c>
      <c r="AJ15" s="1571"/>
      <c r="AK15" s="1550">
        <f t="shared" ref="AK15:AK23" si="5">SUM(AG15+AI15)</f>
        <v>274875</v>
      </c>
      <c r="AL15" s="1571"/>
      <c r="AM15" s="1550">
        <f>C15+I15+O15+U15+AA15+AG15</f>
        <v>204515</v>
      </c>
      <c r="AN15" s="1571"/>
      <c r="AO15" s="1550">
        <f>E15+K15+Q15+W15+AC15+AI15</f>
        <v>120945</v>
      </c>
      <c r="AP15" s="1571"/>
      <c r="AQ15" s="1550">
        <f t="shared" ref="AQ15:AQ23" si="6">SUM(AM15+AO15)</f>
        <v>325460</v>
      </c>
    </row>
    <row r="16" spans="1:43">
      <c r="A16" s="1545" t="s">
        <v>1382</v>
      </c>
      <c r="B16" s="1549" t="s">
        <v>1381</v>
      </c>
      <c r="C16" s="1550">
        <v>317155</v>
      </c>
      <c r="D16" s="1571"/>
      <c r="E16" s="1550">
        <v>125806</v>
      </c>
      <c r="F16" s="1571"/>
      <c r="G16" s="1550">
        <f t="shared" si="3"/>
        <v>442961</v>
      </c>
      <c r="H16" s="1571"/>
      <c r="I16" s="1550">
        <v>311365</v>
      </c>
      <c r="J16" s="1571"/>
      <c r="K16" s="1550">
        <v>110602</v>
      </c>
      <c r="L16" s="1571"/>
      <c r="M16" s="1550">
        <f t="shared" si="0"/>
        <v>421967</v>
      </c>
      <c r="N16" s="1571"/>
      <c r="O16" s="1550">
        <v>251005</v>
      </c>
      <c r="P16" s="1571"/>
      <c r="Q16" s="1550">
        <v>95173</v>
      </c>
      <c r="R16" s="1571"/>
      <c r="S16" s="1550">
        <f>SUM(O16+Q16)</f>
        <v>346178</v>
      </c>
      <c r="T16" s="1571"/>
      <c r="U16" s="1550">
        <v>89150</v>
      </c>
      <c r="V16" s="1571"/>
      <c r="W16" s="1550">
        <v>82747</v>
      </c>
      <c r="X16" s="1571"/>
      <c r="Y16" s="1550">
        <f>SUM(U16+W16)</f>
        <v>171897</v>
      </c>
      <c r="Z16" s="1571"/>
      <c r="AA16" s="1550">
        <v>340960</v>
      </c>
      <c r="AB16" s="1571"/>
      <c r="AC16" s="1550">
        <v>78343</v>
      </c>
      <c r="AD16" s="1571"/>
      <c r="AE16" s="1550">
        <f>SUM(AA16+AC16)</f>
        <v>419303</v>
      </c>
      <c r="AF16" s="1571"/>
      <c r="AG16" s="1550">
        <v>1244185</v>
      </c>
      <c r="AH16" s="1571"/>
      <c r="AI16" s="1550">
        <v>383995</v>
      </c>
      <c r="AJ16" s="1571"/>
      <c r="AK16" s="1550">
        <f>SUM(AG16+AI16)</f>
        <v>1628180</v>
      </c>
      <c r="AL16" s="1571"/>
      <c r="AM16" s="1550">
        <f t="shared" ref="AM16:AM23" si="7">C16+I16+O16+U16+AA16+AG16</f>
        <v>2553820</v>
      </c>
      <c r="AN16" s="1571"/>
      <c r="AO16" s="1550">
        <f t="shared" ref="AO16:AO23" si="8">E16+K16+Q16+W16+AC16+AI16</f>
        <v>876666</v>
      </c>
      <c r="AP16" s="1571"/>
      <c r="AQ16" s="1550">
        <f t="shared" si="6"/>
        <v>3430486</v>
      </c>
    </row>
    <row r="17" spans="1:43">
      <c r="A17" s="1545" t="s">
        <v>1383</v>
      </c>
      <c r="B17" s="1549" t="s">
        <v>1381</v>
      </c>
      <c r="C17" s="1550">
        <v>45150</v>
      </c>
      <c r="D17" s="1571"/>
      <c r="E17" s="1550">
        <v>51854</v>
      </c>
      <c r="F17" s="1571"/>
      <c r="G17" s="1550">
        <f t="shared" si="3"/>
        <v>97004</v>
      </c>
      <c r="H17" s="1571"/>
      <c r="I17" s="1550">
        <v>71520</v>
      </c>
      <c r="J17" s="1571"/>
      <c r="K17" s="1550">
        <v>50406</v>
      </c>
      <c r="L17" s="1571"/>
      <c r="M17" s="1550">
        <f t="shared" si="0"/>
        <v>121926</v>
      </c>
      <c r="N17" s="1571"/>
      <c r="O17" s="1550">
        <v>55035</v>
      </c>
      <c r="P17" s="1571"/>
      <c r="Q17" s="1550">
        <v>47855</v>
      </c>
      <c r="R17" s="1571"/>
      <c r="S17" s="1550">
        <f t="shared" si="4"/>
        <v>102890</v>
      </c>
      <c r="T17" s="1571"/>
      <c r="U17" s="1550">
        <v>64030</v>
      </c>
      <c r="V17" s="1571"/>
      <c r="W17" s="1550">
        <v>45766</v>
      </c>
      <c r="X17" s="1571"/>
      <c r="Y17" s="1550">
        <f t="shared" si="1"/>
        <v>109796</v>
      </c>
      <c r="Z17" s="1571"/>
      <c r="AA17" s="1550">
        <v>134435</v>
      </c>
      <c r="AB17" s="1571"/>
      <c r="AC17" s="1550">
        <v>43174</v>
      </c>
      <c r="AD17" s="1571"/>
      <c r="AE17" s="1550">
        <f t="shared" si="2"/>
        <v>177609</v>
      </c>
      <c r="AF17" s="1571"/>
      <c r="AG17" s="1550">
        <v>770615</v>
      </c>
      <c r="AH17" s="1571"/>
      <c r="AI17" s="1550">
        <v>210061</v>
      </c>
      <c r="AJ17" s="1571"/>
      <c r="AK17" s="1550">
        <f t="shared" si="5"/>
        <v>980676</v>
      </c>
      <c r="AL17" s="1571"/>
      <c r="AM17" s="1550">
        <f t="shared" si="7"/>
        <v>1140785</v>
      </c>
      <c r="AN17" s="1571"/>
      <c r="AO17" s="1550">
        <f t="shared" si="8"/>
        <v>449116</v>
      </c>
      <c r="AP17" s="1571"/>
      <c r="AQ17" s="1550">
        <f t="shared" si="6"/>
        <v>1589901</v>
      </c>
    </row>
    <row r="18" spans="1:43">
      <c r="A18" s="1545" t="s">
        <v>1384</v>
      </c>
      <c r="B18" s="1549" t="s">
        <v>1381</v>
      </c>
      <c r="C18" s="1550">
        <v>10630</v>
      </c>
      <c r="D18" s="1571"/>
      <c r="E18" s="1550">
        <v>7253</v>
      </c>
      <c r="F18" s="1571"/>
      <c r="G18" s="1550">
        <f t="shared" si="3"/>
        <v>17883</v>
      </c>
      <c r="H18" s="1571"/>
      <c r="I18" s="1550">
        <v>12590</v>
      </c>
      <c r="J18" s="1571"/>
      <c r="K18" s="1550">
        <v>6723</v>
      </c>
      <c r="L18" s="1571"/>
      <c r="M18" s="1550">
        <f>SUM(I18+K18)</f>
        <v>19313</v>
      </c>
      <c r="N18" s="1571"/>
      <c r="O18" s="1550">
        <v>13190</v>
      </c>
      <c r="P18" s="1571"/>
      <c r="Q18" s="1550">
        <v>6129</v>
      </c>
      <c r="R18" s="1571"/>
      <c r="S18" s="1550">
        <f t="shared" si="4"/>
        <v>19319</v>
      </c>
      <c r="T18" s="1571"/>
      <c r="U18" s="1550">
        <v>13820</v>
      </c>
      <c r="V18" s="1571"/>
      <c r="W18" s="1550">
        <v>5492</v>
      </c>
      <c r="X18" s="1571"/>
      <c r="Y18" s="1550">
        <f t="shared" si="1"/>
        <v>19312</v>
      </c>
      <c r="Z18" s="1571"/>
      <c r="AA18" s="1550">
        <v>14510</v>
      </c>
      <c r="AB18" s="1571"/>
      <c r="AC18" s="1550">
        <v>4813</v>
      </c>
      <c r="AD18" s="1571"/>
      <c r="AE18" s="1550">
        <f t="shared" si="2"/>
        <v>19323</v>
      </c>
      <c r="AF18" s="1571"/>
      <c r="AG18" s="1550">
        <v>90315</v>
      </c>
      <c r="AH18" s="1571"/>
      <c r="AI18" s="1550">
        <v>29063</v>
      </c>
      <c r="AJ18" s="1571"/>
      <c r="AK18" s="1550">
        <f t="shared" si="5"/>
        <v>119378</v>
      </c>
      <c r="AL18" s="1571"/>
      <c r="AM18" s="1550">
        <f t="shared" si="7"/>
        <v>155055</v>
      </c>
      <c r="AN18" s="1571"/>
      <c r="AO18" s="1550">
        <f t="shared" si="8"/>
        <v>59473</v>
      </c>
      <c r="AP18" s="1571"/>
      <c r="AQ18" s="1550">
        <f t="shared" si="6"/>
        <v>214528</v>
      </c>
    </row>
    <row r="19" spans="1:43">
      <c r="A19" s="1545" t="s">
        <v>1385</v>
      </c>
      <c r="B19" s="1549" t="s">
        <v>1381</v>
      </c>
      <c r="C19" s="1550">
        <v>935</v>
      </c>
      <c r="D19" s="1571"/>
      <c r="E19" s="1550">
        <v>185</v>
      </c>
      <c r="F19" s="1571"/>
      <c r="G19" s="1550">
        <f t="shared" si="3"/>
        <v>1120</v>
      </c>
      <c r="H19" s="1571"/>
      <c r="I19" s="1550">
        <v>0</v>
      </c>
      <c r="J19" s="1571"/>
      <c r="K19" s="1550">
        <v>162</v>
      </c>
      <c r="L19" s="1571"/>
      <c r="M19" s="1550">
        <f t="shared" si="0"/>
        <v>162</v>
      </c>
      <c r="N19" s="1571"/>
      <c r="O19" s="1550">
        <v>0</v>
      </c>
      <c r="P19" s="1571"/>
      <c r="Q19" s="1550">
        <v>162</v>
      </c>
      <c r="R19" s="1571"/>
      <c r="S19" s="1550">
        <f t="shared" si="4"/>
        <v>162</v>
      </c>
      <c r="T19" s="1571"/>
      <c r="U19" s="1550">
        <v>1405</v>
      </c>
      <c r="V19" s="1571"/>
      <c r="W19" s="1550">
        <v>127</v>
      </c>
      <c r="X19" s="1571"/>
      <c r="Y19" s="1550">
        <f t="shared" si="1"/>
        <v>1532</v>
      </c>
      <c r="Z19" s="1571"/>
      <c r="AA19" s="1550">
        <v>1835</v>
      </c>
      <c r="AB19" s="1571"/>
      <c r="AC19" s="1550">
        <v>46</v>
      </c>
      <c r="AD19" s="1571"/>
      <c r="AE19" s="1550">
        <f t="shared" si="2"/>
        <v>1881</v>
      </c>
      <c r="AF19" s="1571"/>
      <c r="AG19" s="1550">
        <v>0</v>
      </c>
      <c r="AH19" s="1571"/>
      <c r="AI19" s="1550">
        <v>0</v>
      </c>
      <c r="AJ19" s="1571"/>
      <c r="AK19" s="1550">
        <f t="shared" si="5"/>
        <v>0</v>
      </c>
      <c r="AL19" s="1571"/>
      <c r="AM19" s="1550">
        <f t="shared" si="7"/>
        <v>4175</v>
      </c>
      <c r="AN19" s="1571"/>
      <c r="AO19" s="1550">
        <f t="shared" si="8"/>
        <v>682</v>
      </c>
      <c r="AP19" s="1571"/>
      <c r="AQ19" s="1550">
        <f t="shared" si="6"/>
        <v>4857</v>
      </c>
    </row>
    <row r="20" spans="1:43">
      <c r="A20" s="1545" t="s">
        <v>1386</v>
      </c>
      <c r="B20" s="1549" t="s">
        <v>1381</v>
      </c>
      <c r="C20" s="1550">
        <v>0</v>
      </c>
      <c r="D20" s="1571"/>
      <c r="E20" s="1550">
        <v>67765</v>
      </c>
      <c r="F20" s="1571"/>
      <c r="G20" s="1550">
        <f t="shared" si="3"/>
        <v>67765</v>
      </c>
      <c r="H20" s="1571"/>
      <c r="I20" s="1550">
        <v>0</v>
      </c>
      <c r="J20" s="1571"/>
      <c r="K20" s="1550">
        <v>67765</v>
      </c>
      <c r="L20" s="1571"/>
      <c r="M20" s="1550">
        <f t="shared" si="0"/>
        <v>67765</v>
      </c>
      <c r="N20" s="1571"/>
      <c r="O20" s="1550">
        <v>43675</v>
      </c>
      <c r="P20" s="1571"/>
      <c r="Q20" s="1550">
        <v>67765</v>
      </c>
      <c r="R20" s="1571"/>
      <c r="S20" s="1550">
        <f t="shared" si="4"/>
        <v>111440</v>
      </c>
      <c r="T20" s="1571"/>
      <c r="U20" s="1550">
        <v>80895</v>
      </c>
      <c r="V20" s="1571"/>
      <c r="W20" s="1550">
        <v>66026</v>
      </c>
      <c r="X20" s="1571"/>
      <c r="Y20" s="1550">
        <f t="shared" si="1"/>
        <v>146921</v>
      </c>
      <c r="Z20" s="1571"/>
      <c r="AA20" s="1550">
        <v>84910</v>
      </c>
      <c r="AB20" s="1571"/>
      <c r="AC20" s="1550">
        <v>62006</v>
      </c>
      <c r="AD20" s="1571"/>
      <c r="AE20" s="1550">
        <f t="shared" si="2"/>
        <v>146916</v>
      </c>
      <c r="AF20" s="1571"/>
      <c r="AG20" s="1550">
        <v>1175495</v>
      </c>
      <c r="AH20" s="1571"/>
      <c r="AI20" s="1550">
        <v>358118</v>
      </c>
      <c r="AJ20" s="1571"/>
      <c r="AK20" s="1550">
        <f t="shared" si="5"/>
        <v>1533613</v>
      </c>
      <c r="AL20" s="1571"/>
      <c r="AM20" s="1550">
        <f t="shared" si="7"/>
        <v>1384975</v>
      </c>
      <c r="AN20" s="1571"/>
      <c r="AO20" s="1550">
        <f t="shared" si="8"/>
        <v>689445</v>
      </c>
      <c r="AP20" s="1571"/>
      <c r="AQ20" s="1550">
        <f t="shared" si="6"/>
        <v>2074420</v>
      </c>
    </row>
    <row r="21" spans="1:43">
      <c r="A21" s="1545" t="s">
        <v>1387</v>
      </c>
      <c r="B21" s="1545" t="s">
        <v>6</v>
      </c>
      <c r="C21" s="1550">
        <v>283750</v>
      </c>
      <c r="D21" s="824"/>
      <c r="E21" s="1550">
        <v>173039</v>
      </c>
      <c r="F21" s="824"/>
      <c r="G21" s="1550">
        <f t="shared" si="3"/>
        <v>456789</v>
      </c>
      <c r="H21" s="824" t="s">
        <v>6</v>
      </c>
      <c r="I21" s="1550">
        <v>282115</v>
      </c>
      <c r="J21" s="824"/>
      <c r="K21" s="1550">
        <v>160240</v>
      </c>
      <c r="L21" s="824"/>
      <c r="M21" s="1550">
        <f t="shared" si="0"/>
        <v>442355</v>
      </c>
      <c r="N21" s="824" t="s">
        <v>6</v>
      </c>
      <c r="O21" s="1550">
        <v>270875</v>
      </c>
      <c r="P21" s="824"/>
      <c r="Q21" s="1550">
        <v>146634</v>
      </c>
      <c r="R21" s="824"/>
      <c r="S21" s="1550">
        <f t="shared" si="4"/>
        <v>417509</v>
      </c>
      <c r="T21" s="824" t="s">
        <v>6</v>
      </c>
      <c r="U21" s="1550">
        <v>221650</v>
      </c>
      <c r="V21" s="824"/>
      <c r="W21" s="1550">
        <v>133504</v>
      </c>
      <c r="X21" s="824"/>
      <c r="Y21" s="1550">
        <f t="shared" si="1"/>
        <v>355154</v>
      </c>
      <c r="Z21" s="824" t="s">
        <v>6</v>
      </c>
      <c r="AA21" s="1550">
        <v>206075</v>
      </c>
      <c r="AB21" s="824"/>
      <c r="AC21" s="1550">
        <v>122917</v>
      </c>
      <c r="AD21" s="824"/>
      <c r="AE21" s="1550">
        <f t="shared" si="2"/>
        <v>328992</v>
      </c>
      <c r="AF21" s="824" t="s">
        <v>6</v>
      </c>
      <c r="AG21" s="1550">
        <v>2312510</v>
      </c>
      <c r="AH21" s="824"/>
      <c r="AI21" s="1550">
        <v>986028</v>
      </c>
      <c r="AJ21" s="824"/>
      <c r="AK21" s="1550">
        <f t="shared" si="5"/>
        <v>3298538</v>
      </c>
      <c r="AL21" s="824" t="s">
        <v>6</v>
      </c>
      <c r="AM21" s="1550">
        <f t="shared" si="7"/>
        <v>3576975</v>
      </c>
      <c r="AN21" s="1571"/>
      <c r="AO21" s="1550">
        <f t="shared" si="8"/>
        <v>1722362</v>
      </c>
      <c r="AP21" s="824"/>
      <c r="AQ21" s="1550">
        <f t="shared" si="6"/>
        <v>5299337</v>
      </c>
    </row>
    <row r="22" spans="1:43">
      <c r="A22" s="1545" t="s">
        <v>1388</v>
      </c>
      <c r="B22" s="1545" t="s">
        <v>6</v>
      </c>
      <c r="C22" s="1550">
        <v>259195</v>
      </c>
      <c r="D22" s="824"/>
      <c r="E22" s="1550">
        <v>449695</v>
      </c>
      <c r="F22" s="824"/>
      <c r="G22" s="1550">
        <f t="shared" si="3"/>
        <v>708890</v>
      </c>
      <c r="H22" s="824" t="s">
        <v>6</v>
      </c>
      <c r="I22" s="1550">
        <v>388231</v>
      </c>
      <c r="J22" s="824"/>
      <c r="K22" s="1550">
        <v>434432</v>
      </c>
      <c r="L22" s="824"/>
      <c r="M22" s="1550">
        <f t="shared" si="0"/>
        <v>822663</v>
      </c>
      <c r="N22" s="824" t="s">
        <v>6</v>
      </c>
      <c r="O22" s="1550">
        <v>311748</v>
      </c>
      <c r="P22" s="824"/>
      <c r="Q22" s="1550">
        <v>417241</v>
      </c>
      <c r="R22" s="824"/>
      <c r="S22" s="1550">
        <f t="shared" si="4"/>
        <v>728989</v>
      </c>
      <c r="T22" s="824" t="s">
        <v>6</v>
      </c>
      <c r="U22" s="1550">
        <v>251634</v>
      </c>
      <c r="V22" s="824"/>
      <c r="W22" s="1550">
        <v>404201</v>
      </c>
      <c r="X22" s="824"/>
      <c r="Y22" s="1550">
        <f t="shared" si="1"/>
        <v>655835</v>
      </c>
      <c r="Z22" s="824" t="s">
        <v>6</v>
      </c>
      <c r="AA22" s="1550">
        <v>261454</v>
      </c>
      <c r="AB22" s="824"/>
      <c r="AC22" s="1550">
        <v>393460</v>
      </c>
      <c r="AD22" s="824"/>
      <c r="AE22" s="1550">
        <f t="shared" si="2"/>
        <v>654914</v>
      </c>
      <c r="AF22" s="824" t="s">
        <v>6</v>
      </c>
      <c r="AG22" s="1550">
        <v>7572967</v>
      </c>
      <c r="AH22" s="824"/>
      <c r="AI22" s="1550">
        <v>4037318</v>
      </c>
      <c r="AJ22" s="824"/>
      <c r="AK22" s="1550">
        <f t="shared" si="5"/>
        <v>11610285</v>
      </c>
      <c r="AL22" s="824" t="s">
        <v>6</v>
      </c>
      <c r="AM22" s="1550">
        <f t="shared" si="7"/>
        <v>9045229</v>
      </c>
      <c r="AN22" s="1571"/>
      <c r="AO22" s="1550">
        <f t="shared" si="8"/>
        <v>6136347</v>
      </c>
      <c r="AP22" s="824"/>
      <c r="AQ22" s="1550">
        <f t="shared" si="6"/>
        <v>15181576</v>
      </c>
    </row>
    <row r="23" spans="1:43">
      <c r="A23" s="1551" t="s">
        <v>1389</v>
      </c>
      <c r="B23" s="1545" t="s">
        <v>6</v>
      </c>
      <c r="C23" s="1550">
        <v>236284</v>
      </c>
      <c r="D23" s="824"/>
      <c r="E23" s="1550">
        <v>186849</v>
      </c>
      <c r="F23" s="824"/>
      <c r="G23" s="1550">
        <f t="shared" si="3"/>
        <v>423133</v>
      </c>
      <c r="H23" s="824" t="s">
        <v>6</v>
      </c>
      <c r="I23" s="1550">
        <v>231388</v>
      </c>
      <c r="J23" s="824"/>
      <c r="K23" s="1550">
        <v>175872</v>
      </c>
      <c r="L23" s="824"/>
      <c r="M23" s="1550">
        <f t="shared" si="0"/>
        <v>407260</v>
      </c>
      <c r="N23" s="824" t="s">
        <v>6</v>
      </c>
      <c r="O23" s="1550">
        <v>272169</v>
      </c>
      <c r="P23" s="824"/>
      <c r="Q23" s="1550">
        <v>164681</v>
      </c>
      <c r="R23" s="824"/>
      <c r="S23" s="1550">
        <f t="shared" si="4"/>
        <v>436850</v>
      </c>
      <c r="T23" s="824" t="s">
        <v>6</v>
      </c>
      <c r="U23" s="1550">
        <v>291050</v>
      </c>
      <c r="V23" s="824"/>
      <c r="W23" s="1550">
        <v>151523</v>
      </c>
      <c r="X23" s="824"/>
      <c r="Y23" s="1550">
        <f t="shared" si="1"/>
        <v>442573</v>
      </c>
      <c r="Z23" s="824" t="s">
        <v>6</v>
      </c>
      <c r="AA23" s="1550">
        <v>245463</v>
      </c>
      <c r="AB23" s="824"/>
      <c r="AC23" s="1550">
        <v>137321</v>
      </c>
      <c r="AD23" s="824"/>
      <c r="AE23" s="1550">
        <f t="shared" si="2"/>
        <v>382784</v>
      </c>
      <c r="AF23" s="824" t="s">
        <v>6</v>
      </c>
      <c r="AG23" s="1572">
        <v>2641225</v>
      </c>
      <c r="AH23" s="824"/>
      <c r="AI23" s="1572">
        <v>911872</v>
      </c>
      <c r="AJ23" s="824"/>
      <c r="AK23" s="1550">
        <f t="shared" si="5"/>
        <v>3553097</v>
      </c>
      <c r="AL23" s="824" t="s">
        <v>6</v>
      </c>
      <c r="AM23" s="1550">
        <f t="shared" si="7"/>
        <v>3917579</v>
      </c>
      <c r="AN23" s="1571"/>
      <c r="AO23" s="1550">
        <f t="shared" si="8"/>
        <v>1728118</v>
      </c>
      <c r="AP23" s="824"/>
      <c r="AQ23" s="1550">
        <f t="shared" si="6"/>
        <v>5645697</v>
      </c>
    </row>
    <row r="24" spans="1:43">
      <c r="A24" s="1545"/>
      <c r="B24" s="1545"/>
      <c r="C24" s="1550"/>
      <c r="D24" s="824"/>
      <c r="E24" s="1550"/>
      <c r="F24" s="1545"/>
      <c r="G24" s="1550" t="s">
        <v>6</v>
      </c>
      <c r="H24" s="1545"/>
      <c r="I24" s="1550"/>
      <c r="J24" s="824"/>
      <c r="K24" s="1550"/>
      <c r="L24" s="824"/>
      <c r="M24" s="1550" t="s">
        <v>6</v>
      </c>
      <c r="O24" s="1550"/>
      <c r="P24" s="824"/>
      <c r="Q24" s="1550"/>
      <c r="R24" s="824"/>
      <c r="S24" s="1550" t="s">
        <v>6</v>
      </c>
      <c r="T24" s="824"/>
      <c r="U24" s="1550"/>
      <c r="V24" s="824"/>
      <c r="W24" s="1550"/>
      <c r="X24" s="824"/>
      <c r="Y24" s="1550"/>
      <c r="Z24" s="824"/>
      <c r="AA24" s="1550"/>
      <c r="AB24" s="824"/>
      <c r="AC24" s="1550"/>
      <c r="AD24" s="824"/>
      <c r="AE24" s="1550"/>
      <c r="AF24" s="824"/>
      <c r="AG24" s="840"/>
      <c r="AH24" s="824"/>
      <c r="AI24" s="840"/>
      <c r="AJ24" s="824"/>
      <c r="AK24" s="1550"/>
      <c r="AL24" s="824"/>
      <c r="AM24" s="1550"/>
      <c r="AN24" s="824"/>
      <c r="AO24" s="1550"/>
      <c r="AP24" s="824"/>
      <c r="AQ24" s="1550"/>
    </row>
    <row r="25" spans="1:43">
      <c r="A25" s="1552" t="s">
        <v>1390</v>
      </c>
      <c r="B25" s="1553" t="s">
        <v>1381</v>
      </c>
      <c r="C25" s="1550">
        <v>46300</v>
      </c>
      <c r="D25" s="815"/>
      <c r="E25" s="1550">
        <v>22172</v>
      </c>
      <c r="F25" s="824"/>
      <c r="G25" s="1550">
        <f t="shared" ref="G25:G31" si="9">SUM(C25+E25)</f>
        <v>68472</v>
      </c>
      <c r="H25" s="824"/>
      <c r="I25" s="1550">
        <v>39800</v>
      </c>
      <c r="J25" s="824"/>
      <c r="K25" s="1550">
        <v>17345</v>
      </c>
      <c r="L25" s="824"/>
      <c r="M25" s="1550">
        <f>SUM(I25+K25)</f>
        <v>57145</v>
      </c>
      <c r="N25" s="824"/>
      <c r="O25" s="1550">
        <v>33915</v>
      </c>
      <c r="P25" s="824"/>
      <c r="Q25" s="1550">
        <v>11765</v>
      </c>
      <c r="R25" s="824"/>
      <c r="S25" s="1550">
        <f>SUM(O25+Q25)</f>
        <v>45680</v>
      </c>
      <c r="T25" s="824"/>
      <c r="U25" s="1550">
        <v>32075</v>
      </c>
      <c r="V25" s="824"/>
      <c r="W25" s="1550">
        <v>10006</v>
      </c>
      <c r="X25" s="824"/>
      <c r="Y25" s="1550">
        <f>SUM(U25+W25)</f>
        <v>42081</v>
      </c>
      <c r="Z25" s="824"/>
      <c r="AA25" s="1550">
        <v>33660</v>
      </c>
      <c r="AB25" s="824"/>
      <c r="AC25" s="1550">
        <v>8432</v>
      </c>
      <c r="AD25" s="824"/>
      <c r="AE25" s="1550">
        <f>SUM(AA25+AC25)</f>
        <v>42092</v>
      </c>
      <c r="AF25" s="824"/>
      <c r="AG25" s="1550">
        <v>137990</v>
      </c>
      <c r="AH25" s="824"/>
      <c r="AI25" s="1550">
        <v>31579</v>
      </c>
      <c r="AJ25" s="824"/>
      <c r="AK25" s="1550">
        <f>SUM(AG25+AI25)</f>
        <v>169569</v>
      </c>
      <c r="AL25" s="815"/>
      <c r="AM25" s="1550">
        <f>C25+I25+O25+U25+AA25+AG25</f>
        <v>323740</v>
      </c>
      <c r="AN25" s="1571"/>
      <c r="AO25" s="1550">
        <f>E25+K25+Q25+W25+AC25+AI25</f>
        <v>101299</v>
      </c>
      <c r="AP25" s="824"/>
      <c r="AQ25" s="1550">
        <f>SUM(AM25+AO25)</f>
        <v>425039</v>
      </c>
    </row>
    <row r="26" spans="1:43">
      <c r="A26" s="1545"/>
      <c r="B26" s="1545"/>
      <c r="C26" s="1550"/>
      <c r="D26" s="815"/>
      <c r="E26" s="1550"/>
      <c r="F26" s="824"/>
      <c r="G26" s="1550"/>
      <c r="H26" s="824"/>
      <c r="I26" s="1550"/>
      <c r="J26" s="824"/>
      <c r="K26" s="1550"/>
      <c r="L26" s="824"/>
      <c r="M26" s="1550"/>
      <c r="N26" s="824"/>
      <c r="O26" s="1550"/>
      <c r="P26" s="824"/>
      <c r="Q26" s="1550"/>
      <c r="R26" s="824"/>
      <c r="S26" s="1550"/>
      <c r="T26" s="824"/>
      <c r="U26" s="1550"/>
      <c r="V26" s="824"/>
      <c r="W26" s="1550"/>
      <c r="X26" s="824"/>
      <c r="Y26" s="1550"/>
      <c r="Z26" s="824"/>
      <c r="AA26" s="1550"/>
      <c r="AB26" s="824"/>
      <c r="AC26" s="1550"/>
      <c r="AD26" s="824"/>
      <c r="AE26" s="1550"/>
      <c r="AF26" s="824"/>
      <c r="AG26" s="1550"/>
      <c r="AH26" s="824"/>
      <c r="AI26" s="1550"/>
      <c r="AJ26" s="824"/>
      <c r="AK26" s="1550"/>
      <c r="AL26" s="815"/>
      <c r="AM26" s="519"/>
      <c r="AN26" s="815"/>
      <c r="AO26" s="519"/>
      <c r="AP26" s="815"/>
      <c r="AQ26" s="519"/>
    </row>
    <row r="27" spans="1:43">
      <c r="A27" s="1552" t="s">
        <v>1391</v>
      </c>
      <c r="B27" s="1553" t="s">
        <v>1381</v>
      </c>
      <c r="C27" s="1550">
        <v>46880</v>
      </c>
      <c r="D27" s="815"/>
      <c r="E27" s="1550">
        <v>14969</v>
      </c>
      <c r="F27" s="824"/>
      <c r="G27" s="1550">
        <f t="shared" si="9"/>
        <v>61849</v>
      </c>
      <c r="H27" s="824"/>
      <c r="I27" s="1550">
        <v>55095</v>
      </c>
      <c r="J27" s="824"/>
      <c r="K27" s="1550">
        <v>12794</v>
      </c>
      <c r="L27" s="824"/>
      <c r="M27" s="1550">
        <f>SUM(I27+K27)</f>
        <v>67889</v>
      </c>
      <c r="N27" s="824"/>
      <c r="O27" s="1550">
        <v>41855</v>
      </c>
      <c r="P27" s="824"/>
      <c r="Q27" s="1550">
        <v>10755</v>
      </c>
      <c r="R27" s="824"/>
      <c r="S27" s="1550">
        <f>SUM(O27+Q27)</f>
        <v>52610</v>
      </c>
      <c r="T27" s="824"/>
      <c r="U27" s="1550">
        <v>35040</v>
      </c>
      <c r="V27" s="824"/>
      <c r="W27" s="1550">
        <v>8953</v>
      </c>
      <c r="X27" s="824"/>
      <c r="Y27" s="1550">
        <f>SUM(U27+W27)</f>
        <v>43993</v>
      </c>
      <c r="Z27" s="824"/>
      <c r="AA27" s="1550">
        <v>31315</v>
      </c>
      <c r="AB27" s="824"/>
      <c r="AC27" s="1550">
        <v>7470</v>
      </c>
      <c r="AD27" s="824"/>
      <c r="AE27" s="1550">
        <f>SUM(AA27+AC27)</f>
        <v>38785</v>
      </c>
      <c r="AF27" s="824"/>
      <c r="AG27" s="1550">
        <v>156045</v>
      </c>
      <c r="AH27" s="824"/>
      <c r="AI27" s="1550">
        <v>60603</v>
      </c>
      <c r="AJ27" s="824"/>
      <c r="AK27" s="1550">
        <f>SUM(AG27+AI27)</f>
        <v>216648</v>
      </c>
      <c r="AL27" s="815"/>
      <c r="AM27" s="1550">
        <f>C27+I27+O27+U27+AA27+AG27</f>
        <v>366230</v>
      </c>
      <c r="AN27" s="1571"/>
      <c r="AO27" s="1550">
        <f>E27+K27+Q27+W27+AC27+AI27</f>
        <v>115544</v>
      </c>
      <c r="AP27" s="824"/>
      <c r="AQ27" s="1550">
        <f>SUM(AM27+AO27)</f>
        <v>481774</v>
      </c>
    </row>
    <row r="28" spans="1:43">
      <c r="A28" s="1545"/>
      <c r="B28" s="1545"/>
      <c r="C28" s="1550"/>
      <c r="D28" s="815"/>
      <c r="E28" s="1550"/>
      <c r="F28" s="824"/>
      <c r="G28" s="1550"/>
      <c r="H28" s="824"/>
      <c r="I28" s="1550"/>
      <c r="J28" s="824"/>
      <c r="K28" s="1550"/>
      <c r="L28" s="824"/>
      <c r="M28" s="1550"/>
      <c r="N28" s="824"/>
      <c r="O28" s="1550"/>
      <c r="P28" s="824"/>
      <c r="Q28" s="1550"/>
      <c r="R28" s="824"/>
      <c r="S28" s="1550"/>
      <c r="T28" s="824"/>
      <c r="U28" s="1550"/>
      <c r="V28" s="824"/>
      <c r="W28" s="1550"/>
      <c r="X28" s="824"/>
      <c r="Y28" s="1550"/>
      <c r="Z28" s="824"/>
      <c r="AA28" s="1550"/>
      <c r="AB28" s="824"/>
      <c r="AC28" s="1550"/>
      <c r="AD28" s="824"/>
      <c r="AE28" s="1550"/>
      <c r="AF28" s="824"/>
      <c r="AG28" s="1550"/>
      <c r="AH28" s="824"/>
      <c r="AI28" s="1550"/>
      <c r="AJ28" s="824"/>
      <c r="AK28" s="1550"/>
      <c r="AL28" s="815"/>
      <c r="AM28" s="519"/>
      <c r="AN28" s="815"/>
      <c r="AO28" s="519"/>
      <c r="AP28" s="815"/>
      <c r="AQ28" s="519"/>
    </row>
    <row r="29" spans="1:43">
      <c r="A29" s="1552" t="s">
        <v>1392</v>
      </c>
      <c r="B29" s="1545" t="s">
        <v>6</v>
      </c>
      <c r="C29" s="1550">
        <v>300225</v>
      </c>
      <c r="D29" s="815"/>
      <c r="E29" s="1550">
        <v>88342</v>
      </c>
      <c r="F29" s="824"/>
      <c r="G29" s="1550">
        <f t="shared" si="9"/>
        <v>388567</v>
      </c>
      <c r="H29" s="824" t="s">
        <v>6</v>
      </c>
      <c r="I29" s="1550">
        <v>292495</v>
      </c>
      <c r="J29" s="824"/>
      <c r="K29" s="1550">
        <v>74546</v>
      </c>
      <c r="L29" s="824"/>
      <c r="M29" s="1550">
        <f>SUM(I29+K29)</f>
        <v>367041</v>
      </c>
      <c r="N29" s="824" t="s">
        <v>6</v>
      </c>
      <c r="O29" s="1550">
        <v>224395</v>
      </c>
      <c r="P29" s="824"/>
      <c r="Q29" s="1550">
        <v>61893</v>
      </c>
      <c r="R29" s="824"/>
      <c r="S29" s="1550">
        <f>SUM(O29+Q29)</f>
        <v>286288</v>
      </c>
      <c r="T29" s="824" t="s">
        <v>6</v>
      </c>
      <c r="U29" s="1550">
        <v>341080</v>
      </c>
      <c r="V29" s="824"/>
      <c r="W29" s="1550">
        <v>47979</v>
      </c>
      <c r="X29" s="824"/>
      <c r="Y29" s="1550">
        <f>SUM(U29+W29)</f>
        <v>389059</v>
      </c>
      <c r="Z29" s="824" t="s">
        <v>6</v>
      </c>
      <c r="AA29" s="1550">
        <v>356935</v>
      </c>
      <c r="AB29" s="824"/>
      <c r="AC29" s="1550">
        <v>31277</v>
      </c>
      <c r="AD29" s="824"/>
      <c r="AE29" s="1550">
        <f>SUM(AA29+AC29)</f>
        <v>388212</v>
      </c>
      <c r="AF29" s="824" t="s">
        <v>6</v>
      </c>
      <c r="AG29" s="1550">
        <v>543270</v>
      </c>
      <c r="AH29" s="1565"/>
      <c r="AI29" s="1550">
        <v>35842</v>
      </c>
      <c r="AJ29" s="824"/>
      <c r="AK29" s="1550">
        <f>SUM(AG29+AI29)</f>
        <v>579112</v>
      </c>
      <c r="AL29" s="824" t="s">
        <v>6</v>
      </c>
      <c r="AM29" s="1550">
        <f>C29+I29+O29+U29+AA29+AG29</f>
        <v>2058400</v>
      </c>
      <c r="AN29" s="1571"/>
      <c r="AO29" s="1550">
        <f>E29+K29+Q29+W29+AC29+AI29</f>
        <v>339879</v>
      </c>
      <c r="AP29" s="824"/>
      <c r="AQ29" s="1550">
        <f>SUM(AM29+AO29)</f>
        <v>2398279</v>
      </c>
    </row>
    <row r="30" spans="1:43">
      <c r="A30" s="1552"/>
      <c r="B30" s="1545"/>
      <c r="C30" s="1550"/>
      <c r="D30" s="815"/>
      <c r="E30" s="1550"/>
      <c r="F30" s="824"/>
      <c r="G30" s="1550"/>
      <c r="H30" s="824"/>
      <c r="I30" s="1550"/>
      <c r="J30" s="824"/>
      <c r="K30" s="1550"/>
      <c r="L30" s="824"/>
      <c r="M30" s="1550"/>
      <c r="N30" s="824"/>
      <c r="O30" s="1550"/>
      <c r="P30" s="824"/>
      <c r="Q30" s="1550"/>
      <c r="R30" s="824"/>
      <c r="S30" s="1550"/>
      <c r="T30" s="824"/>
      <c r="U30" s="1550"/>
      <c r="V30" s="824"/>
      <c r="W30" s="1550"/>
      <c r="X30" s="824"/>
      <c r="Y30" s="1550"/>
      <c r="Z30" s="824"/>
      <c r="AA30" s="1550"/>
      <c r="AB30" s="824"/>
      <c r="AC30" s="1550"/>
      <c r="AD30" s="824"/>
      <c r="AE30" s="1550"/>
      <c r="AF30" s="824"/>
      <c r="AG30" s="840"/>
      <c r="AH30" s="824"/>
      <c r="AI30" s="840"/>
      <c r="AJ30" s="824"/>
      <c r="AK30" s="1550"/>
      <c r="AL30" s="824"/>
      <c r="AM30" s="1550"/>
      <c r="AN30" s="824"/>
      <c r="AO30" s="1550"/>
      <c r="AP30" s="824"/>
      <c r="AQ30" s="1550"/>
    </row>
    <row r="31" spans="1:43">
      <c r="A31" s="1552" t="s">
        <v>1393</v>
      </c>
      <c r="B31" s="1545" t="s">
        <v>6</v>
      </c>
      <c r="C31" s="1550">
        <v>74815</v>
      </c>
      <c r="D31" s="815"/>
      <c r="E31" s="1550">
        <v>9275</v>
      </c>
      <c r="F31" s="824"/>
      <c r="G31" s="1550">
        <f t="shared" si="9"/>
        <v>84090</v>
      </c>
      <c r="H31" s="824" t="s">
        <v>6</v>
      </c>
      <c r="I31" s="1550">
        <v>72540</v>
      </c>
      <c r="J31" s="824"/>
      <c r="K31" s="1550">
        <v>4984</v>
      </c>
      <c r="L31" s="824"/>
      <c r="M31" s="1550">
        <f>SUM(I31+K31)</f>
        <v>77524</v>
      </c>
      <c r="N31" s="824" t="s">
        <v>6</v>
      </c>
      <c r="O31" s="1550">
        <v>34490</v>
      </c>
      <c r="P31" s="824"/>
      <c r="Q31" s="1550">
        <v>992</v>
      </c>
      <c r="R31" s="824"/>
      <c r="S31" s="1550">
        <f>SUM(O31+Q31)</f>
        <v>35482</v>
      </c>
      <c r="T31" s="824" t="s">
        <v>6</v>
      </c>
      <c r="U31" s="1550">
        <v>0</v>
      </c>
      <c r="V31" s="824"/>
      <c r="W31" s="1550">
        <v>0</v>
      </c>
      <c r="X31" s="824"/>
      <c r="Y31" s="1550">
        <f>SUM(U31+W31)</f>
        <v>0</v>
      </c>
      <c r="Z31" s="824" t="s">
        <v>6</v>
      </c>
      <c r="AA31" s="1550">
        <v>0</v>
      </c>
      <c r="AB31" s="824"/>
      <c r="AC31" s="1550">
        <v>0</v>
      </c>
      <c r="AD31" s="824"/>
      <c r="AE31" s="1550">
        <f>SUM(AA31+AC31)</f>
        <v>0</v>
      </c>
      <c r="AF31" s="824" t="s">
        <v>6</v>
      </c>
      <c r="AG31" s="1550">
        <v>0</v>
      </c>
      <c r="AH31" s="824"/>
      <c r="AI31" s="1550">
        <v>0</v>
      </c>
      <c r="AJ31" s="824"/>
      <c r="AK31" s="1550">
        <f>SUM(AG31+AI31)</f>
        <v>0</v>
      </c>
      <c r="AL31" s="824" t="s">
        <v>6</v>
      </c>
      <c r="AM31" s="1550">
        <f>C31+I31+O31+U31+AA31+AG31</f>
        <v>181845</v>
      </c>
      <c r="AN31" s="1571"/>
      <c r="AO31" s="1550">
        <f>E31+K31+Q31+W31+AC31+AI31</f>
        <v>15251</v>
      </c>
      <c r="AP31" s="824"/>
      <c r="AQ31" s="1550">
        <f>SUM(AM31+AO31)</f>
        <v>197096</v>
      </c>
    </row>
    <row r="32" spans="1:43">
      <c r="A32" s="1552"/>
      <c r="B32" s="1545"/>
      <c r="C32" s="1550"/>
      <c r="D32" s="815"/>
      <c r="E32" s="1550"/>
      <c r="F32" s="824"/>
      <c r="G32" s="1550"/>
      <c r="H32" s="824"/>
      <c r="I32" s="1550"/>
      <c r="J32" s="824"/>
      <c r="K32" s="1550"/>
      <c r="L32" s="824"/>
      <c r="M32" s="1550"/>
      <c r="N32" s="824"/>
      <c r="O32" s="1550"/>
      <c r="P32" s="824"/>
      <c r="Q32" s="1550"/>
      <c r="R32" s="824"/>
      <c r="S32" s="1550"/>
      <c r="T32" s="824"/>
      <c r="U32" s="1550"/>
      <c r="V32" s="824"/>
      <c r="W32" s="1550"/>
      <c r="X32" s="824"/>
      <c r="Y32" s="1550"/>
      <c r="Z32" s="824"/>
      <c r="AA32" s="1550"/>
      <c r="AB32" s="824"/>
      <c r="AC32" s="1550"/>
      <c r="AD32" s="824"/>
      <c r="AE32" s="1550"/>
      <c r="AF32" s="824"/>
      <c r="AG32" s="840"/>
      <c r="AH32" s="824"/>
      <c r="AI32" s="840"/>
      <c r="AJ32" s="824"/>
      <c r="AK32" s="1550"/>
      <c r="AL32" s="824"/>
      <c r="AM32" s="1550"/>
      <c r="AN32" s="824"/>
      <c r="AO32" s="1550"/>
      <c r="AP32" s="824"/>
      <c r="AQ32" s="1550"/>
    </row>
    <row r="33" spans="1:43">
      <c r="A33" s="1552" t="s">
        <v>1394</v>
      </c>
      <c r="B33" s="1545"/>
      <c r="C33" s="1550"/>
      <c r="D33" s="815"/>
      <c r="E33" s="1550"/>
      <c r="F33" s="824"/>
      <c r="G33" s="1550"/>
      <c r="H33" s="824"/>
      <c r="I33" s="1550"/>
      <c r="J33" s="824"/>
      <c r="K33" s="1550"/>
      <c r="L33" s="824"/>
      <c r="M33" s="1550"/>
      <c r="N33" s="824"/>
      <c r="O33" s="1550"/>
      <c r="P33" s="824"/>
      <c r="Q33" s="1550"/>
      <c r="R33" s="824"/>
      <c r="S33" s="1550"/>
      <c r="T33" s="824"/>
      <c r="U33" s="1550"/>
      <c r="V33" s="824"/>
      <c r="W33" s="1550"/>
      <c r="X33" s="824"/>
      <c r="Y33" s="1550"/>
      <c r="Z33" s="824"/>
      <c r="AA33" s="1550"/>
      <c r="AB33" s="824"/>
      <c r="AC33" s="1550"/>
      <c r="AD33" s="824"/>
      <c r="AE33" s="1550"/>
      <c r="AF33" s="824"/>
      <c r="AG33" s="840"/>
      <c r="AH33" s="824"/>
      <c r="AI33" s="840"/>
      <c r="AJ33" s="824"/>
      <c r="AK33" s="1550"/>
      <c r="AL33" s="824"/>
      <c r="AM33" s="1550"/>
      <c r="AN33" s="824"/>
      <c r="AO33" s="1550"/>
      <c r="AP33" s="824"/>
      <c r="AQ33" s="1550"/>
    </row>
    <row r="34" spans="1:43" s="1554" customFormat="1">
      <c r="A34" s="1545" t="s">
        <v>1395</v>
      </c>
      <c r="B34" s="1545" t="s">
        <v>6</v>
      </c>
      <c r="C34" s="1550">
        <v>187040</v>
      </c>
      <c r="D34" s="814"/>
      <c r="E34" s="1550">
        <v>117971</v>
      </c>
      <c r="F34" s="824"/>
      <c r="G34" s="1550">
        <f t="shared" ref="G34:G35" si="10">SUM(C34+E34)</f>
        <v>305011</v>
      </c>
      <c r="H34" s="824" t="s">
        <v>6</v>
      </c>
      <c r="I34" s="1550">
        <v>137850</v>
      </c>
      <c r="J34" s="824"/>
      <c r="K34" s="1550">
        <v>110639</v>
      </c>
      <c r="L34" s="824"/>
      <c r="M34" s="1550">
        <f>SUM(I34+K34)</f>
        <v>248489</v>
      </c>
      <c r="N34" s="824" t="s">
        <v>6</v>
      </c>
      <c r="O34" s="1550">
        <v>173190</v>
      </c>
      <c r="P34" s="824"/>
      <c r="Q34" s="1550">
        <v>103461</v>
      </c>
      <c r="R34" s="824"/>
      <c r="S34" s="1550">
        <f>SUM(O34+Q34)</f>
        <v>276651</v>
      </c>
      <c r="T34" s="824" t="s">
        <v>6</v>
      </c>
      <c r="U34" s="1550">
        <v>193620</v>
      </c>
      <c r="V34" s="824"/>
      <c r="W34" s="1550">
        <v>94738</v>
      </c>
      <c r="X34" s="824"/>
      <c r="Y34" s="1550">
        <f>SUM(U34+W34)</f>
        <v>288358</v>
      </c>
      <c r="Z34" s="824" t="s">
        <v>6</v>
      </c>
      <c r="AA34" s="1550">
        <v>431960</v>
      </c>
      <c r="AB34" s="824"/>
      <c r="AC34" s="1550">
        <v>78843</v>
      </c>
      <c r="AD34" s="824"/>
      <c r="AE34" s="1550">
        <f>SUM(AA34+AC34)</f>
        <v>510803</v>
      </c>
      <c r="AF34" s="824" t="s">
        <v>6</v>
      </c>
      <c r="AG34" s="1550">
        <v>1327415</v>
      </c>
      <c r="AH34" s="1565"/>
      <c r="AI34" s="1550">
        <v>369030</v>
      </c>
      <c r="AJ34" s="824"/>
      <c r="AK34" s="1550">
        <f>SUM(AG34+AI34)</f>
        <v>1696445</v>
      </c>
      <c r="AL34" s="824" t="s">
        <v>6</v>
      </c>
      <c r="AM34" s="1550">
        <f>C34+I34+O34+U34+AA34+AG34</f>
        <v>2451075</v>
      </c>
      <c r="AN34" s="1571"/>
      <c r="AO34" s="1550">
        <f>E34+K34+Q34+W34+AC34+AI34</f>
        <v>874682</v>
      </c>
      <c r="AP34" s="824"/>
      <c r="AQ34" s="1550">
        <f>SUM(AM34+AO34)</f>
        <v>3325757</v>
      </c>
    </row>
    <row r="35" spans="1:43">
      <c r="A35" s="1545" t="s">
        <v>1396</v>
      </c>
      <c r="B35" s="1545" t="s">
        <v>6</v>
      </c>
      <c r="C35" s="1550">
        <v>276530</v>
      </c>
      <c r="D35" s="815"/>
      <c r="E35" s="1550">
        <v>110660</v>
      </c>
      <c r="F35" s="824"/>
      <c r="G35" s="1550">
        <f t="shared" si="10"/>
        <v>387190</v>
      </c>
      <c r="H35" s="824" t="s">
        <v>6</v>
      </c>
      <c r="I35" s="1550">
        <v>286040</v>
      </c>
      <c r="J35" s="824"/>
      <c r="K35" s="1550">
        <v>97504</v>
      </c>
      <c r="L35" s="824"/>
      <c r="M35" s="1550">
        <f>SUM(I35+K35)</f>
        <v>383544</v>
      </c>
      <c r="N35" s="824" t="s">
        <v>6</v>
      </c>
      <c r="O35" s="1550">
        <v>259520</v>
      </c>
      <c r="P35" s="824"/>
      <c r="Q35" s="1550">
        <v>84370</v>
      </c>
      <c r="R35" s="824"/>
      <c r="S35" s="1550">
        <f>SUM(O35+Q35)</f>
        <v>343890</v>
      </c>
      <c r="T35" s="824" t="s">
        <v>6</v>
      </c>
      <c r="U35" s="1550">
        <v>186080</v>
      </c>
      <c r="V35" s="824"/>
      <c r="W35" s="1550">
        <v>72605</v>
      </c>
      <c r="X35" s="824"/>
      <c r="Y35" s="1550">
        <f>SUM(U35+W35)</f>
        <v>258685</v>
      </c>
      <c r="Z35" s="824" t="s">
        <v>6</v>
      </c>
      <c r="AA35" s="1550">
        <v>180395</v>
      </c>
      <c r="AB35" s="824"/>
      <c r="AC35" s="1550">
        <v>64387</v>
      </c>
      <c r="AD35" s="824"/>
      <c r="AE35" s="1550">
        <f>SUM(AA35+AC35)</f>
        <v>244782</v>
      </c>
      <c r="AF35" s="824" t="s">
        <v>6</v>
      </c>
      <c r="AG35" s="1550">
        <v>1145105</v>
      </c>
      <c r="AH35" s="1565"/>
      <c r="AI35" s="1550">
        <v>298367</v>
      </c>
      <c r="AJ35" s="824"/>
      <c r="AK35" s="1550">
        <f>SUM(AG35+AI35)</f>
        <v>1443472</v>
      </c>
      <c r="AL35" s="824" t="s">
        <v>6</v>
      </c>
      <c r="AM35" s="1550">
        <f>C35+I35+O35+U35+AA35+AG35</f>
        <v>2333670</v>
      </c>
      <c r="AN35" s="1571"/>
      <c r="AO35" s="1550">
        <f>E35+K35+Q35+W35+AC35+AI35</f>
        <v>727893</v>
      </c>
      <c r="AP35" s="824"/>
      <c r="AQ35" s="1550">
        <f>SUM(AM35+AO35)</f>
        <v>3061563</v>
      </c>
    </row>
    <row r="36" spans="1:43">
      <c r="A36" s="1545"/>
      <c r="B36" s="1545"/>
      <c r="C36" s="1550"/>
      <c r="D36" s="824"/>
      <c r="E36" s="1550"/>
      <c r="F36" s="824"/>
      <c r="G36" s="1550"/>
      <c r="H36" s="824"/>
      <c r="I36" s="1550"/>
      <c r="J36" s="824"/>
      <c r="K36" s="1550"/>
      <c r="L36" s="824"/>
      <c r="M36" s="1550"/>
      <c r="N36" s="824"/>
      <c r="O36" s="1550"/>
      <c r="P36" s="824"/>
      <c r="Q36" s="1550"/>
      <c r="R36" s="824"/>
      <c r="S36" s="1550"/>
      <c r="T36" s="824"/>
      <c r="U36" s="1550"/>
      <c r="V36" s="824"/>
      <c r="W36" s="1550"/>
      <c r="X36" s="824"/>
      <c r="Y36" s="1550"/>
      <c r="Z36" s="824"/>
      <c r="AA36" s="1550"/>
      <c r="AB36" s="824"/>
      <c r="AC36" s="1550"/>
      <c r="AD36" s="824"/>
      <c r="AE36" s="1550"/>
      <c r="AF36" s="824"/>
      <c r="AG36" s="840"/>
      <c r="AH36" s="824"/>
      <c r="AI36" s="840"/>
      <c r="AJ36" s="824"/>
      <c r="AK36" s="1550"/>
      <c r="AL36" s="824"/>
      <c r="AM36" s="1550"/>
      <c r="AN36" s="824"/>
      <c r="AO36" s="1550"/>
      <c r="AP36" s="824"/>
      <c r="AQ36" s="1550"/>
    </row>
    <row r="37" spans="1:43">
      <c r="A37" s="1552" t="s">
        <v>1397</v>
      </c>
      <c r="B37" s="1545"/>
      <c r="C37" s="1550"/>
      <c r="D37" s="824"/>
      <c r="E37" s="1550"/>
      <c r="F37" s="824"/>
      <c r="G37" s="1550"/>
      <c r="H37" s="824"/>
      <c r="I37" s="1550"/>
      <c r="J37" s="824"/>
      <c r="K37" s="1550"/>
      <c r="L37" s="824"/>
      <c r="M37" s="1550"/>
      <c r="N37" s="824"/>
      <c r="O37" s="1550"/>
      <c r="P37" s="824"/>
      <c r="Q37" s="1550"/>
      <c r="R37" s="824"/>
      <c r="S37" s="1550"/>
      <c r="T37" s="824"/>
      <c r="U37" s="1550"/>
      <c r="V37" s="824"/>
      <c r="W37" s="1550"/>
      <c r="X37" s="824"/>
      <c r="Y37" s="1550"/>
      <c r="Z37" s="824"/>
      <c r="AA37" s="1550"/>
      <c r="AB37" s="824"/>
      <c r="AC37" s="1550"/>
      <c r="AD37" s="824"/>
      <c r="AE37" s="1550"/>
      <c r="AF37" s="824"/>
      <c r="AG37" s="840"/>
      <c r="AH37" s="824"/>
      <c r="AI37" s="840"/>
      <c r="AJ37" s="824"/>
      <c r="AK37" s="1550"/>
      <c r="AL37" s="824"/>
      <c r="AM37" s="1550"/>
      <c r="AN37" s="824"/>
      <c r="AO37" s="1550"/>
      <c r="AP37" s="824"/>
      <c r="AQ37" s="1550"/>
    </row>
    <row r="38" spans="1:43">
      <c r="A38" s="1545" t="s">
        <v>1379</v>
      </c>
      <c r="B38" s="1549" t="s">
        <v>1381</v>
      </c>
      <c r="C38" s="1550">
        <v>2256</v>
      </c>
      <c r="D38" s="815"/>
      <c r="E38" s="1550">
        <v>608</v>
      </c>
      <c r="F38" s="1571"/>
      <c r="G38" s="1550">
        <f t="shared" ref="G38:G46" si="11">SUM(C38+E38)</f>
        <v>2864</v>
      </c>
      <c r="H38" s="1571"/>
      <c r="I38" s="1550">
        <v>2319</v>
      </c>
      <c r="J38" s="1571"/>
      <c r="K38" s="1550">
        <v>544</v>
      </c>
      <c r="L38" s="1571"/>
      <c r="M38" s="1550">
        <f>SUM(I38+K38)</f>
        <v>2863</v>
      </c>
      <c r="N38" s="1571"/>
      <c r="O38" s="1550">
        <v>2053</v>
      </c>
      <c r="P38" s="1571"/>
      <c r="Q38" s="1550">
        <v>484</v>
      </c>
      <c r="R38" s="1571"/>
      <c r="S38" s="1550">
        <f>SUM(O38+Q38)</f>
        <v>2537</v>
      </c>
      <c r="T38" s="1571"/>
      <c r="U38" s="1550">
        <v>4799</v>
      </c>
      <c r="V38" s="1571"/>
      <c r="W38" s="1550">
        <v>452</v>
      </c>
      <c r="X38" s="1571"/>
      <c r="Y38" s="1550">
        <f>SUM(U38+W38)</f>
        <v>5251</v>
      </c>
      <c r="Z38" s="1571"/>
      <c r="AA38" s="1550">
        <v>800</v>
      </c>
      <c r="AB38" s="1571"/>
      <c r="AC38" s="1550">
        <v>297</v>
      </c>
      <c r="AD38" s="1571"/>
      <c r="AE38" s="1550">
        <f>SUM(AA38+AC38)</f>
        <v>1097</v>
      </c>
      <c r="AF38" s="1571"/>
      <c r="AG38" s="1550">
        <v>5225</v>
      </c>
      <c r="AH38" s="1571"/>
      <c r="AI38" s="1550">
        <v>1189</v>
      </c>
      <c r="AJ38" s="1571"/>
      <c r="AK38" s="1550">
        <f>SUM(AG38+AI38)</f>
        <v>6414</v>
      </c>
      <c r="AL38" s="1571"/>
      <c r="AM38" s="1550">
        <f t="shared" ref="AM38:AM46" si="12">C38+I38+O38+U38+AA38+AG38</f>
        <v>17452</v>
      </c>
      <c r="AN38" s="1571"/>
      <c r="AO38" s="1550">
        <f t="shared" ref="AO38:AO46" si="13">E38+K38+Q38+W38+AC38+AI38</f>
        <v>3574</v>
      </c>
      <c r="AP38" s="1571"/>
      <c r="AQ38" s="1550">
        <f>SUM(AM38+AO38)</f>
        <v>21026</v>
      </c>
    </row>
    <row r="39" spans="1:43">
      <c r="A39" s="1545" t="s">
        <v>1398</v>
      </c>
      <c r="B39" s="1545" t="s">
        <v>6</v>
      </c>
      <c r="C39" s="1550">
        <v>227123</v>
      </c>
      <c r="D39" s="815"/>
      <c r="E39" s="1550">
        <v>194818</v>
      </c>
      <c r="F39" s="824"/>
      <c r="G39" s="1550">
        <f t="shared" si="11"/>
        <v>421941</v>
      </c>
      <c r="H39" s="824" t="s">
        <v>6</v>
      </c>
      <c r="I39" s="1550">
        <v>231553</v>
      </c>
      <c r="J39" s="824"/>
      <c r="K39" s="1550">
        <v>183876</v>
      </c>
      <c r="L39" s="824"/>
      <c r="M39" s="1550">
        <f t="shared" ref="M39:M46" si="14">SUM(I39+K39)</f>
        <v>415429</v>
      </c>
      <c r="N39" s="824" t="s">
        <v>6</v>
      </c>
      <c r="O39" s="1550">
        <v>221475</v>
      </c>
      <c r="P39" s="824"/>
      <c r="Q39" s="1550">
        <v>172630</v>
      </c>
      <c r="R39" s="824"/>
      <c r="S39" s="1550">
        <f t="shared" ref="S39:S46" si="15">SUM(O39+Q39)</f>
        <v>394105</v>
      </c>
      <c r="T39" s="824" t="s">
        <v>6</v>
      </c>
      <c r="U39" s="1550">
        <v>232100</v>
      </c>
      <c r="V39" s="824"/>
      <c r="W39" s="1550">
        <v>161384</v>
      </c>
      <c r="X39" s="824"/>
      <c r="Y39" s="1550">
        <f t="shared" ref="Y39:Y46" si="16">SUM(U39+W39)</f>
        <v>393484</v>
      </c>
      <c r="Z39" s="824" t="s">
        <v>6</v>
      </c>
      <c r="AA39" s="1550">
        <v>290630</v>
      </c>
      <c r="AB39" s="824"/>
      <c r="AC39" s="1550">
        <v>149749</v>
      </c>
      <c r="AD39" s="824"/>
      <c r="AE39" s="1550">
        <f t="shared" ref="AE39:AE46" si="17">SUM(AA39+AC39)</f>
        <v>440379</v>
      </c>
      <c r="AF39" s="824" t="s">
        <v>6</v>
      </c>
      <c r="AG39" s="1550">
        <v>2828117</v>
      </c>
      <c r="AH39" s="1565"/>
      <c r="AI39" s="1550">
        <v>1220192</v>
      </c>
      <c r="AJ39" s="824"/>
      <c r="AK39" s="1550">
        <f t="shared" ref="AK39:AK46" si="18">SUM(AG39+AI39)</f>
        <v>4048309</v>
      </c>
      <c r="AL39" s="824" t="s">
        <v>6</v>
      </c>
      <c r="AM39" s="1550">
        <f t="shared" si="12"/>
        <v>4030998</v>
      </c>
      <c r="AN39" s="1571"/>
      <c r="AO39" s="1550">
        <f t="shared" si="13"/>
        <v>2082649</v>
      </c>
      <c r="AP39" s="824"/>
      <c r="AQ39" s="1550">
        <f t="shared" ref="AQ39:AQ46" si="19">SUM(AM39+AO39)</f>
        <v>6113647</v>
      </c>
    </row>
    <row r="40" spans="1:43">
      <c r="A40" s="1545" t="s">
        <v>1382</v>
      </c>
      <c r="B40" s="1549" t="s">
        <v>1381</v>
      </c>
      <c r="C40" s="1550">
        <v>33016</v>
      </c>
      <c r="D40" s="815"/>
      <c r="E40" s="1550">
        <v>79823</v>
      </c>
      <c r="F40" s="1571"/>
      <c r="G40" s="1550">
        <f t="shared" si="11"/>
        <v>112839</v>
      </c>
      <c r="H40" s="1571"/>
      <c r="I40" s="1550">
        <v>34668</v>
      </c>
      <c r="J40" s="1571"/>
      <c r="K40" s="1550">
        <v>78350</v>
      </c>
      <c r="L40" s="1571"/>
      <c r="M40" s="1550">
        <f t="shared" si="14"/>
        <v>113018</v>
      </c>
      <c r="N40" s="1571"/>
      <c r="O40" s="1550">
        <v>36402</v>
      </c>
      <c r="P40" s="1571"/>
      <c r="Q40" s="1550">
        <v>76616</v>
      </c>
      <c r="R40" s="1571"/>
      <c r="S40" s="1550">
        <f t="shared" si="15"/>
        <v>113018</v>
      </c>
      <c r="T40" s="1571"/>
      <c r="U40" s="1550">
        <v>166332</v>
      </c>
      <c r="V40" s="1571"/>
      <c r="W40" s="1550">
        <v>74796</v>
      </c>
      <c r="X40" s="1571"/>
      <c r="Y40" s="1550">
        <f t="shared" si="16"/>
        <v>241128</v>
      </c>
      <c r="Z40" s="1571"/>
      <c r="AA40" s="1550">
        <v>104315</v>
      </c>
      <c r="AB40" s="1571"/>
      <c r="AC40" s="1550">
        <v>66480</v>
      </c>
      <c r="AD40" s="1571"/>
      <c r="AE40" s="1550">
        <f t="shared" si="17"/>
        <v>170795</v>
      </c>
      <c r="AF40" s="1571"/>
      <c r="AG40" s="1550">
        <v>1229410</v>
      </c>
      <c r="AH40" s="1571"/>
      <c r="AI40" s="1550">
        <v>361310</v>
      </c>
      <c r="AJ40" s="1571"/>
      <c r="AK40" s="1550">
        <f t="shared" si="18"/>
        <v>1590720</v>
      </c>
      <c r="AL40" s="1571"/>
      <c r="AM40" s="1550">
        <f t="shared" si="12"/>
        <v>1604143</v>
      </c>
      <c r="AN40" s="1571"/>
      <c r="AO40" s="1550">
        <f t="shared" si="13"/>
        <v>737375</v>
      </c>
      <c r="AP40" s="824"/>
      <c r="AQ40" s="1550">
        <f t="shared" si="19"/>
        <v>2341518</v>
      </c>
    </row>
    <row r="41" spans="1:43">
      <c r="A41" s="1545" t="s">
        <v>1383</v>
      </c>
      <c r="B41" s="1549" t="s">
        <v>1381</v>
      </c>
      <c r="C41" s="1550">
        <v>0</v>
      </c>
      <c r="D41" s="815"/>
      <c r="E41" s="1550">
        <v>3902</v>
      </c>
      <c r="F41" s="1571"/>
      <c r="G41" s="1550">
        <f t="shared" si="11"/>
        <v>3902</v>
      </c>
      <c r="H41" s="1571"/>
      <c r="I41" s="1550">
        <v>0</v>
      </c>
      <c r="J41" s="1571"/>
      <c r="K41" s="1550">
        <v>3902</v>
      </c>
      <c r="L41" s="1571"/>
      <c r="M41" s="1550">
        <f t="shared" si="14"/>
        <v>3902</v>
      </c>
      <c r="N41" s="1571"/>
      <c r="O41" s="1550">
        <v>9450</v>
      </c>
      <c r="P41" s="1571"/>
      <c r="Q41" s="1550">
        <v>3902</v>
      </c>
      <c r="R41" s="1571"/>
      <c r="S41" s="1550">
        <f t="shared" si="15"/>
        <v>13352</v>
      </c>
      <c r="T41" s="1571"/>
      <c r="U41" s="1550">
        <v>0</v>
      </c>
      <c r="V41" s="1571"/>
      <c r="W41" s="1550">
        <v>3430</v>
      </c>
      <c r="X41" s="1571"/>
      <c r="Y41" s="1550">
        <f t="shared" ref="Y41" si="20">SUM(U41+W41)</f>
        <v>3430</v>
      </c>
      <c r="Z41" s="1571"/>
      <c r="AA41" s="1550">
        <v>0</v>
      </c>
      <c r="AB41" s="1571"/>
      <c r="AC41" s="1550">
        <v>3430</v>
      </c>
      <c r="AD41" s="1571"/>
      <c r="AE41" s="1550">
        <f t="shared" si="17"/>
        <v>3430</v>
      </c>
      <c r="AF41" s="1571"/>
      <c r="AG41" s="1550">
        <v>68595</v>
      </c>
      <c r="AH41" s="1571"/>
      <c r="AI41" s="1550">
        <v>5128</v>
      </c>
      <c r="AJ41" s="1571"/>
      <c r="AK41" s="1550">
        <f t="shared" si="18"/>
        <v>73723</v>
      </c>
      <c r="AL41" s="1571"/>
      <c r="AM41" s="1550">
        <f t="shared" si="12"/>
        <v>78045</v>
      </c>
      <c r="AN41" s="1571"/>
      <c r="AO41" s="1550">
        <f t="shared" si="13"/>
        <v>23694</v>
      </c>
      <c r="AP41" s="824"/>
      <c r="AQ41" s="1550">
        <f t="shared" si="19"/>
        <v>101739</v>
      </c>
    </row>
    <row r="42" spans="1:43">
      <c r="A42" s="1545" t="s">
        <v>1384</v>
      </c>
      <c r="B42" s="1549" t="s">
        <v>1381</v>
      </c>
      <c r="C42" s="1550">
        <v>95748</v>
      </c>
      <c r="D42" s="815"/>
      <c r="E42" s="1550">
        <v>38661</v>
      </c>
      <c r="F42" s="1571"/>
      <c r="G42" s="1550">
        <f t="shared" si="11"/>
        <v>134409</v>
      </c>
      <c r="H42" s="1571"/>
      <c r="I42" s="1550">
        <v>108175</v>
      </c>
      <c r="J42" s="1571"/>
      <c r="K42" s="1550">
        <v>35765</v>
      </c>
      <c r="L42" s="1571"/>
      <c r="M42" s="1550">
        <f t="shared" si="14"/>
        <v>143940</v>
      </c>
      <c r="N42" s="1571"/>
      <c r="O42" s="1550">
        <v>104260</v>
      </c>
      <c r="P42" s="1571"/>
      <c r="Q42" s="1550">
        <v>32105</v>
      </c>
      <c r="R42" s="1571"/>
      <c r="S42" s="1550">
        <f t="shared" si="15"/>
        <v>136365</v>
      </c>
      <c r="T42" s="1571"/>
      <c r="U42" s="1550">
        <v>83320</v>
      </c>
      <c r="V42" s="1571"/>
      <c r="W42" s="1550">
        <v>28397</v>
      </c>
      <c r="X42" s="1571"/>
      <c r="Y42" s="1550">
        <f t="shared" si="16"/>
        <v>111717</v>
      </c>
      <c r="Z42" s="1571"/>
      <c r="AA42" s="1550">
        <v>77460</v>
      </c>
      <c r="AB42" s="1571"/>
      <c r="AC42" s="1550">
        <v>25124</v>
      </c>
      <c r="AD42" s="1571"/>
      <c r="AE42" s="1550">
        <f t="shared" si="17"/>
        <v>102584</v>
      </c>
      <c r="AF42" s="1571"/>
      <c r="AG42" s="1550">
        <v>469180</v>
      </c>
      <c r="AH42" s="1571"/>
      <c r="AI42" s="1550">
        <v>228600</v>
      </c>
      <c r="AJ42" s="1571"/>
      <c r="AK42" s="1550">
        <f t="shared" si="18"/>
        <v>697780</v>
      </c>
      <c r="AL42" s="1571"/>
      <c r="AM42" s="1550">
        <f t="shared" si="12"/>
        <v>938143</v>
      </c>
      <c r="AN42" s="1571"/>
      <c r="AO42" s="1550">
        <f t="shared" si="13"/>
        <v>388652</v>
      </c>
      <c r="AP42" s="824"/>
      <c r="AQ42" s="1550">
        <f t="shared" si="19"/>
        <v>1326795</v>
      </c>
    </row>
    <row r="43" spans="1:43">
      <c r="A43" s="1545" t="s">
        <v>1399</v>
      </c>
      <c r="B43" s="1545" t="s">
        <v>6</v>
      </c>
      <c r="C43" s="1550">
        <v>52109</v>
      </c>
      <c r="D43" s="815"/>
      <c r="E43" s="1550">
        <v>84413</v>
      </c>
      <c r="F43" s="824"/>
      <c r="G43" s="1550">
        <f t="shared" si="11"/>
        <v>136522</v>
      </c>
      <c r="H43" s="824" t="s">
        <v>6</v>
      </c>
      <c r="I43" s="1550">
        <v>32267</v>
      </c>
      <c r="J43" s="824"/>
      <c r="K43" s="1550">
        <v>81910</v>
      </c>
      <c r="L43" s="824"/>
      <c r="M43" s="1550">
        <f t="shared" si="14"/>
        <v>114177</v>
      </c>
      <c r="N43" s="824" t="s">
        <v>6</v>
      </c>
      <c r="O43" s="1550">
        <v>26588</v>
      </c>
      <c r="P43" s="824"/>
      <c r="Q43" s="1550">
        <v>80297</v>
      </c>
      <c r="R43" s="824"/>
      <c r="S43" s="1550">
        <f t="shared" si="15"/>
        <v>106885</v>
      </c>
      <c r="T43" s="824" t="s">
        <v>6</v>
      </c>
      <c r="U43" s="1550">
        <v>60443</v>
      </c>
      <c r="V43" s="824"/>
      <c r="W43" s="1550">
        <v>78981</v>
      </c>
      <c r="X43" s="824"/>
      <c r="Y43" s="1550">
        <f t="shared" ref="Y43" si="21">SUM(U43+W43)</f>
        <v>139424</v>
      </c>
      <c r="Z43" s="824" t="s">
        <v>6</v>
      </c>
      <c r="AA43" s="1550">
        <v>115075</v>
      </c>
      <c r="AB43" s="824"/>
      <c r="AC43" s="1550">
        <v>75981</v>
      </c>
      <c r="AD43" s="824"/>
      <c r="AE43" s="1550">
        <f t="shared" si="17"/>
        <v>191056</v>
      </c>
      <c r="AF43" s="824" t="s">
        <v>6</v>
      </c>
      <c r="AG43" s="1556">
        <v>1407615</v>
      </c>
      <c r="AH43" s="824"/>
      <c r="AI43" s="1556">
        <v>345782</v>
      </c>
      <c r="AJ43" s="824"/>
      <c r="AK43" s="1550">
        <f t="shared" si="18"/>
        <v>1753397</v>
      </c>
      <c r="AL43" s="824" t="s">
        <v>6</v>
      </c>
      <c r="AM43" s="1550">
        <f t="shared" si="12"/>
        <v>1694097</v>
      </c>
      <c r="AN43" s="1571"/>
      <c r="AO43" s="1550">
        <f t="shared" si="13"/>
        <v>747364</v>
      </c>
      <c r="AP43" s="824"/>
      <c r="AQ43" s="1550">
        <f t="shared" si="19"/>
        <v>2441461</v>
      </c>
    </row>
    <row r="44" spans="1:43">
      <c r="A44" s="1545" t="s">
        <v>1400</v>
      </c>
      <c r="B44" s="1545" t="s">
        <v>6</v>
      </c>
      <c r="C44" s="1550">
        <v>15625</v>
      </c>
      <c r="D44" s="815"/>
      <c r="E44" s="1550">
        <v>4544</v>
      </c>
      <c r="F44" s="824"/>
      <c r="G44" s="1550">
        <f t="shared" si="11"/>
        <v>20169</v>
      </c>
      <c r="H44" s="824" t="s">
        <v>6</v>
      </c>
      <c r="I44" s="1550">
        <v>16510</v>
      </c>
      <c r="J44" s="824"/>
      <c r="K44" s="1550">
        <v>3628</v>
      </c>
      <c r="L44" s="824"/>
      <c r="M44" s="1550">
        <f t="shared" si="14"/>
        <v>20138</v>
      </c>
      <c r="N44" s="824" t="s">
        <v>6</v>
      </c>
      <c r="O44" s="1550">
        <v>17455</v>
      </c>
      <c r="P44" s="824"/>
      <c r="Q44" s="1550">
        <v>2660</v>
      </c>
      <c r="R44" s="824"/>
      <c r="S44" s="1550">
        <f t="shared" si="15"/>
        <v>20115</v>
      </c>
      <c r="T44" s="824" t="s">
        <v>6</v>
      </c>
      <c r="U44" s="1550">
        <v>18445</v>
      </c>
      <c r="V44" s="824"/>
      <c r="W44" s="1550">
        <v>1637</v>
      </c>
      <c r="X44" s="824"/>
      <c r="Y44" s="1550">
        <f t="shared" si="16"/>
        <v>20082</v>
      </c>
      <c r="Z44" s="824" t="s">
        <v>6</v>
      </c>
      <c r="AA44" s="1550">
        <v>19500</v>
      </c>
      <c r="AB44" s="824"/>
      <c r="AC44" s="1550">
        <v>557</v>
      </c>
      <c r="AD44" s="824"/>
      <c r="AE44" s="1550">
        <f t="shared" si="17"/>
        <v>20057</v>
      </c>
      <c r="AF44" s="824" t="s">
        <v>6</v>
      </c>
      <c r="AG44" s="1556">
        <v>0</v>
      </c>
      <c r="AH44" s="824"/>
      <c r="AI44" s="1556">
        <v>0</v>
      </c>
      <c r="AJ44" s="824"/>
      <c r="AK44" s="1550">
        <f t="shared" si="18"/>
        <v>0</v>
      </c>
      <c r="AL44" s="824" t="s">
        <v>6</v>
      </c>
      <c r="AM44" s="1550">
        <f t="shared" si="12"/>
        <v>87535</v>
      </c>
      <c r="AN44" s="1571"/>
      <c r="AO44" s="1550">
        <f t="shared" si="13"/>
        <v>13026</v>
      </c>
      <c r="AP44" s="824"/>
      <c r="AQ44" s="1550">
        <f t="shared" si="19"/>
        <v>100561</v>
      </c>
    </row>
    <row r="45" spans="1:43">
      <c r="A45" s="1545" t="s">
        <v>1401</v>
      </c>
      <c r="B45" s="1545" t="s">
        <v>6</v>
      </c>
      <c r="C45" s="1550">
        <v>7603</v>
      </c>
      <c r="D45" s="815"/>
      <c r="E45" s="1550">
        <v>1546</v>
      </c>
      <c r="F45" s="824"/>
      <c r="G45" s="1550">
        <f t="shared" si="11"/>
        <v>9149</v>
      </c>
      <c r="H45" s="824"/>
      <c r="I45" s="1550">
        <v>7716</v>
      </c>
      <c r="J45" s="824"/>
      <c r="K45" s="1550">
        <v>1432</v>
      </c>
      <c r="L45" s="824"/>
      <c r="M45" s="1550">
        <f t="shared" si="14"/>
        <v>9148</v>
      </c>
      <c r="N45" s="824"/>
      <c r="O45" s="1550">
        <v>7230</v>
      </c>
      <c r="P45" s="824"/>
      <c r="Q45" s="1550">
        <v>1296</v>
      </c>
      <c r="R45" s="824"/>
      <c r="S45" s="1550">
        <f t="shared" si="15"/>
        <v>8526</v>
      </c>
      <c r="T45" s="824"/>
      <c r="U45" s="1550">
        <v>8145</v>
      </c>
      <c r="V45" s="824"/>
      <c r="W45" s="1550">
        <v>1150</v>
      </c>
      <c r="X45" s="824"/>
      <c r="Y45" s="1550">
        <f t="shared" si="16"/>
        <v>9295</v>
      </c>
      <c r="Z45" s="824"/>
      <c r="AA45" s="1550">
        <v>6790</v>
      </c>
      <c r="AB45" s="824"/>
      <c r="AC45" s="1550">
        <v>935</v>
      </c>
      <c r="AD45" s="824"/>
      <c r="AE45" s="1550">
        <f t="shared" si="17"/>
        <v>7725</v>
      </c>
      <c r="AF45" s="824"/>
      <c r="AG45" s="1556">
        <v>18520</v>
      </c>
      <c r="AH45" s="1573"/>
      <c r="AI45" s="1556">
        <v>2062</v>
      </c>
      <c r="AJ45" s="824"/>
      <c r="AK45" s="1550">
        <f t="shared" si="18"/>
        <v>20582</v>
      </c>
      <c r="AL45" s="824"/>
      <c r="AM45" s="1550">
        <f t="shared" si="12"/>
        <v>56004</v>
      </c>
      <c r="AN45" s="1571"/>
      <c r="AO45" s="1550">
        <f t="shared" si="13"/>
        <v>8421</v>
      </c>
      <c r="AP45" s="824"/>
      <c r="AQ45" s="1550">
        <f t="shared" si="19"/>
        <v>64425</v>
      </c>
    </row>
    <row r="46" spans="1:43">
      <c r="A46" s="1545" t="s">
        <v>1402</v>
      </c>
      <c r="B46" s="1545" t="s">
        <v>6</v>
      </c>
      <c r="C46" s="1550">
        <v>148779</v>
      </c>
      <c r="D46" s="815"/>
      <c r="E46" s="1550">
        <v>69768</v>
      </c>
      <c r="F46" s="824"/>
      <c r="G46" s="1550">
        <f t="shared" si="11"/>
        <v>218547</v>
      </c>
      <c r="H46" s="824" t="s">
        <v>6</v>
      </c>
      <c r="I46" s="1550">
        <v>148096</v>
      </c>
      <c r="J46" s="824"/>
      <c r="K46" s="1550">
        <v>62238</v>
      </c>
      <c r="L46" s="824"/>
      <c r="M46" s="1550">
        <f t="shared" si="14"/>
        <v>210334</v>
      </c>
      <c r="N46" s="824" t="s">
        <v>6</v>
      </c>
      <c r="O46" s="1550">
        <v>151055</v>
      </c>
      <c r="P46" s="824"/>
      <c r="Q46" s="1550">
        <v>54703</v>
      </c>
      <c r="R46" s="824"/>
      <c r="S46" s="1550">
        <f t="shared" si="15"/>
        <v>205758</v>
      </c>
      <c r="T46" s="824" t="s">
        <v>6</v>
      </c>
      <c r="U46" s="1550">
        <v>97102</v>
      </c>
      <c r="V46" s="824"/>
      <c r="W46" s="1550">
        <v>47279</v>
      </c>
      <c r="X46" s="824"/>
      <c r="Y46" s="1550">
        <f t="shared" si="16"/>
        <v>144381</v>
      </c>
      <c r="Z46" s="824" t="s">
        <v>6</v>
      </c>
      <c r="AA46" s="1550">
        <v>129205</v>
      </c>
      <c r="AB46" s="824"/>
      <c r="AC46" s="1550">
        <v>37727</v>
      </c>
      <c r="AD46" s="824"/>
      <c r="AE46" s="1550">
        <f t="shared" si="17"/>
        <v>166932</v>
      </c>
      <c r="AF46" s="824" t="s">
        <v>6</v>
      </c>
      <c r="AG46" s="1556">
        <v>617290</v>
      </c>
      <c r="AH46" s="1573"/>
      <c r="AI46" s="1556">
        <v>165341</v>
      </c>
      <c r="AJ46" s="824"/>
      <c r="AK46" s="1550">
        <f t="shared" si="18"/>
        <v>782631</v>
      </c>
      <c r="AL46" s="824" t="s">
        <v>6</v>
      </c>
      <c r="AM46" s="1550">
        <f t="shared" si="12"/>
        <v>1291527</v>
      </c>
      <c r="AN46" s="1571"/>
      <c r="AO46" s="1550">
        <f t="shared" si="13"/>
        <v>437056</v>
      </c>
      <c r="AP46" s="824"/>
      <c r="AQ46" s="1550">
        <f t="shared" si="19"/>
        <v>1728583</v>
      </c>
    </row>
    <row r="47" spans="1:43">
      <c r="A47" s="1545"/>
      <c r="B47" s="1545"/>
      <c r="C47" s="1550"/>
      <c r="D47" s="824"/>
      <c r="E47" s="1550"/>
      <c r="F47" s="824"/>
      <c r="G47" s="1550"/>
      <c r="H47" s="824"/>
      <c r="I47" s="1550"/>
      <c r="J47" s="824"/>
      <c r="K47" s="1550"/>
      <c r="L47" s="824"/>
      <c r="M47" s="1550"/>
      <c r="N47" s="824"/>
      <c r="O47" s="1550"/>
      <c r="P47" s="824"/>
      <c r="Q47" s="1550"/>
      <c r="R47" s="824"/>
      <c r="S47" s="1550"/>
      <c r="T47" s="824"/>
      <c r="U47" s="1550"/>
      <c r="V47" s="824"/>
      <c r="W47" s="1550"/>
      <c r="X47" s="824"/>
      <c r="Y47" s="1550"/>
      <c r="Z47" s="824"/>
      <c r="AA47" s="1550"/>
      <c r="AB47" s="824"/>
      <c r="AC47" s="1550"/>
      <c r="AD47" s="824"/>
      <c r="AE47" s="1550"/>
      <c r="AF47" s="824"/>
      <c r="AG47" s="840"/>
      <c r="AH47" s="824"/>
      <c r="AI47" s="840"/>
      <c r="AJ47" s="824"/>
      <c r="AK47" s="1550"/>
      <c r="AL47" s="824"/>
      <c r="AM47" s="1550"/>
      <c r="AN47" s="824"/>
      <c r="AO47" s="1550"/>
      <c r="AP47" s="824"/>
      <c r="AQ47" s="1550"/>
    </row>
    <row r="48" spans="1:43">
      <c r="A48" s="1552" t="s">
        <v>1403</v>
      </c>
      <c r="B48" s="1545"/>
      <c r="C48" s="1550"/>
      <c r="D48" s="824"/>
      <c r="E48" s="1550"/>
      <c r="F48" s="824"/>
      <c r="G48" s="1550"/>
      <c r="H48" s="824"/>
      <c r="I48" s="1550"/>
      <c r="J48" s="824"/>
      <c r="K48" s="1550"/>
      <c r="L48" s="824"/>
      <c r="M48" s="1550"/>
      <c r="N48" s="824"/>
      <c r="O48" s="1550"/>
      <c r="P48" s="824"/>
      <c r="Q48" s="1550"/>
      <c r="R48" s="824"/>
      <c r="S48" s="1550"/>
      <c r="T48" s="824"/>
      <c r="U48" s="1550"/>
      <c r="V48" s="824"/>
      <c r="W48" s="1550"/>
      <c r="X48" s="824"/>
      <c r="Y48" s="1550"/>
      <c r="Z48" s="824"/>
      <c r="AA48" s="1550"/>
      <c r="AB48" s="824"/>
      <c r="AC48" s="1550"/>
      <c r="AD48" s="824"/>
      <c r="AE48" s="1550"/>
      <c r="AF48" s="824"/>
      <c r="AG48" s="840"/>
      <c r="AH48" s="824"/>
      <c r="AI48" s="840"/>
      <c r="AJ48" s="824"/>
      <c r="AK48" s="1550"/>
      <c r="AL48" s="824"/>
      <c r="AM48" s="1550"/>
      <c r="AN48" s="824"/>
      <c r="AO48" s="1550"/>
      <c r="AP48" s="824"/>
      <c r="AQ48" s="1550"/>
    </row>
    <row r="49" spans="1:43" ht="16.5" customHeight="1">
      <c r="A49" s="1545" t="s">
        <v>1404</v>
      </c>
      <c r="B49" s="1545" t="s">
        <v>6</v>
      </c>
      <c r="C49" s="1550">
        <v>10714</v>
      </c>
      <c r="D49" s="824"/>
      <c r="E49" s="1550">
        <v>1318</v>
      </c>
      <c r="F49" s="824"/>
      <c r="G49" s="1550">
        <f>SUM(C49+E49)</f>
        <v>12032</v>
      </c>
      <c r="H49" s="824" t="s">
        <v>6</v>
      </c>
      <c r="I49" s="1550">
        <v>11058</v>
      </c>
      <c r="J49" s="824"/>
      <c r="K49" s="1550">
        <v>775</v>
      </c>
      <c r="L49" s="824"/>
      <c r="M49" s="1550">
        <f>SUM(I49+K49)</f>
        <v>11833</v>
      </c>
      <c r="N49" s="824" t="s">
        <v>6</v>
      </c>
      <c r="O49" s="1550">
        <v>2275</v>
      </c>
      <c r="P49" s="824"/>
      <c r="Q49" s="1550">
        <v>411</v>
      </c>
      <c r="R49" s="824"/>
      <c r="S49" s="1550">
        <f>SUM(O49+Q49)</f>
        <v>2686</v>
      </c>
      <c r="T49" s="824" t="s">
        <v>6</v>
      </c>
      <c r="U49" s="1550">
        <v>2100</v>
      </c>
      <c r="V49" s="824"/>
      <c r="W49" s="1550">
        <v>299</v>
      </c>
      <c r="X49" s="824"/>
      <c r="Y49" s="1550">
        <f>SUM(U49+W49)</f>
        <v>2399</v>
      </c>
      <c r="Z49" s="824" t="s">
        <v>6</v>
      </c>
      <c r="AA49" s="1550">
        <v>690</v>
      </c>
      <c r="AB49" s="824"/>
      <c r="AC49" s="1550">
        <v>195</v>
      </c>
      <c r="AD49" s="824"/>
      <c r="AE49" s="1550">
        <f>SUM(AA49+AC49)</f>
        <v>885</v>
      </c>
      <c r="AF49" s="824" t="s">
        <v>6</v>
      </c>
      <c r="AG49" s="1550">
        <v>3435</v>
      </c>
      <c r="AH49" s="1565"/>
      <c r="AI49" s="1550">
        <v>1154</v>
      </c>
      <c r="AJ49" s="824"/>
      <c r="AK49" s="1550">
        <f>SUM(AG49+AI49)</f>
        <v>4589</v>
      </c>
      <c r="AL49" s="824" t="s">
        <v>6</v>
      </c>
      <c r="AM49" s="1550">
        <f>C49+I49+O49+U49+AA49+AG49</f>
        <v>30272</v>
      </c>
      <c r="AN49" s="1571"/>
      <c r="AO49" s="1550">
        <f>E49+K49+Q49+W49+AC49+AI49</f>
        <v>4152</v>
      </c>
      <c r="AP49" s="824"/>
      <c r="AQ49" s="1550">
        <f>SUM(AM49+AO49)</f>
        <v>34424</v>
      </c>
    </row>
    <row r="50" spans="1:43" ht="16.5" customHeight="1">
      <c r="A50" s="1545" t="s">
        <v>1405</v>
      </c>
      <c r="B50" s="1545" t="s">
        <v>6</v>
      </c>
      <c r="C50" s="1556">
        <v>3265</v>
      </c>
      <c r="D50" s="824"/>
      <c r="E50" s="1556">
        <v>698</v>
      </c>
      <c r="F50" s="824"/>
      <c r="G50" s="1550">
        <f>SUM(C50+E50)</f>
        <v>3963</v>
      </c>
      <c r="H50" s="824"/>
      <c r="I50" s="1556">
        <v>3405</v>
      </c>
      <c r="J50" s="824"/>
      <c r="K50" s="1556">
        <v>548</v>
      </c>
      <c r="L50" s="824"/>
      <c r="M50" s="1550">
        <f>SUM(I50+K50)</f>
        <v>3953</v>
      </c>
      <c r="N50" s="824"/>
      <c r="O50" s="1556">
        <v>2915</v>
      </c>
      <c r="P50" s="824"/>
      <c r="Q50" s="1556">
        <v>392</v>
      </c>
      <c r="R50" s="824"/>
      <c r="S50" s="1550">
        <f>SUM(O50+Q50)</f>
        <v>3307</v>
      </c>
      <c r="T50" s="824"/>
      <c r="U50" s="1556">
        <v>2675</v>
      </c>
      <c r="V50" s="824"/>
      <c r="W50" s="1556">
        <v>252</v>
      </c>
      <c r="X50" s="824"/>
      <c r="Y50" s="1550">
        <f>SUM(U50+W50)</f>
        <v>2927</v>
      </c>
      <c r="Z50" s="824"/>
      <c r="AA50" s="1556">
        <v>1640</v>
      </c>
      <c r="AB50" s="824"/>
      <c r="AC50" s="1556">
        <v>126</v>
      </c>
      <c r="AD50" s="824"/>
      <c r="AE50" s="1550">
        <f>SUM(AA50+AC50)</f>
        <v>1766</v>
      </c>
      <c r="AF50" s="824"/>
      <c r="AG50" s="1550">
        <v>1835</v>
      </c>
      <c r="AH50" s="824"/>
      <c r="AI50" s="1556">
        <v>253</v>
      </c>
      <c r="AJ50" s="824"/>
      <c r="AK50" s="1550">
        <f>SUM(AG50+AI50)</f>
        <v>2088</v>
      </c>
      <c r="AL50" s="824"/>
      <c r="AM50" s="1550">
        <f>C50+I50+O50+U50+AA50+AG50</f>
        <v>15735</v>
      </c>
      <c r="AN50" s="1571"/>
      <c r="AO50" s="1550">
        <f>E50+K50+Q50+W50+AC50+AI50</f>
        <v>2269</v>
      </c>
      <c r="AP50" s="824"/>
      <c r="AQ50" s="1550">
        <f>SUM(AM50+AO50)</f>
        <v>18004</v>
      </c>
    </row>
    <row r="51" spans="1:43" ht="16.5" customHeight="1">
      <c r="A51" s="1545" t="s">
        <v>1406</v>
      </c>
      <c r="B51" s="1545" t="s">
        <v>6</v>
      </c>
      <c r="C51" s="1550">
        <v>401707</v>
      </c>
      <c r="D51" s="824"/>
      <c r="E51" s="1550">
        <v>138527</v>
      </c>
      <c r="F51" s="824"/>
      <c r="G51" s="1550">
        <f>SUM(C51+E51)</f>
        <v>540234</v>
      </c>
      <c r="H51" s="824"/>
      <c r="I51" s="1550">
        <v>402375</v>
      </c>
      <c r="J51" s="824"/>
      <c r="K51" s="1550">
        <v>124499</v>
      </c>
      <c r="L51" s="824"/>
      <c r="M51" s="1550">
        <f>SUM(I51+K51)</f>
        <v>526874</v>
      </c>
      <c r="N51" s="824"/>
      <c r="O51" s="1550">
        <v>423585</v>
      </c>
      <c r="P51" s="824"/>
      <c r="Q51" s="1550">
        <v>109936</v>
      </c>
      <c r="R51" s="824"/>
      <c r="S51" s="1550">
        <f>SUM(O51+Q51)</f>
        <v>533521</v>
      </c>
      <c r="T51" s="824"/>
      <c r="U51" s="1550">
        <v>366220</v>
      </c>
      <c r="V51" s="824"/>
      <c r="W51" s="1550">
        <v>93352</v>
      </c>
      <c r="X51" s="824"/>
      <c r="Y51" s="1550">
        <f>SUM(U51+W51)</f>
        <v>459572</v>
      </c>
      <c r="Z51" s="824"/>
      <c r="AA51" s="1550">
        <v>279260</v>
      </c>
      <c r="AB51" s="824"/>
      <c r="AC51" s="1550">
        <v>78992</v>
      </c>
      <c r="AD51" s="824"/>
      <c r="AE51" s="1550">
        <f>SUM(AA51+AC51)</f>
        <v>358252</v>
      </c>
      <c r="AF51" s="824"/>
      <c r="AG51" s="1550">
        <v>1366570</v>
      </c>
      <c r="AH51" s="1565"/>
      <c r="AI51" s="1550">
        <v>411480</v>
      </c>
      <c r="AJ51" s="824"/>
      <c r="AK51" s="1550">
        <f>SUM(AG51+AI51)</f>
        <v>1778050</v>
      </c>
      <c r="AL51" s="824"/>
      <c r="AM51" s="1550">
        <f>C51+I51+O51+U51+AA51+AG51</f>
        <v>3239717</v>
      </c>
      <c r="AN51" s="1571"/>
      <c r="AO51" s="1550">
        <f>E51+K51+Q51+W51+AC51+AI51</f>
        <v>956786</v>
      </c>
      <c r="AP51" s="824"/>
      <c r="AQ51" s="1550">
        <f>SUM(AM51+AO51)</f>
        <v>4196503</v>
      </c>
    </row>
    <row r="52" spans="1:43">
      <c r="E52" s="1557"/>
      <c r="G52" s="1557"/>
      <c r="I52" s="1557"/>
      <c r="K52" s="1557"/>
      <c r="M52" s="1557"/>
      <c r="O52" s="519"/>
      <c r="P52" s="815"/>
      <c r="Q52" s="519"/>
      <c r="R52" s="815"/>
      <c r="S52" s="519"/>
      <c r="T52" s="815"/>
      <c r="U52" s="519"/>
      <c r="V52" s="815"/>
      <c r="W52" s="519"/>
      <c r="X52" s="815"/>
      <c r="Y52" s="519"/>
      <c r="Z52" s="815"/>
      <c r="AA52" s="519"/>
      <c r="AB52" s="815"/>
      <c r="AC52" s="519"/>
      <c r="AD52" s="815"/>
      <c r="AE52" s="519"/>
      <c r="AF52" s="815"/>
      <c r="AG52" s="519"/>
      <c r="AH52" s="815"/>
      <c r="AI52" s="519"/>
      <c r="AJ52" s="815"/>
      <c r="AK52" s="519"/>
      <c r="AL52" s="815"/>
      <c r="AM52" s="519"/>
      <c r="AN52" s="815"/>
      <c r="AO52" s="519"/>
      <c r="AP52" s="815"/>
      <c r="AQ52" s="519"/>
    </row>
    <row r="53" spans="1:43" s="1538" customFormat="1" ht="20.25" customHeight="1" thickBot="1">
      <c r="A53" s="1558" t="s">
        <v>1407</v>
      </c>
      <c r="B53" s="1559" t="s">
        <v>6</v>
      </c>
      <c r="C53" s="1560">
        <f>ROUND(SUM(C14:C51),1)</f>
        <v>3292727</v>
      </c>
      <c r="D53" s="1561" t="s">
        <v>6</v>
      </c>
      <c r="E53" s="1560">
        <f>ROUND(SUM(E14:E51),1)</f>
        <v>2297454</v>
      </c>
      <c r="F53" s="1561" t="s">
        <v>6</v>
      </c>
      <c r="G53" s="1560">
        <f>ROUND(SUM(G14:G51),1)</f>
        <v>5590181</v>
      </c>
      <c r="H53" s="1561" t="s">
        <v>6</v>
      </c>
      <c r="I53" s="1560">
        <f>ROUND(SUM(I14:I51),1)</f>
        <v>3354188</v>
      </c>
      <c r="J53" s="1561" t="s">
        <v>6</v>
      </c>
      <c r="K53" s="1560">
        <f>ROUND(SUM(K14:K51),1)</f>
        <v>2144715</v>
      </c>
      <c r="L53" s="1561" t="s">
        <v>6</v>
      </c>
      <c r="M53" s="1560">
        <f>ROUND(SUM(M14:M51),1)</f>
        <v>5498903</v>
      </c>
      <c r="O53" s="1560">
        <f>ROUND(SUM(O14:O51),1)</f>
        <v>3185714</v>
      </c>
      <c r="P53" s="1574" t="s">
        <v>6</v>
      </c>
      <c r="Q53" s="1560">
        <f>ROUND(SUM(Q14:Q51),1)</f>
        <v>1988601</v>
      </c>
      <c r="R53" s="1574" t="s">
        <v>6</v>
      </c>
      <c r="S53" s="1560">
        <f>ROUND(SUM(S14:S51),1)</f>
        <v>5174315</v>
      </c>
      <c r="T53" s="1574" t="s">
        <v>6</v>
      </c>
      <c r="U53" s="1560">
        <f>ROUND(SUM(U14:U51),1)</f>
        <v>3065788</v>
      </c>
      <c r="V53" s="1574" t="s">
        <v>6</v>
      </c>
      <c r="W53" s="1560">
        <f>ROUND(SUM(W14:W51),1)</f>
        <v>1839674</v>
      </c>
      <c r="X53" s="1574" t="s">
        <v>6</v>
      </c>
      <c r="Y53" s="1560">
        <f>ROUND(SUM(Y14:Y51),1)</f>
        <v>4905462</v>
      </c>
      <c r="Z53" s="1574" t="s">
        <v>6</v>
      </c>
      <c r="AA53" s="1560">
        <f>ROUND(SUM(AA14:AA51),1)</f>
        <v>3618577</v>
      </c>
      <c r="AB53" s="1574" t="s">
        <v>6</v>
      </c>
      <c r="AC53" s="1560">
        <f>ROUND(SUM(AC14:AC51),1)</f>
        <v>1682510</v>
      </c>
      <c r="AD53" s="1574" t="s">
        <v>6</v>
      </c>
      <c r="AE53" s="1560">
        <f>ROUND(SUM(AE14:AE51),1)</f>
        <v>5301087</v>
      </c>
      <c r="AF53" s="1574" t="s">
        <v>6</v>
      </c>
      <c r="AG53" s="1560">
        <f>ROUND(SUM(AG14:AG51),1)</f>
        <v>30984769</v>
      </c>
      <c r="AH53" s="1574" t="s">
        <v>6</v>
      </c>
      <c r="AI53" s="1560">
        <f>ROUND(SUM(AI14:AI51),1)</f>
        <v>12531524</v>
      </c>
      <c r="AJ53" s="1574" t="s">
        <v>6</v>
      </c>
      <c r="AK53" s="1560">
        <f>ROUND(SUM(AK14:AK51),1)</f>
        <v>43516293</v>
      </c>
      <c r="AL53" s="1574" t="s">
        <v>6</v>
      </c>
      <c r="AM53" s="1560">
        <f>ROUND(SUM(AM14:AM51),1)</f>
        <v>47501763</v>
      </c>
      <c r="AN53" s="1574" t="s">
        <v>6</v>
      </c>
      <c r="AO53" s="1560">
        <f>ROUND(SUM(AO14:AO51),1)</f>
        <v>22484478</v>
      </c>
      <c r="AP53" s="1574" t="s">
        <v>6</v>
      </c>
      <c r="AQ53" s="1560">
        <f>ROUND(SUM(AQ14:AQ51),1)</f>
        <v>69986241</v>
      </c>
    </row>
    <row r="54" spans="1:43" ht="16" thickTop="1">
      <c r="C54" s="1562"/>
      <c r="E54" s="1562"/>
      <c r="G54" s="1562"/>
      <c r="I54" s="1562"/>
      <c r="K54" s="1562"/>
      <c r="M54" s="1562"/>
      <c r="O54" s="839"/>
      <c r="P54" s="824"/>
      <c r="Q54" s="839"/>
      <c r="R54" s="824"/>
      <c r="S54" s="839"/>
      <c r="T54" s="824"/>
      <c r="U54" s="839"/>
      <c r="V54" s="824"/>
      <c r="W54" s="839"/>
      <c r="X54" s="824"/>
      <c r="Y54" s="839"/>
      <c r="Z54" s="824"/>
      <c r="AA54" s="839"/>
      <c r="AB54" s="824"/>
      <c r="AC54" s="839"/>
      <c r="AD54" s="824"/>
      <c r="AE54" s="839"/>
      <c r="AF54" s="824"/>
      <c r="AG54" s="839"/>
      <c r="AH54" s="824"/>
      <c r="AI54" s="839"/>
      <c r="AJ54" s="824"/>
      <c r="AK54" s="839"/>
      <c r="AL54" s="824"/>
      <c r="AM54" s="839"/>
      <c r="AN54" s="824"/>
      <c r="AO54" s="839"/>
      <c r="AP54" s="824"/>
      <c r="AQ54" s="839"/>
    </row>
    <row r="55" spans="1:43">
      <c r="A55" s="1581" t="s">
        <v>1955</v>
      </c>
      <c r="AJ55" s="824"/>
      <c r="AK55" s="824"/>
      <c r="AL55" s="824"/>
      <c r="AM55" s="824"/>
      <c r="AN55" s="824"/>
      <c r="AO55" s="824"/>
      <c r="AP55" s="824"/>
      <c r="AQ55" s="824"/>
    </row>
    <row r="56" spans="1:43">
      <c r="A56" s="1579" t="s">
        <v>6</v>
      </c>
      <c r="AJ56" s="824"/>
      <c r="AK56" s="824"/>
      <c r="AL56" s="824"/>
      <c r="AM56" s="824"/>
      <c r="AN56" s="824"/>
      <c r="AO56" s="824"/>
      <c r="AP56" s="824"/>
      <c r="AQ56" s="824"/>
    </row>
    <row r="61" spans="1:43">
      <c r="A61" s="1564"/>
      <c r="C61" s="1555"/>
      <c r="E61" s="1555"/>
      <c r="G61" s="1555"/>
      <c r="I61" s="1555"/>
      <c r="K61" s="1555"/>
      <c r="M61" s="1555"/>
    </row>
    <row r="62" spans="1:43">
      <c r="A62" s="1564"/>
      <c r="C62" s="1565"/>
      <c r="D62" s="1545"/>
      <c r="E62" s="1565"/>
      <c r="F62" s="1545"/>
      <c r="G62" s="1565"/>
      <c r="I62" s="1555"/>
      <c r="K62" s="1555"/>
      <c r="M62" s="1555"/>
    </row>
    <row r="63" spans="1:43">
      <c r="A63" s="1564"/>
      <c r="C63" s="1566"/>
      <c r="E63" s="1566"/>
      <c r="G63" s="1566"/>
      <c r="I63" s="1566"/>
      <c r="K63" s="1566"/>
      <c r="M63" s="1566"/>
    </row>
    <row r="64" spans="1:43">
      <c r="A64" s="1564"/>
      <c r="C64" s="1555"/>
      <c r="E64" s="1555"/>
      <c r="G64" s="1555"/>
      <c r="I64" s="1555"/>
      <c r="K64" s="1555"/>
      <c r="M64" s="1555"/>
    </row>
    <row r="66" spans="1:1">
      <c r="A66" s="1563"/>
    </row>
  </sheetData>
  <mergeCells count="7">
    <mergeCell ref="O10:S10"/>
    <mergeCell ref="U10:Y10"/>
    <mergeCell ref="AG10:AK10"/>
    <mergeCell ref="AM10:AQ10"/>
    <mergeCell ref="C10:G10"/>
    <mergeCell ref="I10:M10"/>
    <mergeCell ref="AA10:AE10"/>
  </mergeCells>
  <printOptions horizontalCentered="1" verticalCentered="1"/>
  <pageMargins left="0.5" right="0.5" top="0.65" bottom="0.25" header="0.5" footer="0.25"/>
  <pageSetup scale="46" firstPageNumber="100" orientation="landscape" useFirstPageNumber="1"/>
  <headerFooter scaleWithDoc="0">
    <oddFooter>&amp;R&amp;8&amp;P</oddFooter>
    <firstFooter>&amp;R&amp;9 98</firstFooter>
  </headerFooter>
  <colBreaks count="1" manualBreakCount="1">
    <brk id="25" min="2" max="55" man="1"/>
  </col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36"/>
  <sheetViews>
    <sheetView showGridLines="0" zoomScale="80" zoomScaleNormal="80" zoomScalePageLayoutView="80" workbookViewId="0"/>
  </sheetViews>
  <sheetFormatPr baseColWidth="10" defaultColWidth="9.5703125" defaultRowHeight="17" x14ac:dyDescent="0"/>
  <cols>
    <col min="1" max="1" width="3.42578125" style="2055" customWidth="1"/>
    <col min="2" max="2" width="45.140625" style="2055" customWidth="1"/>
    <col min="3" max="3" width="1.42578125" style="2055" customWidth="1"/>
    <col min="4" max="4" width="10.85546875" style="2055" bestFit="1" customWidth="1"/>
    <col min="5" max="5" width="2" style="2055" bestFit="1" customWidth="1"/>
    <col min="6" max="6" width="10.85546875" style="2055" bestFit="1" customWidth="1"/>
    <col min="7" max="7" width="2" style="2055" bestFit="1" customWidth="1"/>
    <col min="8" max="8" width="10.85546875" style="2055" bestFit="1" customWidth="1"/>
    <col min="9" max="9" width="2" style="2055" bestFit="1" customWidth="1"/>
    <col min="10" max="10" width="10.85546875" style="2055" bestFit="1" customWidth="1"/>
    <col min="11" max="11" width="2" style="2055" bestFit="1" customWidth="1"/>
    <col min="12" max="12" width="10.85546875" style="2055" bestFit="1" customWidth="1"/>
    <col min="13" max="13" width="2" style="2055" bestFit="1" customWidth="1"/>
    <col min="14" max="14" width="10.85546875" style="2055" bestFit="1" customWidth="1"/>
    <col min="15" max="15" width="2" style="2055" bestFit="1" customWidth="1"/>
    <col min="16" max="16" width="10.85546875" style="2055" bestFit="1" customWidth="1"/>
    <col min="17" max="17" width="2" style="2055" bestFit="1" customWidth="1"/>
    <col min="18" max="18" width="10.85546875" style="2055" bestFit="1" customWidth="1"/>
    <col min="19" max="19" width="2" style="2055" bestFit="1" customWidth="1"/>
    <col min="20" max="20" width="10.85546875" style="2055" bestFit="1" customWidth="1"/>
    <col min="21" max="21" width="1.5703125" style="2055" customWidth="1"/>
    <col min="22" max="22" width="10.85546875" style="2055" bestFit="1" customWidth="1"/>
    <col min="23" max="23" width="1.5703125" style="2055" customWidth="1"/>
    <col min="24" max="16384" width="9.5703125" style="2055"/>
  </cols>
  <sheetData>
    <row r="1" spans="1:22">
      <c r="A1" s="1582" t="s">
        <v>1443</v>
      </c>
    </row>
    <row r="3" spans="1:22">
      <c r="A3" s="2061" t="s">
        <v>0</v>
      </c>
      <c r="C3" s="2056"/>
      <c r="D3" s="2056"/>
      <c r="E3" s="2056"/>
      <c r="F3" s="2056"/>
      <c r="G3" s="2056"/>
      <c r="H3" s="2056"/>
      <c r="I3" s="2056"/>
      <c r="J3" s="2056"/>
      <c r="K3" s="2056"/>
      <c r="L3" s="2056"/>
      <c r="M3" s="2056"/>
      <c r="N3" s="2056"/>
      <c r="O3" s="2056"/>
      <c r="P3" s="2056"/>
      <c r="Q3" s="2097"/>
      <c r="R3" s="2097"/>
      <c r="S3" s="2097"/>
      <c r="T3" s="2097"/>
      <c r="U3" s="2097"/>
      <c r="V3" s="2062"/>
    </row>
    <row r="4" spans="1:22">
      <c r="A4" s="2060" t="s">
        <v>2468</v>
      </c>
      <c r="C4" s="2056"/>
      <c r="D4" s="2056"/>
      <c r="E4" s="2056"/>
      <c r="F4" s="2056"/>
      <c r="G4" s="2056"/>
      <c r="H4" s="2056"/>
      <c r="I4" s="2056"/>
      <c r="J4" s="2056"/>
      <c r="K4" s="2056"/>
      <c r="L4" s="2056"/>
      <c r="M4" s="2056"/>
      <c r="N4" s="2062"/>
      <c r="O4" s="2056"/>
      <c r="P4" s="2099"/>
      <c r="Q4" s="2100"/>
      <c r="R4" s="2100"/>
      <c r="S4" s="2099"/>
      <c r="T4" s="2436" t="s">
        <v>734</v>
      </c>
      <c r="U4" s="2437"/>
      <c r="V4" s="2437"/>
    </row>
    <row r="5" spans="1:22">
      <c r="A5" s="2095" t="s">
        <v>2591</v>
      </c>
      <c r="C5" s="2056"/>
      <c r="D5" s="2056"/>
      <c r="E5" s="2056"/>
      <c r="F5" s="2056"/>
      <c r="G5" s="2056"/>
      <c r="H5" s="2056"/>
      <c r="I5" s="2056"/>
      <c r="J5" s="2056"/>
      <c r="K5" s="2056"/>
      <c r="L5" s="2056"/>
      <c r="M5" s="2056"/>
      <c r="N5" s="2056"/>
      <c r="O5" s="2056"/>
      <c r="P5" s="2056"/>
      <c r="Q5" s="2062"/>
      <c r="R5" s="2062"/>
      <c r="S5" s="2062"/>
    </row>
    <row r="6" spans="1:22">
      <c r="A6" s="2098" t="s">
        <v>735</v>
      </c>
      <c r="C6" s="2056"/>
      <c r="D6" s="2056"/>
      <c r="E6" s="2056"/>
      <c r="F6" s="2056"/>
      <c r="G6" s="2056"/>
      <c r="H6" s="2056"/>
      <c r="I6" s="2056"/>
      <c r="J6" s="2056"/>
      <c r="K6" s="2056"/>
      <c r="L6" s="2056"/>
      <c r="M6" s="2056"/>
      <c r="N6" s="2056"/>
      <c r="O6" s="2056"/>
      <c r="P6" s="2056"/>
      <c r="Q6" s="2062"/>
      <c r="R6" s="2062"/>
      <c r="S6" s="2062"/>
      <c r="T6" s="2062"/>
      <c r="U6" s="2097"/>
      <c r="V6" s="2062"/>
    </row>
    <row r="7" spans="1:22">
      <c r="A7" s="2095"/>
      <c r="C7" s="2056"/>
      <c r="D7" s="2056"/>
      <c r="E7" s="2056"/>
      <c r="F7" s="2056"/>
      <c r="G7" s="2056"/>
      <c r="H7" s="2056"/>
      <c r="I7" s="2056"/>
      <c r="J7" s="2056"/>
      <c r="K7" s="2056"/>
      <c r="L7" s="2056"/>
      <c r="M7" s="2056"/>
      <c r="N7" s="2056"/>
      <c r="O7" s="2056"/>
      <c r="P7" s="2056"/>
      <c r="Q7" s="2062"/>
      <c r="R7" s="2062"/>
      <c r="S7" s="2062"/>
      <c r="T7" s="2062"/>
      <c r="U7" s="2097"/>
      <c r="V7" s="2062"/>
    </row>
    <row r="8" spans="1:22">
      <c r="A8" s="2095"/>
      <c r="C8" s="2056"/>
      <c r="D8" s="2056"/>
      <c r="E8" s="2056"/>
      <c r="F8" s="2056"/>
      <c r="G8" s="2056"/>
      <c r="H8" s="2056"/>
      <c r="I8" s="2056"/>
      <c r="J8" s="2056"/>
      <c r="K8" s="2056"/>
      <c r="L8" s="2056"/>
      <c r="M8" s="2056"/>
      <c r="N8" s="2056"/>
      <c r="O8" s="2056"/>
      <c r="P8" s="2056"/>
      <c r="Q8" s="2062"/>
      <c r="R8" s="2062"/>
      <c r="S8" s="2062"/>
      <c r="T8" s="2062"/>
      <c r="U8" s="2097"/>
      <c r="V8" s="2062"/>
    </row>
    <row r="9" spans="1:22" ht="15" customHeight="1">
      <c r="C9" s="2056"/>
      <c r="D9" s="2056"/>
      <c r="E9" s="2056"/>
      <c r="F9" s="2056"/>
      <c r="G9" s="2056"/>
      <c r="H9" s="2056"/>
      <c r="I9" s="2056"/>
      <c r="J9" s="2056"/>
      <c r="K9" s="2056"/>
      <c r="L9" s="2056"/>
      <c r="M9" s="2056"/>
      <c r="N9" s="2056"/>
      <c r="O9" s="2056"/>
      <c r="P9" s="2056"/>
      <c r="Q9" s="2062"/>
      <c r="R9" s="2062"/>
      <c r="S9" s="2062"/>
      <c r="T9" s="2062"/>
      <c r="U9" s="2097"/>
      <c r="V9" s="2062"/>
    </row>
    <row r="10" spans="1:22">
      <c r="B10" s="2061"/>
      <c r="C10" s="2056"/>
      <c r="D10" s="2056"/>
      <c r="E10" s="2056"/>
      <c r="F10" s="2056"/>
      <c r="G10" s="2056"/>
      <c r="H10" s="2056"/>
      <c r="I10" s="2056"/>
      <c r="J10" s="2056"/>
      <c r="K10" s="2056"/>
      <c r="L10" s="2056"/>
      <c r="M10" s="2056"/>
      <c r="N10" s="2056"/>
      <c r="O10" s="2056"/>
      <c r="P10" s="2056"/>
      <c r="Q10" s="2062"/>
      <c r="R10" s="2062"/>
      <c r="S10" s="2062"/>
      <c r="T10" s="2062"/>
      <c r="U10" s="2097"/>
      <c r="V10" s="2062"/>
    </row>
    <row r="11" spans="1:22">
      <c r="B11" s="2061"/>
      <c r="C11" s="2056"/>
      <c r="D11" s="2056"/>
      <c r="E11" s="2056"/>
      <c r="F11" s="2056"/>
      <c r="G11" s="2056"/>
      <c r="H11" s="2056"/>
      <c r="I11" s="2056"/>
      <c r="J11" s="2056"/>
      <c r="K11" s="2056"/>
      <c r="L11" s="2056"/>
      <c r="M11" s="2056"/>
      <c r="N11" s="2056"/>
      <c r="O11" s="2056"/>
      <c r="P11" s="2056"/>
      <c r="Q11" s="2062"/>
      <c r="R11" s="2062"/>
      <c r="S11" s="2062"/>
      <c r="T11" s="2062"/>
      <c r="U11" s="2097"/>
      <c r="V11" s="2062"/>
    </row>
    <row r="12" spans="1:22">
      <c r="C12" s="2056"/>
      <c r="D12" s="2096" t="s">
        <v>91</v>
      </c>
      <c r="F12" s="2096" t="s">
        <v>92</v>
      </c>
      <c r="H12" s="2096" t="s">
        <v>93</v>
      </c>
      <c r="I12" s="2093"/>
      <c r="J12" s="2096" t="s">
        <v>94</v>
      </c>
      <c r="K12" s="2093"/>
      <c r="L12" s="2096" t="s">
        <v>95</v>
      </c>
      <c r="N12" s="2096" t="s">
        <v>96</v>
      </c>
      <c r="P12" s="2096" t="s">
        <v>10</v>
      </c>
      <c r="R12" s="2096" t="s">
        <v>9</v>
      </c>
      <c r="T12" s="2096" t="s">
        <v>1917</v>
      </c>
      <c r="V12" s="2096" t="s">
        <v>2584</v>
      </c>
    </row>
    <row r="13" spans="1:22" s="2062" customFormat="1">
      <c r="A13" s="2055"/>
      <c r="B13" s="2095"/>
      <c r="C13" s="2056"/>
      <c r="D13" s="2061"/>
      <c r="E13" s="2061"/>
      <c r="F13" s="2061"/>
      <c r="G13" s="2061"/>
      <c r="H13" s="2055"/>
      <c r="I13" s="2055"/>
      <c r="J13" s="2055"/>
      <c r="K13" s="2055"/>
      <c r="L13" s="2055"/>
      <c r="M13" s="2055"/>
      <c r="N13" s="2055"/>
      <c r="O13" s="2055"/>
      <c r="P13" s="2093"/>
      <c r="Q13" s="2055"/>
      <c r="R13" s="2093"/>
      <c r="S13" s="2055"/>
      <c r="T13" s="2093"/>
    </row>
    <row r="14" spans="1:22" s="2062" customFormat="1">
      <c r="A14" s="2094" t="s">
        <v>2467</v>
      </c>
      <c r="C14" s="2056"/>
      <c r="D14" s="2061"/>
      <c r="E14" s="2061"/>
      <c r="F14" s="2061"/>
      <c r="G14" s="2061"/>
      <c r="H14" s="2055"/>
      <c r="I14" s="2055"/>
      <c r="J14" s="2055"/>
      <c r="K14" s="2055"/>
      <c r="L14" s="2055"/>
      <c r="M14" s="2055"/>
      <c r="N14" s="2055"/>
      <c r="O14" s="2055"/>
      <c r="P14" s="2093"/>
      <c r="Q14" s="2055"/>
      <c r="R14" s="2093"/>
      <c r="S14" s="2055"/>
      <c r="T14" s="2093"/>
    </row>
    <row r="15" spans="1:22" s="2062" customFormat="1" ht="27.75" customHeight="1">
      <c r="A15" s="2092" t="s">
        <v>2466</v>
      </c>
      <c r="B15" s="2055"/>
      <c r="C15" s="2056" t="s">
        <v>6</v>
      </c>
      <c r="D15" s="2091">
        <f>'SCH 21a'!E18</f>
        <v>3302</v>
      </c>
      <c r="E15" s="2091" t="s">
        <v>6</v>
      </c>
      <c r="F15" s="2091">
        <f>'SCH 21a'!G18</f>
        <v>3221</v>
      </c>
      <c r="G15" s="2091" t="s">
        <v>6</v>
      </c>
      <c r="H15" s="2091">
        <f>'SCH 21a'!I18</f>
        <v>3323</v>
      </c>
      <c r="I15" s="2091" t="s">
        <v>6</v>
      </c>
      <c r="J15" s="2091">
        <f>'SCH 21a'!K18</f>
        <v>3400</v>
      </c>
      <c r="K15" s="2091" t="s">
        <v>6</v>
      </c>
      <c r="L15" s="2091">
        <f>'SCH 21a'!M18</f>
        <v>3525</v>
      </c>
      <c r="M15" s="2091" t="s">
        <v>6</v>
      </c>
      <c r="N15" s="2091">
        <f>'SCH 21a'!O18</f>
        <v>3494</v>
      </c>
      <c r="O15" s="2091" t="s">
        <v>6</v>
      </c>
      <c r="P15" s="2091">
        <f>'SCH 21a'!Q18</f>
        <v>3524</v>
      </c>
      <c r="Q15" s="2091" t="s">
        <v>6</v>
      </c>
      <c r="R15" s="2091">
        <f>'SCH 21a'!S18</f>
        <v>3191</v>
      </c>
      <c r="S15" s="2091" t="s">
        <v>6</v>
      </c>
      <c r="T15" s="2091">
        <f>'SCH 21a'!U18</f>
        <v>3018</v>
      </c>
      <c r="U15" s="2091" t="s">
        <v>6</v>
      </c>
      <c r="V15" s="2091">
        <f>'SCH 21a'!W18</f>
        <v>2727</v>
      </c>
    </row>
    <row r="16" spans="1:22" s="2088" customFormat="1" ht="27" customHeight="1">
      <c r="A16" s="2090" t="s">
        <v>2465</v>
      </c>
      <c r="C16" s="2089" t="s">
        <v>6</v>
      </c>
      <c r="D16" s="2066">
        <f>'SCH 21a'!E23</f>
        <v>56</v>
      </c>
      <c r="E16" s="2066" t="s">
        <v>6</v>
      </c>
      <c r="F16" s="2066">
        <f>'SCH 21a'!G23</f>
        <v>38</v>
      </c>
      <c r="G16" s="2066" t="s">
        <v>6</v>
      </c>
      <c r="H16" s="2066">
        <f>'SCH 21a'!I23</f>
        <v>19</v>
      </c>
      <c r="I16" s="2066" t="s">
        <v>6</v>
      </c>
      <c r="J16" s="2066">
        <f>'SCH 21a'!K23</f>
        <v>0</v>
      </c>
      <c r="K16" s="2066" t="s">
        <v>6</v>
      </c>
      <c r="L16" s="2066">
        <f>'SCH 21a'!M23</f>
        <v>0</v>
      </c>
      <c r="M16" s="2066" t="s">
        <v>6</v>
      </c>
      <c r="N16" s="2066">
        <f>'SCH 21a'!O23</f>
        <v>0</v>
      </c>
      <c r="O16" s="2066" t="s">
        <v>6</v>
      </c>
      <c r="P16" s="2066">
        <f>'SCH 21a'!Q23</f>
        <v>0</v>
      </c>
      <c r="Q16" s="2066" t="s">
        <v>6</v>
      </c>
      <c r="R16" s="2066">
        <f>'SCH 21a'!S23</f>
        <v>0</v>
      </c>
      <c r="S16" s="2066" t="s">
        <v>6</v>
      </c>
      <c r="T16" s="2066">
        <f>'SCH 21a'!U23</f>
        <v>0</v>
      </c>
      <c r="U16" s="2066" t="s">
        <v>6</v>
      </c>
      <c r="V16" s="2066">
        <f>'SCH 21a'!W23</f>
        <v>0</v>
      </c>
    </row>
    <row r="17" spans="1:24" s="2083" customFormat="1" ht="27.75" customHeight="1">
      <c r="A17" s="2055" t="s">
        <v>2464</v>
      </c>
      <c r="C17" s="2082" t="s">
        <v>6</v>
      </c>
      <c r="D17" s="2085"/>
      <c r="E17" s="2085"/>
      <c r="F17" s="2085"/>
      <c r="G17" s="2085"/>
      <c r="H17" s="2085"/>
      <c r="I17" s="2085"/>
      <c r="J17" s="2085"/>
      <c r="K17" s="2085"/>
      <c r="L17" s="2085"/>
      <c r="M17" s="2087"/>
      <c r="N17" s="2085"/>
      <c r="O17" s="2087"/>
      <c r="P17" s="2085"/>
      <c r="Q17" s="2087"/>
      <c r="R17" s="2085"/>
      <c r="S17" s="2087"/>
      <c r="T17" s="2085"/>
      <c r="U17" s="2086"/>
      <c r="V17" s="2085"/>
    </row>
    <row r="18" spans="1:24" s="2083" customFormat="1" ht="27.75" customHeight="1">
      <c r="A18" s="2055" t="s">
        <v>2463</v>
      </c>
      <c r="C18" s="2082" t="s">
        <v>6</v>
      </c>
      <c r="D18" s="2084">
        <f>'SCH 21a'!E29</f>
        <v>39295</v>
      </c>
      <c r="E18" s="2072" t="s">
        <v>6</v>
      </c>
      <c r="F18" s="2084">
        <f>'SCH 21a'!G29</f>
        <v>41145</v>
      </c>
      <c r="G18" s="2072" t="s">
        <v>6</v>
      </c>
      <c r="H18" s="2084">
        <f>'SCH 21a'!I29</f>
        <v>43636</v>
      </c>
      <c r="I18" s="2072" t="s">
        <v>6</v>
      </c>
      <c r="J18" s="2084">
        <f>'SCH 21a'!K29</f>
        <v>46923</v>
      </c>
      <c r="K18" s="2072" t="s">
        <v>6</v>
      </c>
      <c r="L18" s="2084">
        <f>'SCH 21a'!M29</f>
        <v>48091</v>
      </c>
      <c r="M18" s="2072" t="s">
        <v>6</v>
      </c>
      <c r="N18" s="2084">
        <f>'SCH 21a'!O29</f>
        <v>49279</v>
      </c>
      <c r="O18" s="2072" t="s">
        <v>6</v>
      </c>
      <c r="P18" s="2084">
        <f>'SCH 21a'!Q29</f>
        <v>49011</v>
      </c>
      <c r="Q18" s="2072" t="s">
        <v>6</v>
      </c>
      <c r="R18" s="2084">
        <f>'SCH 21a'!S29</f>
        <v>49268</v>
      </c>
      <c r="S18" s="2072" t="s">
        <v>6</v>
      </c>
      <c r="T18" s="2084">
        <f>'SCH 21a'!U29</f>
        <v>48849</v>
      </c>
      <c r="U18" s="2072" t="s">
        <v>6</v>
      </c>
      <c r="V18" s="2084">
        <f>'SCH 21a'!W29</f>
        <v>47502</v>
      </c>
    </row>
    <row r="19" spans="1:24" s="2080" customFormat="1" ht="27.75" customHeight="1">
      <c r="B19" s="2060" t="s">
        <v>2462</v>
      </c>
      <c r="C19" s="2082" t="s">
        <v>6</v>
      </c>
      <c r="D19" s="2068">
        <f>ROUND(SUM(D15:D18),0)</f>
        <v>42653</v>
      </c>
      <c r="E19" s="2068"/>
      <c r="F19" s="2068">
        <f>ROUND(SUM(F15:F18),0)</f>
        <v>44404</v>
      </c>
      <c r="G19" s="2068"/>
      <c r="H19" s="2068">
        <f>ROUND(SUM(H15:H18),0)</f>
        <v>46978</v>
      </c>
      <c r="I19" s="2068"/>
      <c r="J19" s="2068">
        <f>ROUND(SUM(J15:J18),0)</f>
        <v>50323</v>
      </c>
      <c r="K19" s="2068"/>
      <c r="L19" s="2068">
        <f>ROUND(SUM(L15:L18),0)</f>
        <v>51616</v>
      </c>
      <c r="M19" s="2068"/>
      <c r="N19" s="2068">
        <f>ROUND(SUM(N15:N18),0)</f>
        <v>52773</v>
      </c>
      <c r="O19" s="2081"/>
      <c r="P19" s="2068">
        <f>ROUND(SUM(P15:P18),0)</f>
        <v>52535</v>
      </c>
      <c r="Q19" s="2081"/>
      <c r="R19" s="2068">
        <f>ROUND(SUM(R15:R18),0)</f>
        <v>52459</v>
      </c>
      <c r="S19" s="2081"/>
      <c r="T19" s="2068">
        <f>ROUND(SUM(T15:T18),0)</f>
        <v>51867</v>
      </c>
      <c r="U19" s="2068"/>
      <c r="V19" s="2068">
        <f>ROUND(SUM(V15:V18),0)</f>
        <v>50229</v>
      </c>
    </row>
    <row r="20" spans="1:24" ht="20.25" customHeight="1">
      <c r="C20" s="2062"/>
      <c r="F20" s="2079"/>
      <c r="H20" s="2079"/>
      <c r="J20" s="2079"/>
      <c r="L20" s="2079"/>
      <c r="N20" s="2079"/>
      <c r="P20" s="2079"/>
      <c r="R20" s="2078"/>
      <c r="T20" s="2078"/>
    </row>
    <row r="21" spans="1:24" ht="20.25" customHeight="1">
      <c r="A21" s="2067" t="s">
        <v>2461</v>
      </c>
      <c r="C21" s="2062"/>
      <c r="F21" s="2079"/>
      <c r="H21" s="2079"/>
      <c r="J21" s="2079"/>
      <c r="L21" s="2079"/>
      <c r="N21" s="2079"/>
      <c r="P21" s="2079"/>
      <c r="R21" s="2078"/>
      <c r="T21" s="2078"/>
    </row>
    <row r="22" spans="1:24" ht="27" customHeight="1">
      <c r="A22" s="2055" t="s">
        <v>2460</v>
      </c>
      <c r="C22" s="2055" t="s">
        <v>6</v>
      </c>
      <c r="D22" s="2077">
        <f>'SCH 21b'!F24</f>
        <v>4084</v>
      </c>
      <c r="E22" s="2077" t="s">
        <v>6</v>
      </c>
      <c r="F22" s="2077">
        <f>'SCH 21b'!H24</f>
        <v>3870</v>
      </c>
      <c r="G22" s="2077" t="s">
        <v>6</v>
      </c>
      <c r="H22" s="2077">
        <f>'SCH 21b'!J24</f>
        <v>3588</v>
      </c>
      <c r="I22" s="2077" t="s">
        <v>6</v>
      </c>
      <c r="J22" s="2077">
        <f>'SCH 21b'!L24</f>
        <v>3257</v>
      </c>
      <c r="K22" s="2077" t="s">
        <v>6</v>
      </c>
      <c r="L22" s="2077">
        <f>'SCH 21b'!N24</f>
        <v>3012</v>
      </c>
      <c r="M22" s="2077" t="s">
        <v>6</v>
      </c>
      <c r="N22" s="2077">
        <f>'SCH 21b'!P24</f>
        <v>2690</v>
      </c>
      <c r="O22" s="2077" t="s">
        <v>6</v>
      </c>
      <c r="P22" s="2077">
        <f>'SCH 21b'!R24</f>
        <v>2411</v>
      </c>
      <c r="Q22" s="2077" t="s">
        <v>6</v>
      </c>
      <c r="R22" s="2077">
        <f>'SCH 21b'!T24</f>
        <v>2054</v>
      </c>
      <c r="S22" s="2077" t="s">
        <v>6</v>
      </c>
      <c r="T22" s="2077">
        <f>'SCH 21b'!V24</f>
        <v>1745</v>
      </c>
      <c r="U22" s="2077" t="s">
        <v>6</v>
      </c>
      <c r="V22" s="2077">
        <f>'SCH 21b'!X24</f>
        <v>1378</v>
      </c>
    </row>
    <row r="23" spans="1:24" s="2070" customFormat="1" ht="27" customHeight="1">
      <c r="A23" s="2070" t="s">
        <v>2459</v>
      </c>
      <c r="C23" s="2070" t="s">
        <v>6</v>
      </c>
      <c r="D23" s="2076">
        <f>'SCH 21b'!F29</f>
        <v>484</v>
      </c>
      <c r="E23" s="2076" t="s">
        <v>6</v>
      </c>
      <c r="F23" s="2076">
        <f>'SCH 21b'!H29</f>
        <v>464</v>
      </c>
      <c r="G23" s="2076" t="s">
        <v>6</v>
      </c>
      <c r="H23" s="2076">
        <f>'SCH 21b'!J29</f>
        <v>442</v>
      </c>
      <c r="I23" s="2076" t="s">
        <v>6</v>
      </c>
      <c r="J23" s="2076">
        <f>'SCH 21b'!L29</f>
        <v>419</v>
      </c>
      <c r="K23" s="2076" t="s">
        <v>6</v>
      </c>
      <c r="L23" s="2076">
        <f>'SCH 21b'!N29</f>
        <v>396</v>
      </c>
      <c r="M23" s="2076" t="s">
        <v>6</v>
      </c>
      <c r="N23" s="2076">
        <f>'SCH 21b'!P29</f>
        <v>368</v>
      </c>
      <c r="O23" s="2076" t="s">
        <v>6</v>
      </c>
      <c r="P23" s="2076">
        <f>'SCH 21b'!R29</f>
        <v>294</v>
      </c>
      <c r="Q23" s="2076" t="s">
        <v>6</v>
      </c>
      <c r="R23" s="2076">
        <f>'SCH 21b'!T29</f>
        <v>281</v>
      </c>
      <c r="S23" s="2076" t="s">
        <v>6</v>
      </c>
      <c r="T23" s="2076">
        <f>'SCH 21b'!V29</f>
        <v>263</v>
      </c>
      <c r="U23" s="2076" t="s">
        <v>6</v>
      </c>
      <c r="V23" s="2076">
        <f>'SCH 21b'!X29</f>
        <v>234</v>
      </c>
    </row>
    <row r="24" spans="1:24" ht="27" customHeight="1">
      <c r="A24" s="2055" t="s">
        <v>2458</v>
      </c>
      <c r="C24" s="2055" t="s">
        <v>6</v>
      </c>
      <c r="D24" s="2075">
        <f>'SCH 21b'!F34</f>
        <v>2457</v>
      </c>
      <c r="E24" s="2072" t="s">
        <v>6</v>
      </c>
      <c r="F24" s="2075">
        <f>'SCH 21b'!H34</f>
        <v>2407</v>
      </c>
      <c r="G24" s="2072" t="s">
        <v>6</v>
      </c>
      <c r="H24" s="2075">
        <f>'SCH 21b'!J34</f>
        <v>2355</v>
      </c>
      <c r="I24" s="2072" t="s">
        <v>6</v>
      </c>
      <c r="J24" s="2075">
        <f>'SCH 21b'!L34</f>
        <v>2302</v>
      </c>
      <c r="K24" s="2072" t="s">
        <v>6</v>
      </c>
      <c r="L24" s="2075">
        <f>'SCH 21b'!N34</f>
        <v>2246</v>
      </c>
      <c r="M24" s="2072" t="s">
        <v>6</v>
      </c>
      <c r="N24" s="2075">
        <f>'SCH 21b'!P34</f>
        <v>2188</v>
      </c>
      <c r="O24" s="2072" t="s">
        <v>6</v>
      </c>
      <c r="P24" s="2075">
        <f>'SCH 21b'!R34</f>
        <v>2127</v>
      </c>
      <c r="Q24" s="2072" t="s">
        <v>6</v>
      </c>
      <c r="R24" s="2075">
        <f>'SCH 21b'!T34</f>
        <v>2063</v>
      </c>
      <c r="S24" s="2072" t="s">
        <v>6</v>
      </c>
      <c r="T24" s="2075">
        <f>'SCH 21b'!V34</f>
        <v>1996</v>
      </c>
      <c r="U24" s="2072" t="s">
        <v>6</v>
      </c>
      <c r="V24" s="2075">
        <f>'SCH 21b'!X34</f>
        <v>1961</v>
      </c>
    </row>
    <row r="25" spans="1:24" ht="27" customHeight="1">
      <c r="A25" s="2055" t="s">
        <v>2562</v>
      </c>
      <c r="D25" s="2066">
        <f>'SCH 21b'!F39</f>
        <v>0</v>
      </c>
      <c r="E25" s="2066"/>
      <c r="F25" s="2066">
        <f>'SCH 21b'!H39</f>
        <v>0</v>
      </c>
      <c r="G25" s="2066"/>
      <c r="H25" s="2066">
        <f>'SCH 21b'!J39</f>
        <v>0</v>
      </c>
      <c r="I25" s="2066"/>
      <c r="J25" s="2066">
        <f>'SCH 21b'!L39</f>
        <v>0</v>
      </c>
      <c r="K25" s="2066"/>
      <c r="L25" s="2066">
        <f>'SCH 21b'!N39</f>
        <v>0</v>
      </c>
      <c r="M25" s="2066"/>
      <c r="N25" s="2066">
        <f>'SCH 21b'!P39</f>
        <v>0</v>
      </c>
      <c r="O25" s="2066"/>
      <c r="P25" s="2066">
        <f>'SCH 21b'!R39</f>
        <v>0</v>
      </c>
      <c r="Q25" s="2066"/>
      <c r="R25" s="2066">
        <f>'SCH 21b'!T39</f>
        <v>226</v>
      </c>
      <c r="S25" s="2072"/>
      <c r="T25" s="2075">
        <f>'SCH 21b'!V39</f>
        <v>204</v>
      </c>
      <c r="U25" s="2075"/>
      <c r="V25" s="2075">
        <f>'SCH 21b'!X39</f>
        <v>181</v>
      </c>
    </row>
    <row r="26" spans="1:24" ht="27" customHeight="1">
      <c r="A26" s="2055" t="s">
        <v>2563</v>
      </c>
      <c r="C26" s="2055" t="s">
        <v>6</v>
      </c>
      <c r="D26" s="2066">
        <f>'SCH 21b'!F44</f>
        <v>0</v>
      </c>
      <c r="E26" s="2066" t="s">
        <v>6</v>
      </c>
      <c r="F26" s="2066">
        <f>'SCH 21b'!H44</f>
        <v>0</v>
      </c>
      <c r="G26" s="2066" t="s">
        <v>6</v>
      </c>
      <c r="H26" s="2066">
        <f>'SCH 21b'!J44</f>
        <v>0</v>
      </c>
      <c r="I26" s="2066" t="s">
        <v>6</v>
      </c>
      <c r="J26" s="2066">
        <f>'SCH 21b'!L44</f>
        <v>0</v>
      </c>
      <c r="K26" s="2066" t="s">
        <v>6</v>
      </c>
      <c r="L26" s="2066">
        <f>'SCH 21b'!N44</f>
        <v>0</v>
      </c>
      <c r="M26" s="2066" t="s">
        <v>6</v>
      </c>
      <c r="N26" s="2066">
        <f>'SCH 21b'!P44</f>
        <v>0</v>
      </c>
      <c r="O26" s="2066" t="s">
        <v>6</v>
      </c>
      <c r="P26" s="2066">
        <f>'SCH 21b'!R44</f>
        <v>0</v>
      </c>
      <c r="Q26" s="2066" t="s">
        <v>6</v>
      </c>
      <c r="R26" s="2066">
        <f>'SCH 21b'!T44</f>
        <v>440</v>
      </c>
      <c r="S26" s="2066" t="s">
        <v>6</v>
      </c>
      <c r="T26" s="2066">
        <f>'SCH 21b'!V44</f>
        <v>437</v>
      </c>
      <c r="U26" s="2066" t="s">
        <v>6</v>
      </c>
      <c r="V26" s="2066">
        <f>'SCH 21b'!X44</f>
        <v>985</v>
      </c>
    </row>
    <row r="27" spans="1:24" s="2070" customFormat="1" ht="27.75" customHeight="1">
      <c r="A27" s="2070" t="s">
        <v>2457</v>
      </c>
      <c r="C27" s="2070" t="s">
        <v>6</v>
      </c>
      <c r="D27" s="2071">
        <f>'SCH 21b'!F49</f>
        <v>1300</v>
      </c>
      <c r="E27" s="2074"/>
      <c r="F27" s="2071">
        <f>'SCH 21b'!H49</f>
        <v>1300</v>
      </c>
      <c r="G27" s="2074"/>
      <c r="H27" s="2071">
        <f>'SCH 21b'!J49</f>
        <v>3651</v>
      </c>
      <c r="I27" s="2074"/>
      <c r="J27" s="2071">
        <f>'SCH 21b'!L49</f>
        <v>4221</v>
      </c>
      <c r="K27" s="2072"/>
      <c r="L27" s="2071">
        <f>'SCH 21b'!N49</f>
        <v>4430</v>
      </c>
      <c r="M27" s="2073"/>
      <c r="N27" s="2071">
        <f>'SCH 21b'!P49</f>
        <v>5309</v>
      </c>
      <c r="O27" s="2073"/>
      <c r="P27" s="2071">
        <f>'SCH 21b'!R49</f>
        <v>6149</v>
      </c>
      <c r="Q27" s="2073"/>
      <c r="R27" s="2071">
        <f>'SCH 21b'!T49</f>
        <v>6052</v>
      </c>
      <c r="S27" s="2072"/>
      <c r="T27" s="2071">
        <f>'SCH 21b'!V49</f>
        <v>6676</v>
      </c>
      <c r="U27" s="2072"/>
      <c r="V27" s="2071">
        <f>'SCH 21b'!X49</f>
        <v>8044</v>
      </c>
    </row>
    <row r="28" spans="1:24" s="2056" customFormat="1" ht="27" customHeight="1">
      <c r="A28" s="2061"/>
      <c r="B28" s="2060" t="s">
        <v>2456</v>
      </c>
      <c r="C28" s="2056" t="s">
        <v>6</v>
      </c>
      <c r="D28" s="2068">
        <f>ROUND(SUM(D19:D27),0)</f>
        <v>50978</v>
      </c>
      <c r="E28" s="2068"/>
      <c r="F28" s="2068">
        <f>ROUND(SUM(F19:F27),0)</f>
        <v>52445</v>
      </c>
      <c r="G28" s="2068"/>
      <c r="H28" s="2068">
        <f>ROUND(SUM(H19:H27),0)</f>
        <v>57014</v>
      </c>
      <c r="I28" s="2068"/>
      <c r="J28" s="2068">
        <f>ROUND(SUM(J19:J27),0)</f>
        <v>60522</v>
      </c>
      <c r="K28" s="2068"/>
      <c r="L28" s="2068">
        <f>ROUND(SUM(L19:L27),0)</f>
        <v>61700</v>
      </c>
      <c r="M28" s="2068"/>
      <c r="N28" s="2068">
        <f>ROUND(SUM(N19:N27),0)</f>
        <v>63328</v>
      </c>
      <c r="O28" s="2068"/>
      <c r="P28" s="2068">
        <f>ROUND(SUM(P19:P27),0)</f>
        <v>63516</v>
      </c>
      <c r="Q28" s="2068"/>
      <c r="R28" s="2068">
        <f>ROUND(SUM(R19:R27),0)</f>
        <v>63575</v>
      </c>
      <c r="S28" s="2068"/>
      <c r="T28" s="2068">
        <f>ROUND(SUM(T19:T27),0)</f>
        <v>63188</v>
      </c>
      <c r="U28" s="2069"/>
      <c r="V28" s="2068">
        <f>ROUND(SUM(V19:V27),0)</f>
        <v>63012</v>
      </c>
    </row>
    <row r="29" spans="1:24" ht="20.25" customHeight="1"/>
    <row r="30" spans="1:24" ht="20.25" customHeight="1">
      <c r="A30" s="2067" t="s">
        <v>2455</v>
      </c>
    </row>
    <row r="31" spans="1:24" s="2062" customFormat="1" ht="27.75" customHeight="1">
      <c r="A31" s="2055" t="s">
        <v>2454</v>
      </c>
      <c r="B31" s="2055"/>
      <c r="C31" s="2062" t="s">
        <v>6</v>
      </c>
      <c r="D31" s="2066">
        <f>'SCH 21c'!F24</f>
        <v>56</v>
      </c>
      <c r="E31" s="2066" t="s">
        <v>6</v>
      </c>
      <c r="F31" s="2066">
        <f>'SCH 21c'!H24</f>
        <v>50</v>
      </c>
      <c r="G31" s="2066" t="s">
        <v>6</v>
      </c>
      <c r="H31" s="2066">
        <f>'SCH 21c'!J24</f>
        <v>40</v>
      </c>
      <c r="I31" s="2066" t="s">
        <v>6</v>
      </c>
      <c r="J31" s="2066">
        <f>'SCH 21c'!L24</f>
        <v>30</v>
      </c>
      <c r="K31" s="2066" t="s">
        <v>6</v>
      </c>
      <c r="L31" s="2066">
        <f>'SCH 21c'!N24</f>
        <v>26</v>
      </c>
      <c r="M31" s="2066" t="s">
        <v>6</v>
      </c>
      <c r="N31" s="2066">
        <f>'SCH 21c'!P24</f>
        <v>20</v>
      </c>
      <c r="O31" s="2066" t="s">
        <v>6</v>
      </c>
      <c r="P31" s="2066">
        <f>'SCH 21c'!R24</f>
        <v>12</v>
      </c>
      <c r="Q31" s="2066" t="s">
        <v>6</v>
      </c>
      <c r="R31" s="2066">
        <f>'SCH 21c'!T24</f>
        <v>7</v>
      </c>
      <c r="S31" s="2066" t="s">
        <v>6</v>
      </c>
      <c r="T31" s="2066">
        <f>'SCH 21c'!V24</f>
        <v>2</v>
      </c>
      <c r="U31" s="2066" t="s">
        <v>6</v>
      </c>
      <c r="V31" s="2066">
        <f>'SCH 21c'!X24</f>
        <v>2</v>
      </c>
      <c r="W31" s="2055"/>
      <c r="X31" s="2055"/>
    </row>
    <row r="32" spans="1:24" s="2062" customFormat="1" ht="27.75" customHeight="1">
      <c r="A32" s="2055" t="s">
        <v>2685</v>
      </c>
      <c r="B32" s="2055"/>
      <c r="C32" s="2062" t="s">
        <v>6</v>
      </c>
      <c r="D32" s="2066">
        <f>'SCH 21c'!F29</f>
        <v>775</v>
      </c>
      <c r="E32" s="2066" t="s">
        <v>6</v>
      </c>
      <c r="F32" s="2066">
        <f>'SCH 21c'!H29</f>
        <v>713</v>
      </c>
      <c r="G32" s="2066" t="s">
        <v>6</v>
      </c>
      <c r="H32" s="2066">
        <f>'SCH 21c'!J29</f>
        <v>682</v>
      </c>
      <c r="I32" s="2066" t="s">
        <v>6</v>
      </c>
      <c r="J32" s="2066">
        <f>'SCH 21c'!L29</f>
        <v>637</v>
      </c>
      <c r="K32" s="2066" t="s">
        <v>6</v>
      </c>
      <c r="L32" s="2066">
        <f>'SCH 21c'!N29</f>
        <v>586</v>
      </c>
      <c r="M32" s="2066" t="s">
        <v>6</v>
      </c>
      <c r="N32" s="2066">
        <f>'SCH 21c'!P29</f>
        <v>503</v>
      </c>
      <c r="O32" s="2066" t="s">
        <v>6</v>
      </c>
      <c r="P32" s="2066">
        <f>'SCH 21c'!R29</f>
        <v>422</v>
      </c>
      <c r="Q32" s="2066" t="s">
        <v>6</v>
      </c>
      <c r="R32" s="2066">
        <f>'SCH 21c'!T29</f>
        <v>126</v>
      </c>
      <c r="S32" s="2066" t="s">
        <v>6</v>
      </c>
      <c r="T32" s="2066">
        <f>'SCH 21c'!V29</f>
        <v>100</v>
      </c>
      <c r="U32" s="2066" t="s">
        <v>6</v>
      </c>
      <c r="V32" s="2066">
        <f>'SCH 21c'!X29</f>
        <v>76</v>
      </c>
    </row>
    <row r="33" spans="1:22" s="2062" customFormat="1" ht="27" customHeight="1">
      <c r="A33" s="2055" t="s">
        <v>2453</v>
      </c>
      <c r="B33" s="2055"/>
      <c r="C33" s="2062" t="s">
        <v>6</v>
      </c>
      <c r="D33" s="2063">
        <f>'SCH 21c'!F34</f>
        <v>42</v>
      </c>
      <c r="E33" s="2066"/>
      <c r="F33" s="2063">
        <f>'SCH 21c'!H34</f>
        <v>37</v>
      </c>
      <c r="G33" s="2066"/>
      <c r="H33" s="2063">
        <f>'SCH 21c'!J34</f>
        <v>33</v>
      </c>
      <c r="I33" s="2066"/>
      <c r="J33" s="2063">
        <f>'SCH 21c'!L34</f>
        <v>28</v>
      </c>
      <c r="K33" s="2066"/>
      <c r="L33" s="2063">
        <f>'SCH 21c'!N34</f>
        <v>23</v>
      </c>
      <c r="M33" s="2065"/>
      <c r="N33" s="2063">
        <f>'SCH 21c'!P34</f>
        <v>19</v>
      </c>
      <c r="O33" s="2065"/>
      <c r="P33" s="2063">
        <f>'SCH 21c'!R34</f>
        <v>15</v>
      </c>
      <c r="Q33" s="2065"/>
      <c r="R33" s="2063">
        <f>'SCH 21c'!T34</f>
        <v>12</v>
      </c>
      <c r="S33" s="2064"/>
      <c r="T33" s="2063">
        <f>'SCH 21c'!V34</f>
        <v>9</v>
      </c>
      <c r="U33" s="2064"/>
      <c r="V33" s="2063">
        <f>'SCH 21c'!X34</f>
        <v>6</v>
      </c>
    </row>
    <row r="34" spans="1:22" s="2056" customFormat="1" ht="27.75" customHeight="1" thickBot="1">
      <c r="A34" s="2061"/>
      <c r="B34" s="2060" t="s">
        <v>2452</v>
      </c>
      <c r="C34" s="2056" t="s">
        <v>6</v>
      </c>
      <c r="D34" s="2057">
        <f>ROUND(SUM(D28:D33),0)</f>
        <v>51851</v>
      </c>
      <c r="E34" s="2059"/>
      <c r="F34" s="2057">
        <f>ROUND(SUM(F28:F33),0)</f>
        <v>53245</v>
      </c>
      <c r="G34" s="2059"/>
      <c r="H34" s="2057">
        <f>ROUND(SUM(H28:H33),0)</f>
        <v>57769</v>
      </c>
      <c r="I34" s="2059"/>
      <c r="J34" s="2057">
        <f>ROUND(SUM(J28:J33),0)</f>
        <v>61217</v>
      </c>
      <c r="K34" s="2059"/>
      <c r="L34" s="2057">
        <f>ROUND(SUM(L28:L33),0)</f>
        <v>62335</v>
      </c>
      <c r="M34" s="2059"/>
      <c r="N34" s="2057">
        <f>ROUND(SUM(N28:N33),0)</f>
        <v>63870</v>
      </c>
      <c r="O34" s="2059"/>
      <c r="P34" s="2057">
        <f>ROUND(SUM(P28:P33),0)</f>
        <v>63965</v>
      </c>
      <c r="Q34" s="2059"/>
      <c r="R34" s="2057">
        <f>ROUND(SUM(R28:R33),0)</f>
        <v>63720</v>
      </c>
      <c r="S34" s="2059"/>
      <c r="T34" s="2057">
        <f>ROUND(SUM(T28:T33),0)</f>
        <v>63299</v>
      </c>
      <c r="U34" s="2058"/>
      <c r="V34" s="2057">
        <f>ROUND(SUM(V28:V33),0)</f>
        <v>63096</v>
      </c>
    </row>
    <row r="35" spans="1:22" ht="18" thickTop="1"/>
    <row r="36" spans="1:22">
      <c r="A36" s="2166"/>
      <c r="B36" s="2166"/>
      <c r="C36" s="2102"/>
    </row>
  </sheetData>
  <mergeCells count="1">
    <mergeCell ref="T4:V4"/>
  </mergeCells>
  <printOptions horizontalCentered="1" verticalCentered="1"/>
  <pageMargins left="0.55000000000000004" right="0.5" top="1" bottom="0.25" header="0.5" footer="0.25"/>
  <pageSetup scale="60" orientation="landscape"/>
  <headerFooter scaleWithDoc="0">
    <oddFooter xml:space="preserve">&amp;R&amp;8 103&amp;12
</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M44"/>
  <sheetViews>
    <sheetView showGridLines="0" zoomScale="70" zoomScaleNormal="70" zoomScaleSheetLayoutView="62" zoomScalePageLayoutView="70" workbookViewId="0"/>
  </sheetViews>
  <sheetFormatPr baseColWidth="10" defaultColWidth="9.5703125" defaultRowHeight="15" x14ac:dyDescent="0"/>
  <cols>
    <col min="1" max="1" width="3.42578125" style="2062" customWidth="1"/>
    <col min="2" max="2" width="12.140625" style="2062" customWidth="1"/>
    <col min="3" max="3" width="16.42578125" style="2062" customWidth="1"/>
    <col min="4" max="4" width="1.140625" style="2062" customWidth="1"/>
    <col min="5" max="5" width="11.140625" style="2062" bestFit="1" customWidth="1"/>
    <col min="6" max="6" width="1.5703125" style="2062" customWidth="1"/>
    <col min="7" max="7" width="10.42578125" style="2062" customWidth="1"/>
    <col min="8" max="8" width="1.5703125" style="2062" customWidth="1"/>
    <col min="9" max="9" width="10.85546875" style="2062" customWidth="1"/>
    <col min="10" max="10" width="1.5703125" style="2062" customWidth="1"/>
    <col min="11" max="11" width="11.85546875" style="2062" customWidth="1"/>
    <col min="12" max="12" width="1.5703125" style="2062" customWidth="1"/>
    <col min="13" max="13" width="11.140625" style="2062" customWidth="1"/>
    <col min="14" max="14" width="1.5703125" style="2062" customWidth="1"/>
    <col min="15" max="15" width="10.85546875" style="2062" customWidth="1"/>
    <col min="16" max="16" width="1.85546875" style="2062" customWidth="1"/>
    <col min="17" max="17" width="10.42578125" style="2062" customWidth="1"/>
    <col min="18" max="18" width="1.5703125" style="2062" customWidth="1"/>
    <col min="19" max="19" width="10.85546875" style="2062" customWidth="1"/>
    <col min="20" max="20" width="1.5703125" style="2062" customWidth="1"/>
    <col min="21" max="21" width="11.140625" style="2062" customWidth="1"/>
    <col min="22" max="22" width="1.5703125" style="2062" customWidth="1"/>
    <col min="23" max="23" width="11.140625" style="2062" customWidth="1"/>
    <col min="24" max="24" width="4.42578125" style="2062" bestFit="1" customWidth="1"/>
    <col min="25" max="25" width="9.5703125" style="2062" customWidth="1"/>
    <col min="26" max="16384" width="9.5703125" style="2062"/>
  </cols>
  <sheetData>
    <row r="1" spans="1:39">
      <c r="A1" s="1582" t="s">
        <v>1443</v>
      </c>
    </row>
    <row r="3" spans="1:39" ht="17">
      <c r="A3" s="2061" t="s">
        <v>0</v>
      </c>
      <c r="B3" s="2055"/>
      <c r="C3" s="2061"/>
      <c r="D3" s="2061"/>
      <c r="E3" s="2061"/>
      <c r="F3" s="2061"/>
      <c r="G3" s="2061"/>
      <c r="H3" s="2061"/>
      <c r="I3" s="2061"/>
      <c r="J3" s="2061"/>
      <c r="K3" s="2061"/>
      <c r="L3" s="2056"/>
      <c r="M3" s="2056"/>
      <c r="N3" s="2056"/>
      <c r="O3" s="2056"/>
      <c r="P3" s="2056"/>
      <c r="Q3" s="2056"/>
      <c r="R3" s="2097"/>
      <c r="S3" s="2097"/>
      <c r="T3" s="2097"/>
      <c r="U3" s="2097"/>
      <c r="V3" s="2097"/>
    </row>
    <row r="4" spans="1:39" ht="17">
      <c r="A4" s="2095" t="s">
        <v>2480</v>
      </c>
      <c r="B4" s="2055"/>
      <c r="C4" s="2061"/>
      <c r="D4" s="2061"/>
      <c r="E4" s="2061"/>
      <c r="F4" s="2061"/>
      <c r="G4" s="2061"/>
      <c r="H4" s="2061"/>
      <c r="I4" s="2061"/>
      <c r="J4" s="2061"/>
      <c r="K4" s="2061"/>
      <c r="L4" s="2056"/>
      <c r="M4" s="2061"/>
      <c r="N4" s="2056"/>
      <c r="P4" s="2056"/>
      <c r="Q4" s="2099"/>
      <c r="R4" s="2100"/>
      <c r="S4" s="2100"/>
      <c r="T4" s="2099"/>
      <c r="U4" s="2436" t="s">
        <v>2479</v>
      </c>
      <c r="V4" s="2437"/>
      <c r="W4" s="2437"/>
    </row>
    <row r="5" spans="1:39" ht="17">
      <c r="A5" s="2095" t="s">
        <v>2589</v>
      </c>
      <c r="B5" s="2055"/>
      <c r="C5" s="2061"/>
      <c r="D5" s="2061"/>
      <c r="E5" s="2061"/>
      <c r="F5" s="2061"/>
      <c r="G5" s="2061"/>
      <c r="H5" s="2061"/>
      <c r="I5" s="2061"/>
      <c r="J5" s="2061"/>
      <c r="K5" s="2061"/>
      <c r="L5" s="2056"/>
      <c r="M5" s="2056"/>
      <c r="N5" s="2056"/>
      <c r="O5" s="2056"/>
      <c r="P5" s="2056"/>
      <c r="Q5" s="2056"/>
      <c r="U5" s="2438"/>
      <c r="V5" s="2439"/>
      <c r="W5" s="2439"/>
      <c r="Z5" s="2102"/>
      <c r="AA5" s="2102"/>
      <c r="AB5" s="2102"/>
      <c r="AC5" s="2102"/>
      <c r="AD5" s="2102"/>
      <c r="AE5" s="2102"/>
      <c r="AF5" s="2102"/>
      <c r="AG5" s="2102"/>
      <c r="AH5" s="2102"/>
      <c r="AI5" s="2102"/>
      <c r="AJ5" s="2102"/>
      <c r="AK5" s="2102"/>
      <c r="AL5" s="2102"/>
      <c r="AM5" s="2102"/>
    </row>
    <row r="6" spans="1:39">
      <c r="A6" s="2098"/>
      <c r="B6" s="2056"/>
      <c r="C6" s="2104"/>
      <c r="D6" s="2104"/>
      <c r="E6" s="2104"/>
      <c r="F6" s="2104"/>
      <c r="G6" s="2104"/>
      <c r="H6" s="2104"/>
      <c r="I6" s="2104"/>
      <c r="J6" s="2104"/>
      <c r="K6" s="2104"/>
      <c r="L6" s="2104"/>
      <c r="M6" s="2104"/>
      <c r="N6" s="2104"/>
      <c r="O6" s="2104"/>
      <c r="P6" s="2104"/>
      <c r="Q6" s="2104"/>
      <c r="R6" s="2102"/>
      <c r="S6" s="2102"/>
      <c r="T6" s="2102"/>
      <c r="U6" s="2102"/>
      <c r="V6" s="2097"/>
      <c r="Z6" s="2102"/>
      <c r="AA6" s="2102"/>
      <c r="AB6" s="2102"/>
      <c r="AC6" s="2102"/>
      <c r="AD6" s="2102"/>
      <c r="AE6" s="2102"/>
      <c r="AF6" s="2102"/>
      <c r="AG6" s="2102"/>
      <c r="AH6" s="2102"/>
      <c r="AI6" s="2102"/>
      <c r="AJ6" s="2102"/>
      <c r="AK6" s="2102"/>
      <c r="AL6" s="2102"/>
      <c r="AM6" s="2102"/>
    </row>
    <row r="7" spans="1:39" ht="16" thickBot="1">
      <c r="A7" s="2113"/>
      <c r="C7" s="2102"/>
      <c r="D7" s="2138"/>
      <c r="E7" s="2138"/>
      <c r="F7" s="2138"/>
      <c r="G7" s="2138"/>
      <c r="H7" s="2138"/>
      <c r="I7" s="2138"/>
      <c r="J7" s="2138"/>
      <c r="K7" s="2138"/>
      <c r="L7" s="2138"/>
      <c r="M7" s="2138"/>
      <c r="N7" s="2138"/>
      <c r="O7" s="2138"/>
      <c r="P7" s="2138"/>
      <c r="Q7" s="2138"/>
      <c r="R7" s="2138"/>
      <c r="S7" s="2138"/>
      <c r="T7" s="2138"/>
      <c r="U7" s="2137"/>
      <c r="V7" s="2097"/>
      <c r="Z7" s="2102"/>
      <c r="AA7" s="2102"/>
      <c r="AB7" s="2102"/>
      <c r="AC7" s="2102"/>
      <c r="AD7" s="2102"/>
      <c r="AE7" s="2102"/>
      <c r="AF7" s="2102"/>
      <c r="AG7" s="2102"/>
      <c r="AH7" s="2102"/>
      <c r="AI7" s="2102"/>
      <c r="AJ7" s="2102"/>
      <c r="AK7" s="2102"/>
      <c r="AL7" s="2102"/>
      <c r="AM7" s="2102"/>
    </row>
    <row r="8" spans="1:39" ht="15" customHeight="1">
      <c r="C8" s="2440" t="s">
        <v>2566</v>
      </c>
      <c r="D8" s="2441"/>
      <c r="E8" s="2441"/>
      <c r="F8" s="2441"/>
      <c r="G8" s="2441"/>
      <c r="H8" s="2441"/>
      <c r="I8" s="2441"/>
      <c r="J8" s="2441"/>
      <c r="K8" s="2441"/>
      <c r="L8" s="2441"/>
      <c r="M8" s="2441"/>
      <c r="N8" s="2441"/>
      <c r="O8" s="2441"/>
      <c r="P8" s="2441"/>
      <c r="Q8" s="2441"/>
      <c r="R8" s="2441"/>
      <c r="S8" s="2441"/>
      <c r="T8" s="2441"/>
      <c r="U8" s="2441"/>
      <c r="V8" s="2442"/>
      <c r="Z8" s="2102"/>
      <c r="AA8" s="2102"/>
      <c r="AB8" s="2102"/>
      <c r="AC8" s="2102"/>
      <c r="AD8" s="2102"/>
      <c r="AE8" s="2102"/>
      <c r="AF8" s="2102"/>
      <c r="AG8" s="2102"/>
      <c r="AH8" s="2102"/>
      <c r="AI8" s="2102"/>
      <c r="AJ8" s="2102"/>
      <c r="AK8" s="2102"/>
      <c r="AL8" s="2102"/>
      <c r="AM8" s="2102"/>
    </row>
    <row r="9" spans="1:39" ht="15" customHeight="1">
      <c r="C9" s="2443"/>
      <c r="D9" s="2444"/>
      <c r="E9" s="2444"/>
      <c r="F9" s="2444"/>
      <c r="G9" s="2444"/>
      <c r="H9" s="2444"/>
      <c r="I9" s="2444"/>
      <c r="J9" s="2444"/>
      <c r="K9" s="2444"/>
      <c r="L9" s="2444"/>
      <c r="M9" s="2444"/>
      <c r="N9" s="2444"/>
      <c r="O9" s="2444"/>
      <c r="P9" s="2444"/>
      <c r="Q9" s="2444"/>
      <c r="R9" s="2444"/>
      <c r="S9" s="2444"/>
      <c r="T9" s="2444"/>
      <c r="U9" s="2444"/>
      <c r="V9" s="2445"/>
      <c r="Z9" s="2137"/>
      <c r="AA9" s="2137"/>
      <c r="AB9" s="2137"/>
      <c r="AC9" s="2137"/>
      <c r="AD9" s="2137"/>
      <c r="AE9" s="2137"/>
      <c r="AF9" s="2137"/>
      <c r="AG9" s="2137"/>
      <c r="AH9" s="2137"/>
      <c r="AI9" s="2137"/>
      <c r="AJ9" s="2137"/>
      <c r="AK9" s="2137"/>
      <c r="AL9" s="2137"/>
      <c r="AM9" s="2137"/>
    </row>
    <row r="10" spans="1:39">
      <c r="C10" s="2443"/>
      <c r="D10" s="2444"/>
      <c r="E10" s="2444"/>
      <c r="F10" s="2444"/>
      <c r="G10" s="2444"/>
      <c r="H10" s="2444"/>
      <c r="I10" s="2444"/>
      <c r="J10" s="2444"/>
      <c r="K10" s="2444"/>
      <c r="L10" s="2444"/>
      <c r="M10" s="2444"/>
      <c r="N10" s="2444"/>
      <c r="O10" s="2444"/>
      <c r="P10" s="2444"/>
      <c r="Q10" s="2444"/>
      <c r="R10" s="2444"/>
      <c r="S10" s="2444"/>
      <c r="T10" s="2444"/>
      <c r="U10" s="2444"/>
      <c r="V10" s="2445"/>
      <c r="Z10" s="2137"/>
      <c r="AA10" s="2137"/>
      <c r="AB10" s="2137"/>
      <c r="AC10" s="2137"/>
      <c r="AD10" s="2137"/>
      <c r="AE10" s="2137"/>
      <c r="AF10" s="2137"/>
      <c r="AG10" s="2137"/>
      <c r="AH10" s="2137"/>
      <c r="AI10" s="2137"/>
      <c r="AJ10" s="2137"/>
      <c r="AK10" s="2137"/>
      <c r="AL10" s="2137"/>
      <c r="AM10" s="2137"/>
    </row>
    <row r="11" spans="1:39" ht="16" thickBot="1">
      <c r="C11" s="2446"/>
      <c r="D11" s="2447"/>
      <c r="E11" s="2447"/>
      <c r="F11" s="2447"/>
      <c r="G11" s="2447"/>
      <c r="H11" s="2447"/>
      <c r="I11" s="2447"/>
      <c r="J11" s="2447"/>
      <c r="K11" s="2447"/>
      <c r="L11" s="2447"/>
      <c r="M11" s="2447"/>
      <c r="N11" s="2447"/>
      <c r="O11" s="2447"/>
      <c r="P11" s="2447"/>
      <c r="Q11" s="2447"/>
      <c r="R11" s="2447"/>
      <c r="S11" s="2447"/>
      <c r="T11" s="2447"/>
      <c r="U11" s="2447"/>
      <c r="V11" s="2448"/>
      <c r="Z11" s="2137"/>
      <c r="AA11" s="2137"/>
      <c r="AB11" s="2137"/>
      <c r="AC11" s="2137"/>
      <c r="AD11" s="2137"/>
      <c r="AE11" s="2137"/>
      <c r="AF11" s="2137"/>
      <c r="AG11" s="2137"/>
      <c r="AH11" s="2137"/>
      <c r="AI11" s="2137"/>
      <c r="AJ11" s="2137"/>
      <c r="AK11" s="2137"/>
      <c r="AL11" s="2137"/>
      <c r="AM11" s="2137"/>
    </row>
    <row r="12" spans="1:39">
      <c r="C12" s="2056"/>
      <c r="D12" s="2056"/>
      <c r="E12" s="2056"/>
      <c r="F12" s="2056"/>
      <c r="G12" s="2056"/>
      <c r="H12" s="2056"/>
      <c r="I12" s="2056"/>
      <c r="J12" s="2056"/>
      <c r="K12" s="2056"/>
      <c r="L12" s="2056"/>
      <c r="M12" s="2056"/>
      <c r="N12" s="2056"/>
      <c r="O12" s="2056"/>
      <c r="P12" s="2056"/>
      <c r="Q12" s="2056"/>
      <c r="V12" s="2097"/>
      <c r="Z12" s="2137"/>
      <c r="AA12" s="2137"/>
      <c r="AB12" s="2137"/>
      <c r="AC12" s="2137"/>
      <c r="AD12" s="2137"/>
      <c r="AE12" s="2137"/>
      <c r="AF12" s="2137"/>
      <c r="AG12" s="2137"/>
      <c r="AH12" s="2137"/>
      <c r="AI12" s="2137"/>
      <c r="AJ12" s="2137"/>
      <c r="AK12" s="2137"/>
      <c r="AL12" s="2137"/>
      <c r="AM12" s="2137"/>
    </row>
    <row r="13" spans="1:39">
      <c r="B13" s="2056"/>
      <c r="C13" s="2056"/>
      <c r="D13" s="2056"/>
      <c r="E13" s="2056"/>
      <c r="F13" s="2056"/>
      <c r="G13" s="2056"/>
      <c r="H13" s="2056"/>
      <c r="I13" s="2056"/>
      <c r="J13" s="2056"/>
      <c r="K13" s="2056"/>
      <c r="L13" s="2056"/>
      <c r="M13" s="2056"/>
      <c r="N13" s="2056"/>
      <c r="O13" s="2056"/>
      <c r="P13" s="2056"/>
      <c r="Q13" s="2056"/>
      <c r="V13" s="2097"/>
      <c r="Z13" s="2102"/>
      <c r="AA13" s="2102"/>
      <c r="AB13" s="2102"/>
      <c r="AC13" s="2102"/>
      <c r="AD13" s="2102"/>
      <c r="AE13" s="2102"/>
      <c r="AF13" s="2102"/>
      <c r="AG13" s="2102"/>
      <c r="AH13" s="2102"/>
      <c r="AI13" s="2102"/>
      <c r="AJ13" s="2102"/>
      <c r="AK13" s="2102"/>
      <c r="AL13" s="2102"/>
      <c r="AM13" s="2102"/>
    </row>
    <row r="14" spans="1:39">
      <c r="D14" s="2056"/>
      <c r="E14" s="2136" t="s">
        <v>91</v>
      </c>
      <c r="F14" s="2128"/>
      <c r="G14" s="2136" t="s">
        <v>92</v>
      </c>
      <c r="H14" s="2128"/>
      <c r="I14" s="2136" t="s">
        <v>93</v>
      </c>
      <c r="J14" s="2129"/>
      <c r="K14" s="2136" t="s">
        <v>94</v>
      </c>
      <c r="L14" s="2129"/>
      <c r="M14" s="2136" t="s">
        <v>95</v>
      </c>
      <c r="N14" s="2128"/>
      <c r="O14" s="2136" t="s">
        <v>96</v>
      </c>
      <c r="P14" s="2128"/>
      <c r="Q14" s="2136" t="s">
        <v>10</v>
      </c>
      <c r="R14" s="2128"/>
      <c r="S14" s="2136" t="s">
        <v>9</v>
      </c>
      <c r="T14" s="2128"/>
      <c r="U14" s="2136" t="s">
        <v>1917</v>
      </c>
      <c r="V14" s="2128"/>
      <c r="W14" s="2207" t="s">
        <v>2584</v>
      </c>
      <c r="Z14" s="2102"/>
      <c r="AA14" s="2102"/>
      <c r="AB14" s="2102"/>
      <c r="AC14" s="2102"/>
      <c r="AD14" s="2102"/>
      <c r="AE14" s="2102"/>
      <c r="AF14" s="2102"/>
      <c r="AG14" s="2102"/>
      <c r="AH14" s="2102"/>
      <c r="AI14" s="2102"/>
      <c r="AJ14" s="2102"/>
      <c r="AK14" s="2102"/>
      <c r="AL14" s="2102"/>
      <c r="AM14" s="2102"/>
    </row>
    <row r="15" spans="1:39">
      <c r="D15" s="2056"/>
      <c r="E15" s="2134"/>
      <c r="F15" s="2102"/>
      <c r="G15" s="2134"/>
      <c r="H15" s="2102"/>
      <c r="I15" s="2134"/>
      <c r="J15" s="2102"/>
      <c r="K15" s="2135"/>
      <c r="L15" s="2102"/>
      <c r="M15" s="2135"/>
      <c r="N15" s="2103"/>
      <c r="O15" s="2134"/>
      <c r="P15" s="2103"/>
      <c r="Q15" s="2134"/>
      <c r="R15" s="2103"/>
      <c r="Z15" s="2102"/>
      <c r="AA15" s="2102"/>
      <c r="AB15" s="2102"/>
      <c r="AC15" s="2102"/>
      <c r="AD15" s="2102"/>
      <c r="AE15" s="2102"/>
      <c r="AF15" s="2102"/>
      <c r="AG15" s="2102"/>
      <c r="AH15" s="2102"/>
      <c r="AI15" s="2102"/>
      <c r="AJ15" s="2102"/>
      <c r="AK15" s="2102"/>
      <c r="AL15" s="2102"/>
      <c r="AM15" s="2102"/>
    </row>
    <row r="16" spans="1:39">
      <c r="A16" s="2119" t="s">
        <v>2478</v>
      </c>
      <c r="D16" s="2056"/>
      <c r="E16" s="2103"/>
      <c r="G16" s="2103"/>
      <c r="I16" s="2103"/>
      <c r="K16" s="2103"/>
      <c r="M16" s="2103"/>
      <c r="N16" s="2097"/>
      <c r="O16" s="2103"/>
      <c r="P16" s="2097"/>
      <c r="Q16" s="2103"/>
      <c r="R16" s="2097"/>
      <c r="Z16" s="2102"/>
      <c r="AA16" s="2102"/>
      <c r="AB16" s="2102"/>
      <c r="AC16" s="2102"/>
      <c r="AD16" s="2102"/>
      <c r="AE16" s="2102"/>
      <c r="AF16" s="2102"/>
      <c r="AG16" s="2102"/>
      <c r="AH16" s="2102"/>
      <c r="AI16" s="2102"/>
      <c r="AJ16" s="2102"/>
      <c r="AK16" s="2102"/>
      <c r="AL16" s="2102"/>
      <c r="AM16" s="2102"/>
    </row>
    <row r="17" spans="1:39">
      <c r="B17" s="2113" t="s">
        <v>2477</v>
      </c>
      <c r="C17" s="2056"/>
      <c r="D17" s="2056"/>
      <c r="F17" s="2056"/>
      <c r="M17" s="2097"/>
      <c r="O17" s="2097"/>
      <c r="Q17" s="2097"/>
      <c r="Z17" s="2102"/>
      <c r="AA17" s="2102"/>
      <c r="AB17" s="2102"/>
      <c r="AC17" s="2102"/>
      <c r="AD17" s="2102"/>
      <c r="AE17" s="2102"/>
      <c r="AF17" s="2102"/>
      <c r="AG17" s="2102"/>
      <c r="AH17" s="2102"/>
      <c r="AI17" s="2102"/>
      <c r="AJ17" s="2102"/>
      <c r="AK17" s="2102"/>
      <c r="AL17" s="2102"/>
      <c r="AM17" s="2102"/>
    </row>
    <row r="18" spans="1:39">
      <c r="B18" s="2107" t="s">
        <v>2472</v>
      </c>
      <c r="C18" s="2056"/>
      <c r="D18" s="2056"/>
      <c r="E18" s="2125">
        <v>3302</v>
      </c>
      <c r="F18" s="2126"/>
      <c r="G18" s="2133">
        <v>3221</v>
      </c>
      <c r="H18" s="2126"/>
      <c r="I18" s="2133">
        <v>3323</v>
      </c>
      <c r="J18" s="2126"/>
      <c r="K18" s="2133">
        <v>3400</v>
      </c>
      <c r="L18" s="2125"/>
      <c r="M18" s="2133">
        <v>3525</v>
      </c>
      <c r="N18" s="2125"/>
      <c r="O18" s="2133">
        <v>3494</v>
      </c>
      <c r="P18" s="2125"/>
      <c r="Q18" s="2133">
        <v>3524</v>
      </c>
      <c r="R18" s="2125"/>
      <c r="S18" s="2133">
        <v>3191</v>
      </c>
      <c r="T18" s="2125"/>
      <c r="U18" s="2133">
        <v>3018</v>
      </c>
      <c r="V18" s="2125"/>
      <c r="W18" s="2133">
        <v>2727</v>
      </c>
    </row>
    <row r="19" spans="1:39">
      <c r="B19" s="2107" t="s">
        <v>2471</v>
      </c>
      <c r="C19" s="2056"/>
      <c r="D19" s="2056"/>
      <c r="E19" s="2127">
        <v>-4.8399999999999999E-2</v>
      </c>
      <c r="F19" s="2129"/>
      <c r="G19" s="2127">
        <f>(+G18-E18)/E18</f>
        <v>-2.4530587522713507E-2</v>
      </c>
      <c r="H19" s="2129"/>
      <c r="I19" s="2127">
        <f>(+I18-G18)/G18</f>
        <v>3.1667184104315432E-2</v>
      </c>
      <c r="J19" s="2129"/>
      <c r="K19" s="2127">
        <f>(+K18-I18)/I18</f>
        <v>2.3171832681312069E-2</v>
      </c>
      <c r="L19" s="2129"/>
      <c r="M19" s="2127">
        <f>(+M18-K18)/K18</f>
        <v>3.6764705882352942E-2</v>
      </c>
      <c r="N19" s="2128"/>
      <c r="O19" s="2127">
        <f>(+O18-M18)/M18</f>
        <v>-8.7943262411347509E-3</v>
      </c>
      <c r="P19" s="2128"/>
      <c r="Q19" s="2127">
        <f>(+Q18-O18)/O18</f>
        <v>8.5861476817401267E-3</v>
      </c>
      <c r="R19" s="2128"/>
      <c r="S19" s="2127">
        <f>(+S18-Q18)/Q18</f>
        <v>-9.4494892167990924E-2</v>
      </c>
      <c r="T19" s="2128"/>
      <c r="U19" s="2127">
        <f>(+U18-S18)/S18</f>
        <v>-5.4214979630209964E-2</v>
      </c>
      <c r="V19" s="2128"/>
      <c r="W19" s="2127">
        <f>(+W18-U18)/U18</f>
        <v>-9.6421471172962223E-2</v>
      </c>
    </row>
    <row r="20" spans="1:39">
      <c r="B20" s="2107" t="s">
        <v>2470</v>
      </c>
      <c r="C20" s="2117"/>
      <c r="D20" s="2056"/>
      <c r="E20" s="2124">
        <f>E18/19.3</f>
        <v>171.0880829015544</v>
      </c>
      <c r="F20" s="2126"/>
      <c r="G20" s="2124">
        <f>G18/19.4</f>
        <v>166.03092783505156</v>
      </c>
      <c r="H20" s="2126"/>
      <c r="I20" s="2124">
        <f>I18/19.5</f>
        <v>170.41025641025641</v>
      </c>
      <c r="J20" s="2126"/>
      <c r="K20" s="2124">
        <f>K18/19.5</f>
        <v>174.35897435897436</v>
      </c>
      <c r="L20" s="2126"/>
      <c r="M20" s="2124">
        <f>M18/19.4</f>
        <v>181.70103092783506</v>
      </c>
      <c r="N20" s="2125"/>
      <c r="O20" s="2124">
        <f>O18/19.5</f>
        <v>179.17948717948718</v>
      </c>
      <c r="P20" s="2125"/>
      <c r="Q20" s="2124">
        <f>Q18/19.6</f>
        <v>179.79591836734693</v>
      </c>
      <c r="R20" s="2125"/>
      <c r="S20" s="2124">
        <f>S18/19.7</f>
        <v>161.97969543147209</v>
      </c>
      <c r="T20" s="2125"/>
      <c r="U20" s="2124">
        <f>U18/19.7</f>
        <v>153.19796954314722</v>
      </c>
      <c r="V20" s="2125"/>
      <c r="W20" s="2124">
        <f>W18/19.8</f>
        <v>137.72727272727272</v>
      </c>
    </row>
    <row r="21" spans="1:39">
      <c r="B21" s="2056"/>
      <c r="C21" s="2056"/>
      <c r="D21" s="2056"/>
      <c r="J21" s="2097"/>
      <c r="L21" s="2097"/>
      <c r="N21" s="2097"/>
      <c r="P21" s="2097"/>
    </row>
    <row r="22" spans="1:39">
      <c r="B22" s="2056" t="s">
        <v>2476</v>
      </c>
      <c r="C22" s="2056"/>
      <c r="D22" s="2056"/>
      <c r="J22" s="2097"/>
      <c r="L22" s="2097"/>
      <c r="N22" s="2097"/>
      <c r="P22" s="2097"/>
    </row>
    <row r="23" spans="1:39">
      <c r="B23" s="2107" t="s">
        <v>2472</v>
      </c>
      <c r="C23" s="2056"/>
      <c r="D23" s="2056"/>
      <c r="E23" s="2124">
        <v>56</v>
      </c>
      <c r="F23" s="2125"/>
      <c r="G23" s="2124">
        <v>38</v>
      </c>
      <c r="H23" s="2126"/>
      <c r="I23" s="2124">
        <v>19</v>
      </c>
      <c r="J23" s="2126"/>
      <c r="K23" s="2124">
        <v>0</v>
      </c>
      <c r="L23" s="2126"/>
      <c r="M23" s="2124">
        <v>0</v>
      </c>
      <c r="N23" s="2126"/>
      <c r="O23" s="2124">
        <v>0</v>
      </c>
      <c r="P23" s="2125"/>
      <c r="Q23" s="2124">
        <v>0</v>
      </c>
      <c r="R23" s="2125"/>
      <c r="S23" s="2124">
        <v>0</v>
      </c>
      <c r="T23" s="2125"/>
      <c r="U23" s="2124">
        <v>0</v>
      </c>
      <c r="V23" s="2125"/>
      <c r="W23" s="2124">
        <v>0</v>
      </c>
    </row>
    <row r="24" spans="1:39">
      <c r="B24" s="2107" t="s">
        <v>2471</v>
      </c>
      <c r="C24" s="2117"/>
      <c r="D24" s="2056"/>
      <c r="E24" s="2127">
        <v>-0.2329</v>
      </c>
      <c r="F24" s="2127"/>
      <c r="G24" s="2127">
        <f>(G23-E23)/E23</f>
        <v>-0.32142857142857145</v>
      </c>
      <c r="H24" s="2129"/>
      <c r="I24" s="2127">
        <f>(I23-G23)/G23</f>
        <v>-0.5</v>
      </c>
      <c r="J24" s="2129"/>
      <c r="K24" s="2127">
        <f>(K23-I23)/I23</f>
        <v>-1</v>
      </c>
      <c r="L24" s="2129"/>
      <c r="M24" s="2127">
        <v>0</v>
      </c>
      <c r="N24" s="2129"/>
      <c r="O24" s="2127">
        <v>0</v>
      </c>
      <c r="P24" s="2128"/>
      <c r="Q24" s="2127">
        <v>0</v>
      </c>
      <c r="R24" s="2127"/>
      <c r="S24" s="2127">
        <v>0</v>
      </c>
      <c r="T24" s="2127"/>
      <c r="U24" s="2127">
        <v>0</v>
      </c>
      <c r="V24" s="2127"/>
      <c r="W24" s="2127">
        <v>0</v>
      </c>
    </row>
    <row r="25" spans="1:39">
      <c r="B25" s="2107" t="s">
        <v>2470</v>
      </c>
      <c r="C25" s="2056"/>
      <c r="D25" s="2056"/>
      <c r="E25" s="2124">
        <v>2.9015544041450778</v>
      </c>
      <c r="F25" s="2125"/>
      <c r="G25" s="2124">
        <v>1.9587628865979383</v>
      </c>
      <c r="H25" s="2126"/>
      <c r="I25" s="2124">
        <v>0.97435897435897434</v>
      </c>
      <c r="J25" s="2126"/>
      <c r="K25" s="2124">
        <v>0</v>
      </c>
      <c r="L25" s="2126"/>
      <c r="M25" s="2124">
        <v>0</v>
      </c>
      <c r="N25" s="2126"/>
      <c r="O25" s="2124">
        <v>0</v>
      </c>
      <c r="P25" s="2125"/>
      <c r="Q25" s="2124">
        <v>0</v>
      </c>
      <c r="R25" s="2125"/>
      <c r="S25" s="2124">
        <v>0</v>
      </c>
      <c r="T25" s="2125"/>
      <c r="U25" s="2124">
        <v>0</v>
      </c>
      <c r="V25" s="2125"/>
      <c r="W25" s="2124">
        <v>0</v>
      </c>
      <c r="X25" s="2132"/>
    </row>
    <row r="26" spans="1:39">
      <c r="B26" s="2107"/>
      <c r="C26" s="2056"/>
      <c r="D26" s="2056"/>
      <c r="E26" s="2131"/>
      <c r="G26" s="2131"/>
      <c r="I26" s="2131"/>
      <c r="J26" s="2097"/>
      <c r="K26" s="2131"/>
      <c r="L26" s="2097"/>
      <c r="M26" s="2131"/>
      <c r="N26" s="2097"/>
      <c r="O26" s="2131"/>
      <c r="P26" s="2097"/>
      <c r="Q26" s="2131"/>
      <c r="S26" s="2131"/>
      <c r="U26" s="2131"/>
      <c r="W26" s="2131"/>
    </row>
    <row r="27" spans="1:39">
      <c r="B27" s="2056" t="s">
        <v>2475</v>
      </c>
      <c r="D27" s="2056"/>
      <c r="J27" s="2097"/>
      <c r="L27" s="2097"/>
      <c r="N27" s="2097"/>
      <c r="P27" s="2097"/>
    </row>
    <row r="28" spans="1:39">
      <c r="B28" s="2056" t="s">
        <v>2474</v>
      </c>
      <c r="D28" s="2056"/>
      <c r="J28" s="2097"/>
      <c r="L28" s="2097"/>
      <c r="N28" s="2097"/>
      <c r="P28" s="2097"/>
    </row>
    <row r="29" spans="1:39">
      <c r="B29" s="2107" t="s">
        <v>2472</v>
      </c>
      <c r="C29" s="2130"/>
      <c r="D29" s="2056"/>
      <c r="E29" s="2124">
        <v>39295</v>
      </c>
      <c r="F29" s="2126"/>
      <c r="G29" s="2124">
        <v>41145</v>
      </c>
      <c r="H29" s="2126"/>
      <c r="I29" s="2124">
        <v>43636</v>
      </c>
      <c r="J29" s="2126"/>
      <c r="K29" s="2124">
        <v>46923</v>
      </c>
      <c r="L29" s="2125"/>
      <c r="M29" s="2124">
        <v>48091</v>
      </c>
      <c r="N29" s="2125"/>
      <c r="O29" s="2124">
        <v>49279</v>
      </c>
      <c r="P29" s="2125"/>
      <c r="Q29" s="2124">
        <v>49011</v>
      </c>
      <c r="R29" s="2125"/>
      <c r="S29" s="2124">
        <v>49268</v>
      </c>
      <c r="T29" s="2125"/>
      <c r="U29" s="2124">
        <v>48849</v>
      </c>
      <c r="V29" s="2125"/>
      <c r="W29" s="2124">
        <v>47502</v>
      </c>
      <c r="X29" s="2062" t="s">
        <v>6</v>
      </c>
    </row>
    <row r="30" spans="1:39">
      <c r="B30" s="2107" t="s">
        <v>2471</v>
      </c>
      <c r="C30" s="2117"/>
      <c r="D30" s="2056"/>
      <c r="E30" s="2127">
        <v>4.41E-2</v>
      </c>
      <c r="F30" s="2129"/>
      <c r="G30" s="2127">
        <f>(+G29-E29)/E29</f>
        <v>4.7079781142639013E-2</v>
      </c>
      <c r="H30" s="2129"/>
      <c r="I30" s="2127">
        <f>(+I29-G29)/G29</f>
        <v>6.0541985660469075E-2</v>
      </c>
      <c r="J30" s="2129"/>
      <c r="K30" s="2127">
        <f>(+K29-I29)/I29</f>
        <v>7.5327711064258868E-2</v>
      </c>
      <c r="L30" s="2129"/>
      <c r="M30" s="2127">
        <f>(+M29-K29)/K29</f>
        <v>2.4891844084990303E-2</v>
      </c>
      <c r="N30" s="2128"/>
      <c r="O30" s="2127">
        <f>(+O29-M29)/M29</f>
        <v>2.4703166912727954E-2</v>
      </c>
      <c r="P30" s="2128"/>
      <c r="Q30" s="2127">
        <f>(+Q29-O29)/O29</f>
        <v>-5.4384220459019056E-3</v>
      </c>
      <c r="R30" s="2128"/>
      <c r="S30" s="2127">
        <f>(+S29-Q29)/Q29</f>
        <v>5.2437207973720186E-3</v>
      </c>
      <c r="T30" s="2128"/>
      <c r="U30" s="2127">
        <f>(+U29-S29)/S29</f>
        <v>-8.5045059673621824E-3</v>
      </c>
      <c r="V30" s="2128"/>
      <c r="W30" s="2127">
        <f>(+W29-U29)/U29</f>
        <v>-2.7574771233802125E-2</v>
      </c>
    </row>
    <row r="31" spans="1:39">
      <c r="B31" s="2107" t="s">
        <v>2470</v>
      </c>
      <c r="D31" s="2056"/>
      <c r="E31" s="2124">
        <f>E29/19.3</f>
        <v>2036.0103626943005</v>
      </c>
      <c r="F31" s="2126"/>
      <c r="G31" s="2124">
        <f>G29/19.4</f>
        <v>2120.8762886597938</v>
      </c>
      <c r="H31" s="2126"/>
      <c r="I31" s="2124">
        <f>I29/19.5</f>
        <v>2237.7435897435898</v>
      </c>
      <c r="J31" s="2126"/>
      <c r="K31" s="2124">
        <f>K29/19.5</f>
        <v>2406.3076923076924</v>
      </c>
      <c r="L31" s="2126"/>
      <c r="M31" s="2124">
        <f>M29/19.4</f>
        <v>2478.9175257731958</v>
      </c>
      <c r="N31" s="2125"/>
      <c r="O31" s="2124">
        <f>O29/19.5</f>
        <v>2527.1282051282051</v>
      </c>
      <c r="P31" s="2125"/>
      <c r="Q31" s="2124">
        <f>Q29/19.6</f>
        <v>2500.5612244897957</v>
      </c>
      <c r="R31" s="2125"/>
      <c r="S31" s="2124">
        <f>S29/19.7</f>
        <v>2500.9137055837564</v>
      </c>
      <c r="T31" s="2125"/>
      <c r="U31" s="2124">
        <f>U29/19.7</f>
        <v>2479.6446700507613</v>
      </c>
      <c r="V31" s="2125"/>
      <c r="W31" s="2124">
        <f>W29/19.8</f>
        <v>2399.090909090909</v>
      </c>
    </row>
    <row r="32" spans="1:39">
      <c r="A32" s="2122"/>
      <c r="B32" s="2122"/>
      <c r="C32" s="2122"/>
      <c r="D32" s="2123"/>
      <c r="S32" s="2122"/>
      <c r="T32" s="2122"/>
      <c r="U32" s="2122"/>
      <c r="V32" s="2122"/>
      <c r="W32" s="2122"/>
    </row>
    <row r="33" spans="1:23">
      <c r="D33" s="2056"/>
      <c r="E33" s="2121"/>
      <c r="F33" s="2120"/>
      <c r="G33" s="2120"/>
      <c r="H33" s="2120"/>
      <c r="I33" s="2120"/>
      <c r="J33" s="2120"/>
      <c r="K33" s="2120"/>
      <c r="L33" s="2120"/>
      <c r="M33" s="2120"/>
      <c r="N33" s="2120"/>
      <c r="O33" s="2120"/>
      <c r="P33" s="2120"/>
      <c r="Q33" s="2120"/>
      <c r="R33" s="2120"/>
      <c r="S33" s="2103"/>
      <c r="U33" s="2103"/>
      <c r="W33" s="2103"/>
    </row>
    <row r="34" spans="1:23">
      <c r="A34" s="2119" t="s">
        <v>2473</v>
      </c>
      <c r="D34" s="2056"/>
      <c r="N34" s="2097"/>
      <c r="P34" s="2097"/>
      <c r="R34" s="2097"/>
    </row>
    <row r="35" spans="1:23">
      <c r="B35" s="2113" t="s">
        <v>2472</v>
      </c>
      <c r="D35" s="2056"/>
      <c r="E35" s="2111">
        <f>E18+E23+E29</f>
        <v>42653</v>
      </c>
      <c r="F35" s="2112"/>
      <c r="G35" s="2111">
        <f>G18+G23+G29</f>
        <v>44404</v>
      </c>
      <c r="H35" s="2112"/>
      <c r="I35" s="2111">
        <f>I18+I23+I29</f>
        <v>46978</v>
      </c>
      <c r="J35" s="2112"/>
      <c r="K35" s="2111">
        <f>K18+K23+K29</f>
        <v>50323</v>
      </c>
      <c r="L35" s="2118"/>
      <c r="M35" s="2111">
        <f>M18+SUM(M23)+M29</f>
        <v>51616</v>
      </c>
      <c r="N35" s="2118"/>
      <c r="O35" s="2111">
        <f>O18+SUM(O23)+O29</f>
        <v>52773</v>
      </c>
      <c r="P35" s="2118"/>
      <c r="Q35" s="2111">
        <f>SUM(Q18+Q29)</f>
        <v>52535</v>
      </c>
      <c r="R35" s="2118"/>
      <c r="S35" s="2111">
        <f>SUM(S18+S29)</f>
        <v>52459</v>
      </c>
      <c r="T35" s="2118"/>
      <c r="U35" s="2111">
        <f>SUM(U18+U29)</f>
        <v>51867</v>
      </c>
      <c r="V35" s="2118"/>
      <c r="W35" s="2111">
        <f>SUM(W18+W29)</f>
        <v>50229</v>
      </c>
    </row>
    <row r="36" spans="1:23">
      <c r="B36" s="2113" t="s">
        <v>2471</v>
      </c>
      <c r="C36" s="2117"/>
      <c r="D36" s="2056"/>
      <c r="E36" s="2114">
        <v>3.5799999999999998E-2</v>
      </c>
      <c r="F36" s="2116"/>
      <c r="G36" s="2114">
        <f>(+G35-E35)/E35</f>
        <v>4.1052212036667993E-2</v>
      </c>
      <c r="H36" s="2116"/>
      <c r="I36" s="2114">
        <f>(+I35-G35)/G35</f>
        <v>5.7967750653094313E-2</v>
      </c>
      <c r="J36" s="2116"/>
      <c r="K36" s="2114">
        <f>(+K35-I35)/I35</f>
        <v>7.1203542083528457E-2</v>
      </c>
      <c r="L36" s="2116"/>
      <c r="M36" s="2114">
        <f>(+M35-K35)/K35</f>
        <v>2.5694016652425333E-2</v>
      </c>
      <c r="N36" s="2115"/>
      <c r="O36" s="2114">
        <f>(+O35-M35)/M35</f>
        <v>2.2415530068195907E-2</v>
      </c>
      <c r="P36" s="2115"/>
      <c r="Q36" s="2114">
        <f>(+Q35-O35)/O35</f>
        <v>-4.5098819472078524E-3</v>
      </c>
      <c r="R36" s="2115"/>
      <c r="S36" s="2114">
        <f>(+S35-Q35)/Q35</f>
        <v>-1.4466546112115732E-3</v>
      </c>
      <c r="T36" s="2115"/>
      <c r="U36" s="2114">
        <f>(+U35-S35)/S35</f>
        <v>-1.1285003526563602E-2</v>
      </c>
      <c r="V36" s="2115"/>
      <c r="W36" s="2114">
        <f>(+W35-U35)/U35</f>
        <v>-3.1580773902481346E-2</v>
      </c>
    </row>
    <row r="37" spans="1:23">
      <c r="B37" s="2113" t="s">
        <v>2470</v>
      </c>
      <c r="D37" s="2056"/>
      <c r="E37" s="2111">
        <f>E35/19.3</f>
        <v>2210</v>
      </c>
      <c r="F37" s="2112"/>
      <c r="G37" s="2111">
        <f>G35/19.4</f>
        <v>2288.8659793814436</v>
      </c>
      <c r="H37" s="2112"/>
      <c r="I37" s="2111">
        <f>I35/19.5</f>
        <v>2409.1282051282051</v>
      </c>
      <c r="J37" s="2112"/>
      <c r="K37" s="2111">
        <v>2580</v>
      </c>
      <c r="L37" s="2112"/>
      <c r="M37" s="2111">
        <v>2661</v>
      </c>
      <c r="N37" s="2111"/>
      <c r="O37" s="2111">
        <v>2706</v>
      </c>
      <c r="P37" s="2111"/>
      <c r="Q37" s="2111">
        <v>2681</v>
      </c>
      <c r="R37" s="2111"/>
      <c r="S37" s="2111">
        <f>S35/19.7</f>
        <v>2662.8934010152284</v>
      </c>
      <c r="T37" s="2111"/>
      <c r="U37" s="2111">
        <f>U35/19.7</f>
        <v>2632.8426395939086</v>
      </c>
      <c r="V37" s="2111"/>
      <c r="W37" s="2111">
        <f>W35/19.8</f>
        <v>2536.8181818181815</v>
      </c>
    </row>
    <row r="38" spans="1:23" ht="16" thickBot="1">
      <c r="A38" s="2108"/>
      <c r="B38" s="2110"/>
      <c r="C38" s="2108"/>
      <c r="D38" s="2109"/>
      <c r="E38" s="2108"/>
    </row>
    <row r="39" spans="1:23" ht="16" thickTop="1">
      <c r="B39" s="2107"/>
      <c r="D39" s="2056"/>
      <c r="E39" s="2104"/>
      <c r="F39" s="2106"/>
      <c r="G39" s="2106"/>
      <c r="H39" s="2106"/>
      <c r="I39" s="2106"/>
      <c r="J39" s="2106"/>
      <c r="K39" s="2106"/>
      <c r="L39" s="2106"/>
      <c r="M39" s="2106"/>
      <c r="N39" s="2105"/>
      <c r="O39" s="2106"/>
      <c r="P39" s="2106"/>
      <c r="Q39" s="2106"/>
      <c r="R39" s="2105"/>
      <c r="S39" s="2105"/>
      <c r="T39" s="2105"/>
      <c r="U39" s="2105"/>
      <c r="V39" s="2105"/>
      <c r="W39" s="2105"/>
    </row>
    <row r="41" spans="1:23" s="2102" customFormat="1">
      <c r="A41" s="2101" t="s">
        <v>2469</v>
      </c>
      <c r="D41" s="2104"/>
      <c r="E41" s="2104"/>
      <c r="F41" s="2104"/>
      <c r="G41" s="2104"/>
      <c r="H41" s="2104"/>
      <c r="I41" s="2104"/>
      <c r="J41" s="2104"/>
      <c r="K41" s="2104"/>
      <c r="L41" s="2104"/>
      <c r="M41" s="2104"/>
      <c r="N41" s="2103"/>
      <c r="O41" s="2104"/>
      <c r="P41" s="2104"/>
      <c r="Q41" s="2104"/>
      <c r="R41" s="2103"/>
      <c r="S41" s="2103"/>
      <c r="T41" s="2103"/>
      <c r="U41" s="2103"/>
      <c r="V41" s="2103"/>
      <c r="W41" s="2103"/>
    </row>
    <row r="42" spans="1:23" s="2102" customFormat="1">
      <c r="A42" s="2166"/>
      <c r="B42" s="2166"/>
      <c r="D42" s="2104"/>
      <c r="E42" s="2104"/>
      <c r="F42" s="2104"/>
      <c r="G42" s="2104"/>
      <c r="H42" s="2104"/>
      <c r="I42" s="2104"/>
      <c r="J42" s="2104"/>
      <c r="K42" s="2104"/>
      <c r="L42" s="2104"/>
      <c r="M42" s="2104"/>
      <c r="N42" s="2103"/>
      <c r="O42" s="2104"/>
      <c r="P42" s="2104"/>
      <c r="Q42" s="2104"/>
      <c r="R42" s="2103"/>
      <c r="S42" s="2103"/>
      <c r="T42" s="2103"/>
      <c r="U42" s="2103"/>
      <c r="V42" s="2103"/>
      <c r="W42" s="2103"/>
    </row>
    <row r="43" spans="1:23" s="2102" customFormat="1">
      <c r="A43" s="2101"/>
      <c r="D43" s="2104"/>
      <c r="E43" s="2104"/>
      <c r="F43" s="2104"/>
      <c r="G43" s="2104"/>
      <c r="H43" s="2104"/>
      <c r="I43" s="2104"/>
      <c r="J43" s="2104"/>
      <c r="K43" s="2104"/>
      <c r="L43" s="2104"/>
      <c r="M43" s="2104"/>
      <c r="N43" s="2103"/>
      <c r="O43" s="2104"/>
      <c r="P43" s="2104"/>
      <c r="Q43" s="2104"/>
      <c r="R43" s="2103"/>
      <c r="S43" s="2103"/>
      <c r="T43" s="2103"/>
      <c r="U43" s="2103"/>
      <c r="V43" s="2103"/>
      <c r="W43" s="2103"/>
    </row>
    <row r="44" spans="1:23">
      <c r="A44" s="2101"/>
    </row>
  </sheetData>
  <mergeCells count="3">
    <mergeCell ref="U4:W4"/>
    <mergeCell ref="U5:W5"/>
    <mergeCell ref="C8:V11"/>
  </mergeCells>
  <printOptions horizontalCentered="1" verticalCentered="1"/>
  <pageMargins left="0.75" right="0.5" top="1" bottom="0.25" header="0.5" footer="0.25"/>
  <pageSetup scale="63" orientation="landscape"/>
  <headerFooter scaleWithDoc="0">
    <oddFooter>&amp;R&amp;8 104</oddFoot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74"/>
  <sheetViews>
    <sheetView showGridLines="0" zoomScale="80" zoomScaleNormal="70" zoomScaleSheetLayoutView="75" zoomScalePageLayoutView="70" workbookViewId="0"/>
  </sheetViews>
  <sheetFormatPr baseColWidth="10" defaultColWidth="9.5703125" defaultRowHeight="15" x14ac:dyDescent="0"/>
  <cols>
    <col min="1" max="1" width="1.85546875" style="2062" customWidth="1"/>
    <col min="2" max="2" width="3.42578125" style="2062" customWidth="1"/>
    <col min="3" max="3" width="17.140625" style="2062" customWidth="1"/>
    <col min="4" max="4" width="21.140625" style="2062" customWidth="1"/>
    <col min="5" max="5" width="1.5703125" style="2062" customWidth="1"/>
    <col min="6" max="6" width="8.85546875" style="2062" customWidth="1"/>
    <col min="7" max="7" width="1.5703125" style="2062" customWidth="1"/>
    <col min="8" max="8" width="8.85546875" style="2062" customWidth="1"/>
    <col min="9" max="9" width="1.5703125" style="2062" customWidth="1"/>
    <col min="10" max="10" width="8.85546875" style="2062" customWidth="1"/>
    <col min="11" max="11" width="1.5703125" style="2062" customWidth="1"/>
    <col min="12" max="12" width="10.140625" style="2062" customWidth="1"/>
    <col min="13" max="13" width="1.5703125" style="2062" customWidth="1"/>
    <col min="14" max="14" width="8.5703125" style="2062" customWidth="1"/>
    <col min="15" max="15" width="1.5703125" style="2062" customWidth="1"/>
    <col min="16" max="16" width="8.85546875" style="2062" customWidth="1"/>
    <col min="17" max="17" width="1.85546875" style="2062" customWidth="1"/>
    <col min="18" max="18" width="8.85546875" style="2062" customWidth="1"/>
    <col min="19" max="19" width="1.5703125" style="2062" customWidth="1"/>
    <col min="20" max="20" width="9.5703125" style="2062" customWidth="1"/>
    <col min="21" max="21" width="1.5703125" style="2062" customWidth="1"/>
    <col min="22" max="22" width="8.85546875" style="2062" bestFit="1" customWidth="1"/>
    <col min="23" max="23" width="2" style="2062" customWidth="1"/>
    <col min="24" max="24" width="8.5703125" style="2062" customWidth="1"/>
    <col min="25" max="25" width="1.5703125" style="2062" customWidth="1"/>
    <col min="26" max="16384" width="9.5703125" style="2062"/>
  </cols>
  <sheetData>
    <row r="1" spans="1:25">
      <c r="A1" s="1582" t="s">
        <v>1443</v>
      </c>
    </row>
    <row r="3" spans="1:25" ht="17">
      <c r="B3" s="2061" t="s">
        <v>0</v>
      </c>
      <c r="D3" s="2056"/>
      <c r="E3" s="2056"/>
      <c r="F3" s="2056"/>
      <c r="G3" s="2056"/>
      <c r="H3" s="2056"/>
      <c r="I3" s="2056"/>
      <c r="J3" s="2056"/>
      <c r="K3" s="2056"/>
      <c r="L3" s="2056"/>
      <c r="M3" s="2056"/>
      <c r="N3" s="2056"/>
      <c r="O3" s="2056"/>
      <c r="P3" s="2056"/>
      <c r="Q3" s="2056"/>
      <c r="R3" s="2056"/>
      <c r="S3" s="2097"/>
      <c r="T3" s="2097"/>
      <c r="U3" s="2097"/>
      <c r="V3" s="2097"/>
      <c r="W3" s="2097"/>
    </row>
    <row r="4" spans="1:25" ht="17">
      <c r="B4" s="2095" t="s">
        <v>2501</v>
      </c>
      <c r="D4" s="2056"/>
      <c r="E4" s="2056"/>
      <c r="F4" s="2056"/>
      <c r="G4" s="2056"/>
      <c r="H4" s="2056"/>
      <c r="I4" s="2056"/>
      <c r="J4" s="2056"/>
      <c r="K4" s="2056"/>
      <c r="L4" s="2056"/>
      <c r="M4" s="2056"/>
      <c r="N4" s="2056"/>
      <c r="O4" s="2056"/>
      <c r="Q4" s="2056"/>
      <c r="R4" s="2099"/>
      <c r="S4" s="2100"/>
      <c r="T4" s="2100"/>
      <c r="U4" s="2099"/>
      <c r="V4" s="2436" t="s">
        <v>2500</v>
      </c>
      <c r="W4" s="2437"/>
      <c r="X4" s="2437"/>
    </row>
    <row r="5" spans="1:25" ht="17">
      <c r="B5" s="2095" t="s">
        <v>2594</v>
      </c>
      <c r="D5" s="2056"/>
      <c r="E5" s="2056"/>
      <c r="F5" s="2056"/>
      <c r="G5" s="2056"/>
      <c r="H5" s="2056"/>
      <c r="I5" s="2056"/>
      <c r="J5" s="2056"/>
      <c r="K5" s="2056"/>
      <c r="L5" s="2056"/>
      <c r="M5" s="2056"/>
      <c r="N5" s="2056"/>
      <c r="O5" s="2056"/>
      <c r="P5" s="2056"/>
      <c r="Q5" s="2056"/>
      <c r="R5" s="2056"/>
      <c r="V5" s="2438"/>
      <c r="W5" s="2439"/>
      <c r="X5" s="2439"/>
      <c r="Y5" s="2147"/>
    </row>
    <row r="6" spans="1:25">
      <c r="B6" s="2098"/>
      <c r="D6" s="2056"/>
      <c r="E6" s="2056"/>
      <c r="F6" s="2056"/>
      <c r="G6" s="2056"/>
      <c r="H6" s="2056"/>
      <c r="I6" s="2056"/>
      <c r="J6" s="2056"/>
      <c r="K6" s="2056"/>
      <c r="L6" s="2056"/>
      <c r="M6" s="2056"/>
      <c r="N6" s="2056"/>
      <c r="O6" s="2056"/>
      <c r="P6" s="2056"/>
      <c r="Q6" s="2056"/>
      <c r="R6" s="2056"/>
      <c r="W6" s="2097"/>
    </row>
    <row r="7" spans="1:25" ht="16" thickBot="1">
      <c r="B7" s="2113"/>
      <c r="D7" s="2056"/>
      <c r="E7" s="2056"/>
      <c r="F7" s="2056"/>
      <c r="G7" s="2056"/>
      <c r="H7" s="2056"/>
      <c r="I7" s="2056"/>
      <c r="J7" s="2056"/>
      <c r="K7" s="2056"/>
      <c r="L7" s="2056"/>
      <c r="M7" s="2056"/>
      <c r="N7" s="2056"/>
      <c r="O7" s="2056"/>
      <c r="P7" s="2056"/>
      <c r="Q7" s="2056"/>
      <c r="R7" s="2056"/>
      <c r="W7" s="2097"/>
    </row>
    <row r="8" spans="1:25" ht="15" customHeight="1">
      <c r="C8" s="2449" t="s">
        <v>2567</v>
      </c>
      <c r="D8" s="2450"/>
      <c r="E8" s="2450"/>
      <c r="F8" s="2450"/>
      <c r="G8" s="2450"/>
      <c r="H8" s="2450"/>
      <c r="I8" s="2450"/>
      <c r="J8" s="2450"/>
      <c r="K8" s="2450"/>
      <c r="L8" s="2450"/>
      <c r="M8" s="2450"/>
      <c r="N8" s="2450"/>
      <c r="O8" s="2450"/>
      <c r="P8" s="2450"/>
      <c r="Q8" s="2450"/>
      <c r="R8" s="2450"/>
      <c r="S8" s="2450"/>
      <c r="T8" s="2450"/>
      <c r="U8" s="2450"/>
      <c r="V8" s="2450"/>
      <c r="W8" s="2451"/>
    </row>
    <row r="9" spans="1:25">
      <c r="C9" s="2452"/>
      <c r="D9" s="2453"/>
      <c r="E9" s="2453"/>
      <c r="F9" s="2453"/>
      <c r="G9" s="2453"/>
      <c r="H9" s="2453"/>
      <c r="I9" s="2453"/>
      <c r="J9" s="2453"/>
      <c r="K9" s="2453"/>
      <c r="L9" s="2453"/>
      <c r="M9" s="2453"/>
      <c r="N9" s="2453"/>
      <c r="O9" s="2453"/>
      <c r="P9" s="2453"/>
      <c r="Q9" s="2453"/>
      <c r="R9" s="2453"/>
      <c r="S9" s="2453"/>
      <c r="T9" s="2453"/>
      <c r="U9" s="2453"/>
      <c r="V9" s="2453"/>
      <c r="W9" s="2454"/>
    </row>
    <row r="10" spans="1:25">
      <c r="C10" s="2452"/>
      <c r="D10" s="2453"/>
      <c r="E10" s="2453"/>
      <c r="F10" s="2453"/>
      <c r="G10" s="2453"/>
      <c r="H10" s="2453"/>
      <c r="I10" s="2453"/>
      <c r="J10" s="2453"/>
      <c r="K10" s="2453"/>
      <c r="L10" s="2453"/>
      <c r="M10" s="2453"/>
      <c r="N10" s="2453"/>
      <c r="O10" s="2453"/>
      <c r="P10" s="2453"/>
      <c r="Q10" s="2453"/>
      <c r="R10" s="2453"/>
      <c r="S10" s="2453"/>
      <c r="T10" s="2453"/>
      <c r="U10" s="2453"/>
      <c r="V10" s="2453"/>
      <c r="W10" s="2454"/>
    </row>
    <row r="11" spans="1:25">
      <c r="C11" s="2452"/>
      <c r="D11" s="2453"/>
      <c r="E11" s="2453"/>
      <c r="F11" s="2453"/>
      <c r="G11" s="2453"/>
      <c r="H11" s="2453"/>
      <c r="I11" s="2453"/>
      <c r="J11" s="2453"/>
      <c r="K11" s="2453"/>
      <c r="L11" s="2453"/>
      <c r="M11" s="2453"/>
      <c r="N11" s="2453"/>
      <c r="O11" s="2453"/>
      <c r="P11" s="2453"/>
      <c r="Q11" s="2453"/>
      <c r="R11" s="2453"/>
      <c r="S11" s="2453"/>
      <c r="T11" s="2453"/>
      <c r="U11" s="2453"/>
      <c r="V11" s="2453"/>
      <c r="W11" s="2454"/>
    </row>
    <row r="12" spans="1:25">
      <c r="C12" s="2452"/>
      <c r="D12" s="2453"/>
      <c r="E12" s="2453"/>
      <c r="F12" s="2453"/>
      <c r="G12" s="2453"/>
      <c r="H12" s="2453"/>
      <c r="I12" s="2453"/>
      <c r="J12" s="2453"/>
      <c r="K12" s="2453"/>
      <c r="L12" s="2453"/>
      <c r="M12" s="2453"/>
      <c r="N12" s="2453"/>
      <c r="O12" s="2453"/>
      <c r="P12" s="2453"/>
      <c r="Q12" s="2453"/>
      <c r="R12" s="2453"/>
      <c r="S12" s="2453"/>
      <c r="T12" s="2453"/>
      <c r="U12" s="2453"/>
      <c r="V12" s="2453"/>
      <c r="W12" s="2454"/>
    </row>
    <row r="13" spans="1:25" s="2102" customFormat="1">
      <c r="C13" s="2452"/>
      <c r="D13" s="2453"/>
      <c r="E13" s="2453"/>
      <c r="F13" s="2453"/>
      <c r="G13" s="2453"/>
      <c r="H13" s="2453"/>
      <c r="I13" s="2453"/>
      <c r="J13" s="2453"/>
      <c r="K13" s="2453"/>
      <c r="L13" s="2453"/>
      <c r="M13" s="2453"/>
      <c r="N13" s="2453"/>
      <c r="O13" s="2453"/>
      <c r="P13" s="2453"/>
      <c r="Q13" s="2453"/>
      <c r="R13" s="2453"/>
      <c r="S13" s="2453"/>
      <c r="T13" s="2453"/>
      <c r="U13" s="2453"/>
      <c r="V13" s="2453"/>
      <c r="W13" s="2454"/>
      <c r="X13" s="2103"/>
    </row>
    <row r="14" spans="1:25" ht="22.5" customHeight="1" thickBot="1">
      <c r="B14" s="2113"/>
      <c r="C14" s="2455"/>
      <c r="D14" s="2456"/>
      <c r="E14" s="2456"/>
      <c r="F14" s="2456"/>
      <c r="G14" s="2456"/>
      <c r="H14" s="2456"/>
      <c r="I14" s="2456"/>
      <c r="J14" s="2456"/>
      <c r="K14" s="2456"/>
      <c r="L14" s="2456"/>
      <c r="M14" s="2456"/>
      <c r="N14" s="2456"/>
      <c r="O14" s="2456"/>
      <c r="P14" s="2456"/>
      <c r="Q14" s="2456"/>
      <c r="R14" s="2456"/>
      <c r="S14" s="2456"/>
      <c r="T14" s="2456"/>
      <c r="U14" s="2456"/>
      <c r="V14" s="2456"/>
      <c r="W14" s="2457"/>
    </row>
    <row r="15" spans="1:25">
      <c r="C15" s="2056"/>
      <c r="D15" s="2056"/>
      <c r="E15" s="2056"/>
      <c r="F15" s="2056"/>
      <c r="G15" s="2056"/>
      <c r="H15" s="2056"/>
      <c r="I15" s="2056"/>
      <c r="J15" s="2056"/>
      <c r="K15" s="2056"/>
      <c r="L15" s="2056"/>
      <c r="M15" s="2056"/>
      <c r="N15" s="2056"/>
      <c r="O15" s="2056"/>
      <c r="P15" s="2056"/>
      <c r="Q15" s="2056"/>
      <c r="R15" s="2056"/>
      <c r="W15" s="2097"/>
    </row>
    <row r="16" spans="1:25">
      <c r="E16" s="2056"/>
      <c r="F16" s="2136" t="s">
        <v>91</v>
      </c>
      <c r="G16" s="2128"/>
      <c r="H16" s="2136" t="s">
        <v>92</v>
      </c>
      <c r="I16" s="2128"/>
      <c r="J16" s="2136" t="s">
        <v>93</v>
      </c>
      <c r="K16" s="2129"/>
      <c r="L16" s="2136" t="s">
        <v>94</v>
      </c>
      <c r="M16" s="2129"/>
      <c r="N16" s="2136" t="s">
        <v>95</v>
      </c>
      <c r="O16" s="2128"/>
      <c r="P16" s="2136" t="s">
        <v>96</v>
      </c>
      <c r="Q16" s="2128"/>
      <c r="R16" s="2136" t="s">
        <v>10</v>
      </c>
      <c r="S16" s="2128"/>
      <c r="T16" s="2136" t="s">
        <v>9</v>
      </c>
      <c r="U16" s="2128"/>
      <c r="V16" s="2136" t="s">
        <v>1917</v>
      </c>
      <c r="W16" s="2128"/>
      <c r="X16" s="2207" t="s">
        <v>2584</v>
      </c>
    </row>
    <row r="17" spans="1:24" s="2102" customFormat="1">
      <c r="E17" s="2104"/>
      <c r="G17" s="2103"/>
      <c r="H17" s="2103"/>
      <c r="I17" s="2103"/>
      <c r="J17" s="2103"/>
      <c r="K17" s="2103"/>
      <c r="L17" s="2103"/>
      <c r="M17" s="2103"/>
      <c r="N17" s="2103"/>
      <c r="O17" s="2103"/>
      <c r="P17" s="2103"/>
      <c r="Q17" s="2103"/>
      <c r="R17" s="2103"/>
      <c r="S17" s="2103"/>
      <c r="T17" s="2103"/>
    </row>
    <row r="18" spans="1:24" s="2102" customFormat="1">
      <c r="A18" s="2146" t="s">
        <v>2473</v>
      </c>
      <c r="E18" s="2104"/>
      <c r="O18" s="2103"/>
      <c r="Q18" s="2103"/>
      <c r="S18" s="2103"/>
    </row>
    <row r="19" spans="1:24">
      <c r="C19" s="2107" t="s">
        <v>2483</v>
      </c>
      <c r="E19" s="2056" t="s">
        <v>6</v>
      </c>
      <c r="F19" s="2132">
        <f>'SCH 21a'!E35</f>
        <v>42653</v>
      </c>
      <c r="G19" s="2145" t="s">
        <v>6</v>
      </c>
      <c r="H19" s="2132">
        <f>'SCH 21a'!G35</f>
        <v>44404</v>
      </c>
      <c r="I19" s="2145" t="s">
        <v>6</v>
      </c>
      <c r="J19" s="2132">
        <f>'SCH 21a'!I35</f>
        <v>46978</v>
      </c>
      <c r="K19" s="2145" t="s">
        <v>6</v>
      </c>
      <c r="L19" s="2132">
        <f>'SCH 21a'!K35</f>
        <v>50323</v>
      </c>
      <c r="M19" s="2145" t="s">
        <v>6</v>
      </c>
      <c r="N19" s="2132">
        <f>'SCH 21a'!M35</f>
        <v>51616</v>
      </c>
      <c r="O19" s="2145" t="s">
        <v>6</v>
      </c>
      <c r="P19" s="2132">
        <f>'SCH 21a'!O35</f>
        <v>52773</v>
      </c>
      <c r="Q19" s="2145" t="s">
        <v>6</v>
      </c>
      <c r="R19" s="2132">
        <f>'SCH 21a'!Q35</f>
        <v>52535</v>
      </c>
      <c r="S19" s="2145" t="s">
        <v>6</v>
      </c>
      <c r="T19" s="2132">
        <f>'SCH 21a'!S35</f>
        <v>52459</v>
      </c>
      <c r="U19" s="2145" t="s">
        <v>6</v>
      </c>
      <c r="V19" s="2132">
        <f>'SCH 21a'!U35</f>
        <v>51867</v>
      </c>
      <c r="W19" s="2145" t="s">
        <v>6</v>
      </c>
      <c r="X19" s="2132">
        <f>'SCH 21a'!W35</f>
        <v>50229</v>
      </c>
    </row>
    <row r="20" spans="1:24">
      <c r="C20" s="2107" t="s">
        <v>2499</v>
      </c>
      <c r="D20" s="2117"/>
      <c r="E20" s="2056" t="s">
        <v>6</v>
      </c>
      <c r="F20" s="2143">
        <f>'SCH 21a'!E36</f>
        <v>3.5799999999999998E-2</v>
      </c>
      <c r="G20" s="2144" t="s">
        <v>6</v>
      </c>
      <c r="H20" s="2143">
        <f>'SCH 21a'!G36</f>
        <v>4.1052212036667993E-2</v>
      </c>
      <c r="I20" s="2144" t="s">
        <v>6</v>
      </c>
      <c r="J20" s="2143">
        <f>'SCH 21a'!I36</f>
        <v>5.7967750653094313E-2</v>
      </c>
      <c r="K20" s="2144" t="s">
        <v>6</v>
      </c>
      <c r="L20" s="2143">
        <f>'SCH 21a'!K36</f>
        <v>7.1203542083528457E-2</v>
      </c>
      <c r="M20" s="2144" t="s">
        <v>6</v>
      </c>
      <c r="N20" s="2143">
        <f>'SCH 21a'!M36</f>
        <v>2.5694016652425333E-2</v>
      </c>
      <c r="O20" s="2144" t="s">
        <v>6</v>
      </c>
      <c r="P20" s="2143">
        <f>'SCH 21a'!O36</f>
        <v>2.2415530068195907E-2</v>
      </c>
      <c r="Q20" s="2144" t="s">
        <v>6</v>
      </c>
      <c r="R20" s="2143">
        <f>'SCH 21a'!Q36</f>
        <v>-4.5098819472078524E-3</v>
      </c>
      <c r="S20" s="2144" t="s">
        <v>6</v>
      </c>
      <c r="T20" s="2143">
        <f>'SCH 21a'!S36</f>
        <v>-1.4466546112115732E-3</v>
      </c>
      <c r="U20" s="2144" t="s">
        <v>6</v>
      </c>
      <c r="V20" s="2143">
        <f>'SCH 21a'!U36</f>
        <v>-1.1285003526563602E-2</v>
      </c>
      <c r="W20" s="2144" t="s">
        <v>6</v>
      </c>
      <c r="X20" s="2143">
        <f>'SCH 21a'!W36</f>
        <v>-3.1580773902481346E-2</v>
      </c>
    </row>
    <row r="21" spans="1:24">
      <c r="C21" s="2107" t="s">
        <v>2490</v>
      </c>
      <c r="E21" s="2056" t="s">
        <v>6</v>
      </c>
      <c r="F21" s="2064">
        <f>'SCH 21a'!E37</f>
        <v>2210</v>
      </c>
      <c r="G21" s="2142" t="s">
        <v>6</v>
      </c>
      <c r="H21" s="2064">
        <f>'SCH 21a'!G37</f>
        <v>2288.8659793814436</v>
      </c>
      <c r="I21" s="2142" t="s">
        <v>6</v>
      </c>
      <c r="J21" s="2064">
        <f>'SCH 21a'!I37</f>
        <v>2409.1282051282051</v>
      </c>
      <c r="K21" s="2142" t="s">
        <v>6</v>
      </c>
      <c r="L21" s="2064">
        <f>'SCH 21a'!K37</f>
        <v>2580</v>
      </c>
      <c r="M21" s="2142" t="s">
        <v>6</v>
      </c>
      <c r="N21" s="2064">
        <f>'SCH 21a'!M37</f>
        <v>2661</v>
      </c>
      <c r="O21" s="2142" t="s">
        <v>6</v>
      </c>
      <c r="P21" s="2064">
        <f>'SCH 21a'!O37</f>
        <v>2706</v>
      </c>
      <c r="Q21" s="2142" t="s">
        <v>6</v>
      </c>
      <c r="R21" s="2064">
        <f>'SCH 21a'!Q37</f>
        <v>2681</v>
      </c>
      <c r="S21" s="2142" t="s">
        <v>6</v>
      </c>
      <c r="T21" s="2064">
        <f>'SCH 21a'!S37</f>
        <v>2662.8934010152284</v>
      </c>
      <c r="U21" s="2142" t="s">
        <v>6</v>
      </c>
      <c r="V21" s="2064">
        <f>'SCH 21a'!U37</f>
        <v>2632.8426395939086</v>
      </c>
      <c r="W21" s="2142" t="s">
        <v>6</v>
      </c>
      <c r="X21" s="2064">
        <f>'SCH 21a'!W37</f>
        <v>2536.8181818181815</v>
      </c>
    </row>
    <row r="22" spans="1:24" s="2102" customFormat="1" ht="15.75" customHeight="1">
      <c r="E22" s="2056" t="s">
        <v>6</v>
      </c>
      <c r="F22" s="2134"/>
      <c r="H22" s="2134"/>
      <c r="J22" s="2134"/>
      <c r="L22" s="2134"/>
      <c r="N22" s="2135"/>
      <c r="O22" s="2103"/>
      <c r="P22" s="2135"/>
      <c r="Q22" s="2103"/>
      <c r="R22" s="2134"/>
      <c r="S22" s="2103"/>
      <c r="T22" s="2134"/>
    </row>
    <row r="23" spans="1:24">
      <c r="A23" s="2056" t="s">
        <v>2498</v>
      </c>
      <c r="D23" s="2056"/>
      <c r="E23" s="2056" t="s">
        <v>6</v>
      </c>
      <c r="O23" s="2097"/>
      <c r="Q23" s="2097"/>
      <c r="S23" s="2097"/>
    </row>
    <row r="24" spans="1:24">
      <c r="C24" s="2107" t="s">
        <v>2483</v>
      </c>
      <c r="D24" s="2056"/>
      <c r="E24" s="2056" t="s">
        <v>6</v>
      </c>
      <c r="F24" s="2124">
        <v>4084</v>
      </c>
      <c r="G24" s="2124"/>
      <c r="H24" s="2124">
        <v>3870</v>
      </c>
      <c r="I24" s="2124"/>
      <c r="J24" s="2124">
        <v>3588</v>
      </c>
      <c r="K24" s="2124"/>
      <c r="L24" s="2124">
        <v>3257</v>
      </c>
      <c r="M24" s="2124"/>
      <c r="N24" s="2124">
        <v>3012</v>
      </c>
      <c r="O24" s="2124"/>
      <c r="P24" s="2124">
        <v>2690</v>
      </c>
      <c r="Q24" s="2124"/>
      <c r="R24" s="2124">
        <v>2411</v>
      </c>
      <c r="S24" s="2124"/>
      <c r="T24" s="2124">
        <v>2054</v>
      </c>
      <c r="U24" s="2124"/>
      <c r="V24" s="2124">
        <v>1745</v>
      </c>
      <c r="W24" s="2124"/>
      <c r="X24" s="2124">
        <v>1378</v>
      </c>
    </row>
    <row r="25" spans="1:24">
      <c r="C25" s="2107" t="s">
        <v>2497</v>
      </c>
      <c r="D25" s="2056"/>
      <c r="E25" s="2056" t="s">
        <v>6</v>
      </c>
      <c r="F25" s="2127">
        <v>-4.53E-2</v>
      </c>
      <c r="G25" s="2129"/>
      <c r="H25" s="2127">
        <f>(+H24-F24)/F24</f>
        <v>-5.2399608227228209E-2</v>
      </c>
      <c r="I25" s="2129"/>
      <c r="J25" s="2127">
        <f>(+J24-H24)/H24</f>
        <v>-7.2868217054263565E-2</v>
      </c>
      <c r="K25" s="2128"/>
      <c r="L25" s="2127">
        <f>(+L24-J24)/J24</f>
        <v>-9.225195094760312E-2</v>
      </c>
      <c r="M25" s="2128"/>
      <c r="N25" s="2127">
        <f>(+N24-L24)/L24</f>
        <v>-7.5222597482345721E-2</v>
      </c>
      <c r="O25" s="2128"/>
      <c r="P25" s="2127">
        <f>(+P24-N24)/N24</f>
        <v>-0.10690571049136786</v>
      </c>
      <c r="Q25" s="2128"/>
      <c r="R25" s="2127">
        <f>(+R24-P24)/P24</f>
        <v>-0.10371747211895911</v>
      </c>
      <c r="S25" s="2128"/>
      <c r="T25" s="2127">
        <f>(+T24-R24)/R24</f>
        <v>-0.1480713396930734</v>
      </c>
      <c r="U25" s="2128"/>
      <c r="V25" s="2127">
        <f>(+V24-T24)/T24</f>
        <v>-0.15043816942551119</v>
      </c>
      <c r="W25" s="2128"/>
      <c r="X25" s="2127">
        <f>(+X24-V24)/V24</f>
        <v>-0.21031518624641835</v>
      </c>
    </row>
    <row r="26" spans="1:24">
      <c r="C26" s="2107" t="s">
        <v>2496</v>
      </c>
      <c r="D26" s="2056"/>
      <c r="E26" s="2056" t="s">
        <v>6</v>
      </c>
      <c r="F26" s="2124">
        <f>F24/19.3</f>
        <v>211.6062176165803</v>
      </c>
      <c r="G26" s="2124"/>
      <c r="H26" s="2124">
        <f>H24/19.4</f>
        <v>199.48453608247425</v>
      </c>
      <c r="I26" s="2124"/>
      <c r="J26" s="2124">
        <f>J24/19.5</f>
        <v>184</v>
      </c>
      <c r="K26" s="2124"/>
      <c r="L26" s="2124">
        <f>L24/19.5</f>
        <v>167.02564102564102</v>
      </c>
      <c r="M26" s="2124"/>
      <c r="N26" s="2124">
        <f>N24/19.4</f>
        <v>155.25773195876289</v>
      </c>
      <c r="O26" s="2124"/>
      <c r="P26" s="2124">
        <f>P24/19.5</f>
        <v>137.94871794871796</v>
      </c>
      <c r="Q26" s="2124"/>
      <c r="R26" s="2124">
        <f>R24/19.6</f>
        <v>123.01020408163265</v>
      </c>
      <c r="S26" s="2124"/>
      <c r="T26" s="2124">
        <f>T24/19.7</f>
        <v>104.26395939086295</v>
      </c>
      <c r="U26" s="2124"/>
      <c r="V26" s="2124">
        <f>V24/19.7</f>
        <v>88.578680203045693</v>
      </c>
      <c r="W26" s="2124"/>
      <c r="X26" s="2124">
        <f>X24/19.8</f>
        <v>69.595959595959599</v>
      </c>
    </row>
    <row r="27" spans="1:24">
      <c r="B27" s="2107"/>
      <c r="D27" s="2056"/>
      <c r="E27" s="2056" t="s">
        <v>6</v>
      </c>
      <c r="F27" s="2131"/>
      <c r="H27" s="2131"/>
      <c r="J27" s="2131"/>
      <c r="L27" s="2131"/>
      <c r="M27" s="2097"/>
      <c r="N27" s="2131"/>
      <c r="O27" s="2097"/>
      <c r="P27" s="2131"/>
      <c r="Q27" s="2097"/>
    </row>
    <row r="28" spans="1:24">
      <c r="A28" s="2056" t="s">
        <v>2495</v>
      </c>
      <c r="D28" s="2056"/>
      <c r="E28" s="2056" t="s">
        <v>6</v>
      </c>
      <c r="M28" s="2097"/>
      <c r="O28" s="2097"/>
      <c r="Q28" s="2097"/>
    </row>
    <row r="29" spans="1:24">
      <c r="C29" s="2107" t="s">
        <v>2487</v>
      </c>
      <c r="D29" s="2056"/>
      <c r="E29" s="2056" t="s">
        <v>6</v>
      </c>
      <c r="F29" s="2124">
        <v>484</v>
      </c>
      <c r="G29" s="2124"/>
      <c r="H29" s="2124">
        <v>464</v>
      </c>
      <c r="I29" s="2124"/>
      <c r="J29" s="2124">
        <v>442</v>
      </c>
      <c r="K29" s="2124"/>
      <c r="L29" s="2124">
        <v>419</v>
      </c>
      <c r="M29" s="2124"/>
      <c r="N29" s="2124">
        <v>396</v>
      </c>
      <c r="O29" s="2124"/>
      <c r="P29" s="2124">
        <v>368</v>
      </c>
      <c r="Q29" s="2124"/>
      <c r="R29" s="2124">
        <v>294</v>
      </c>
      <c r="S29" s="2124"/>
      <c r="T29" s="2124">
        <v>281</v>
      </c>
      <c r="U29" s="2124"/>
      <c r="V29" s="2124">
        <v>263</v>
      </c>
      <c r="W29" s="2124"/>
      <c r="X29" s="2124">
        <v>234</v>
      </c>
    </row>
    <row r="30" spans="1:24">
      <c r="C30" s="2107" t="s">
        <v>2494</v>
      </c>
      <c r="D30" s="2056"/>
      <c r="E30" s="2056" t="s">
        <v>6</v>
      </c>
      <c r="F30" s="2127">
        <v>-4.1599999999999998E-2</v>
      </c>
      <c r="G30" s="2129"/>
      <c r="H30" s="2127">
        <f>(+H29-F29)/F29</f>
        <v>-4.1322314049586778E-2</v>
      </c>
      <c r="I30" s="2129"/>
      <c r="J30" s="2127">
        <f>(+J29-H29)/H29</f>
        <v>-4.7413793103448273E-2</v>
      </c>
      <c r="K30" s="2128"/>
      <c r="L30" s="2127">
        <f>(+L29-J29)/J29</f>
        <v>-5.2036199095022627E-2</v>
      </c>
      <c r="M30" s="2128"/>
      <c r="N30" s="2127">
        <f>(+N29-L29)/L29</f>
        <v>-5.4892601431980909E-2</v>
      </c>
      <c r="O30" s="2128"/>
      <c r="P30" s="2127">
        <f>(+P29-N29)/N29</f>
        <v>-7.0707070707070704E-2</v>
      </c>
      <c r="Q30" s="2128"/>
      <c r="R30" s="2127">
        <f>(+R29-P29)/P29</f>
        <v>-0.20108695652173914</v>
      </c>
      <c r="S30" s="2128"/>
      <c r="T30" s="2127">
        <f>(+T29-R29)/R29</f>
        <v>-4.4217687074829932E-2</v>
      </c>
      <c r="U30" s="2128"/>
      <c r="V30" s="2127">
        <f>(+V29-T29)/T29</f>
        <v>-6.4056939501779361E-2</v>
      </c>
      <c r="W30" s="2128"/>
      <c r="X30" s="2127">
        <f>(+X29-V29)/V29</f>
        <v>-0.11026615969581749</v>
      </c>
    </row>
    <row r="31" spans="1:24">
      <c r="C31" s="2107" t="s">
        <v>2493</v>
      </c>
      <c r="D31" s="2056"/>
      <c r="E31" s="2056" t="s">
        <v>6</v>
      </c>
      <c r="F31" s="2124">
        <f>F29/19.4</f>
        <v>24.948453608247423</v>
      </c>
      <c r="G31" s="2124"/>
      <c r="H31" s="2124">
        <f>H29/19.4</f>
        <v>23.917525773195877</v>
      </c>
      <c r="I31" s="2124"/>
      <c r="J31" s="2124">
        <f>J29/19.5</f>
        <v>22.666666666666668</v>
      </c>
      <c r="K31" s="2124"/>
      <c r="L31" s="2124">
        <f>L29/19.5</f>
        <v>21.487179487179485</v>
      </c>
      <c r="M31" s="2124"/>
      <c r="N31" s="2124">
        <f>N29/19.4</f>
        <v>20.412371134020621</v>
      </c>
      <c r="O31" s="2124"/>
      <c r="P31" s="2124">
        <f>P29/19.5</f>
        <v>18.871794871794872</v>
      </c>
      <c r="Q31" s="2124"/>
      <c r="R31" s="2124">
        <f>R29/19.6</f>
        <v>14.999999999999998</v>
      </c>
      <c r="S31" s="2124"/>
      <c r="T31" s="2124">
        <f>T29/19.7</f>
        <v>14.263959390862945</v>
      </c>
      <c r="U31" s="2124"/>
      <c r="V31" s="2124">
        <f>V29/19.7</f>
        <v>13.350253807106599</v>
      </c>
      <c r="W31" s="2124"/>
      <c r="X31" s="2124">
        <f>X29/19.8</f>
        <v>11.818181818181818</v>
      </c>
    </row>
    <row r="32" spans="1:24" s="2102" customFormat="1">
      <c r="E32" s="2056" t="s">
        <v>6</v>
      </c>
    </row>
    <row r="33" spans="1:24">
      <c r="A33" s="2056" t="s">
        <v>2492</v>
      </c>
      <c r="D33" s="2056"/>
      <c r="E33" s="2056"/>
      <c r="F33" s="2064"/>
      <c r="G33" s="2064"/>
      <c r="H33" s="2064"/>
      <c r="I33" s="2064"/>
      <c r="J33" s="2064"/>
      <c r="K33" s="2064"/>
      <c r="L33" s="2064"/>
      <c r="M33" s="2064"/>
      <c r="N33" s="2064"/>
      <c r="O33" s="2064"/>
      <c r="P33" s="2064"/>
      <c r="Q33" s="2064"/>
      <c r="R33" s="2064"/>
      <c r="S33" s="2064"/>
      <c r="T33" s="2064"/>
      <c r="U33" s="2064"/>
      <c r="V33" s="2064"/>
      <c r="W33" s="2064"/>
      <c r="X33" s="2064"/>
    </row>
    <row r="34" spans="1:24">
      <c r="C34" s="2107" t="s">
        <v>2487</v>
      </c>
      <c r="D34" s="2056"/>
      <c r="E34" s="2056" t="s">
        <v>6</v>
      </c>
      <c r="F34" s="2124">
        <v>2457</v>
      </c>
      <c r="G34" s="2124"/>
      <c r="H34" s="2124">
        <v>2407</v>
      </c>
      <c r="I34" s="2124"/>
      <c r="J34" s="2124">
        <v>2355</v>
      </c>
      <c r="K34" s="2124"/>
      <c r="L34" s="2124">
        <v>2302</v>
      </c>
      <c r="M34" s="2124"/>
      <c r="N34" s="2124">
        <v>2246</v>
      </c>
      <c r="O34" s="2124"/>
      <c r="P34" s="2124">
        <v>2188</v>
      </c>
      <c r="Q34" s="2124"/>
      <c r="R34" s="2124">
        <v>2127</v>
      </c>
      <c r="S34" s="2124"/>
      <c r="T34" s="2124">
        <v>2063</v>
      </c>
      <c r="U34" s="2124"/>
      <c r="V34" s="2124">
        <v>1996</v>
      </c>
      <c r="W34" s="2124"/>
      <c r="X34" s="2124">
        <v>1961</v>
      </c>
    </row>
    <row r="35" spans="1:24">
      <c r="C35" s="2107" t="s">
        <v>2491</v>
      </c>
      <c r="D35" s="2056"/>
      <c r="E35" s="2056" t="s">
        <v>6</v>
      </c>
      <c r="F35" s="2127">
        <v>-1.9199999999999998E-2</v>
      </c>
      <c r="G35" s="2129"/>
      <c r="H35" s="2127">
        <f>(+H34-F34)/F34</f>
        <v>-2.0350020350020349E-2</v>
      </c>
      <c r="I35" s="2129"/>
      <c r="J35" s="2127">
        <f>(+J34-H34)/H34</f>
        <v>-2.1603656003323639E-2</v>
      </c>
      <c r="K35" s="2128"/>
      <c r="L35" s="2127">
        <f>(+L34-J34)/J34</f>
        <v>-2.2505307855626325E-2</v>
      </c>
      <c r="M35" s="2128"/>
      <c r="N35" s="2127">
        <f>(+N34-L34)/L34</f>
        <v>-2.4326672458731539E-2</v>
      </c>
      <c r="O35" s="2128"/>
      <c r="P35" s="2127">
        <f>(+P34-N34)/N34</f>
        <v>-2.5823686553873553E-2</v>
      </c>
      <c r="Q35" s="2128"/>
      <c r="R35" s="2127">
        <f>(+R34-P34)/P34</f>
        <v>-2.7879341864716637E-2</v>
      </c>
      <c r="S35" s="2128"/>
      <c r="T35" s="2127">
        <f>(+T34-R34)/R34</f>
        <v>-3.0089327691584389E-2</v>
      </c>
      <c r="U35" s="2128"/>
      <c r="V35" s="2127">
        <f>(+V34-T34)/T34</f>
        <v>-3.2476975278720309E-2</v>
      </c>
      <c r="W35" s="2128"/>
      <c r="X35" s="2127">
        <f>(+X34-V34)/V34</f>
        <v>-1.7535070140280561E-2</v>
      </c>
    </row>
    <row r="36" spans="1:24">
      <c r="C36" s="2107" t="s">
        <v>2490</v>
      </c>
      <c r="D36" s="2056"/>
      <c r="E36" s="2056" t="s">
        <v>6</v>
      </c>
      <c r="F36" s="2124">
        <f>F34/19.4</f>
        <v>126.64948453608248</v>
      </c>
      <c r="G36" s="2124"/>
      <c r="H36" s="2124">
        <f>H34/19.4</f>
        <v>124.07216494845362</v>
      </c>
      <c r="I36" s="2124"/>
      <c r="J36" s="2124">
        <f>J34/19.5</f>
        <v>120.76923076923077</v>
      </c>
      <c r="K36" s="2124"/>
      <c r="L36" s="2124">
        <f>L34/19.5</f>
        <v>118.05128205128206</v>
      </c>
      <c r="M36" s="2124"/>
      <c r="N36" s="2124">
        <f>N34/19.4</f>
        <v>115.77319587628867</v>
      </c>
      <c r="O36" s="2124"/>
      <c r="P36" s="2124">
        <f>P34/19.5</f>
        <v>112.2051282051282</v>
      </c>
      <c r="Q36" s="2124"/>
      <c r="R36" s="2124">
        <f>R34/19.6</f>
        <v>108.5204081632653</v>
      </c>
      <c r="S36" s="2124"/>
      <c r="T36" s="2124">
        <f>T34/19.7</f>
        <v>104.72081218274113</v>
      </c>
      <c r="U36" s="2124"/>
      <c r="V36" s="2124">
        <f>V34/19.7</f>
        <v>101.31979695431473</v>
      </c>
      <c r="W36" s="2124"/>
      <c r="X36" s="2124">
        <f>X34/19.8</f>
        <v>99.040404040404042</v>
      </c>
    </row>
    <row r="37" spans="1:24" s="2102" customFormat="1">
      <c r="E37" s="2056" t="s">
        <v>6</v>
      </c>
    </row>
    <row r="38" spans="1:24" s="2102" customFormat="1">
      <c r="A38" s="2056" t="s">
        <v>2536</v>
      </c>
      <c r="B38" s="2062"/>
      <c r="C38" s="2062"/>
      <c r="D38" s="2056"/>
      <c r="E38" s="2056"/>
      <c r="F38" s="2064"/>
      <c r="G38" s="2064"/>
      <c r="H38" s="2064"/>
      <c r="I38" s="2064"/>
      <c r="J38" s="2064"/>
      <c r="K38" s="2064"/>
      <c r="L38" s="2064"/>
      <c r="M38" s="2064"/>
      <c r="N38" s="2064"/>
      <c r="O38" s="2064"/>
      <c r="P38" s="2064"/>
      <c r="Q38" s="2064"/>
      <c r="R38" s="2064"/>
      <c r="S38" s="2064"/>
      <c r="T38" s="2064"/>
      <c r="U38" s="2064"/>
      <c r="V38" s="2064"/>
      <c r="W38" s="2064"/>
      <c r="X38" s="2064"/>
    </row>
    <row r="39" spans="1:24" s="2102" customFormat="1">
      <c r="A39" s="2062"/>
      <c r="B39" s="2062"/>
      <c r="C39" s="2107" t="s">
        <v>2487</v>
      </c>
      <c r="D39" s="2056"/>
      <c r="E39" s="2056" t="s">
        <v>6</v>
      </c>
      <c r="F39" s="2124">
        <v>0</v>
      </c>
      <c r="G39" s="2124">
        <v>0</v>
      </c>
      <c r="H39" s="2124">
        <v>0</v>
      </c>
      <c r="I39" s="2124">
        <v>0</v>
      </c>
      <c r="J39" s="2124">
        <v>0</v>
      </c>
      <c r="K39" s="2124">
        <v>0</v>
      </c>
      <c r="L39" s="2124">
        <v>0</v>
      </c>
      <c r="M39" s="2124">
        <v>0</v>
      </c>
      <c r="N39" s="2124">
        <v>0</v>
      </c>
      <c r="O39" s="2124">
        <v>0</v>
      </c>
      <c r="P39" s="2124">
        <v>0</v>
      </c>
      <c r="Q39" s="2124">
        <v>0</v>
      </c>
      <c r="R39" s="2124">
        <v>0</v>
      </c>
      <c r="S39" s="2124">
        <v>0</v>
      </c>
      <c r="T39" s="2124">
        <v>226</v>
      </c>
      <c r="U39" s="2124"/>
      <c r="V39" s="2124">
        <v>204</v>
      </c>
      <c r="W39" s="2124"/>
      <c r="X39" s="2124">
        <v>181</v>
      </c>
    </row>
    <row r="40" spans="1:24" s="2102" customFormat="1">
      <c r="A40" s="2062"/>
      <c r="B40" s="2062"/>
      <c r="C40" s="2107" t="s">
        <v>2491</v>
      </c>
      <c r="D40" s="2056"/>
      <c r="E40" s="2056" t="s">
        <v>6</v>
      </c>
      <c r="F40" s="2141">
        <v>0</v>
      </c>
      <c r="G40" s="2141"/>
      <c r="H40" s="2141">
        <v>0</v>
      </c>
      <c r="I40" s="2141"/>
      <c r="J40" s="2141">
        <v>0</v>
      </c>
      <c r="K40" s="2141"/>
      <c r="L40" s="2141">
        <v>0</v>
      </c>
      <c r="M40" s="2141"/>
      <c r="N40" s="2141">
        <v>0</v>
      </c>
      <c r="O40" s="2141"/>
      <c r="P40" s="2141">
        <v>0</v>
      </c>
      <c r="Q40" s="2141"/>
      <c r="R40" s="2141">
        <v>0</v>
      </c>
      <c r="S40" s="2141"/>
      <c r="T40" s="2127">
        <v>1</v>
      </c>
      <c r="U40" s="2128"/>
      <c r="V40" s="2127">
        <f>(+V39-T39)/T39</f>
        <v>-9.7345132743362831E-2</v>
      </c>
      <c r="W40" s="2128"/>
      <c r="X40" s="2127">
        <f>(+X39-V39)/V39</f>
        <v>-0.11274509803921569</v>
      </c>
    </row>
    <row r="41" spans="1:24" s="2102" customFormat="1">
      <c r="A41" s="2062"/>
      <c r="B41" s="2062"/>
      <c r="C41" s="2107" t="s">
        <v>2490</v>
      </c>
      <c r="D41" s="2056"/>
      <c r="E41" s="2056" t="s">
        <v>6</v>
      </c>
      <c r="F41" s="2124">
        <v>0</v>
      </c>
      <c r="G41" s="2124">
        <v>0</v>
      </c>
      <c r="H41" s="2124">
        <v>0</v>
      </c>
      <c r="I41" s="2124">
        <v>0</v>
      </c>
      <c r="J41" s="2124">
        <v>0</v>
      </c>
      <c r="K41" s="2124">
        <v>0</v>
      </c>
      <c r="L41" s="2124">
        <v>0</v>
      </c>
      <c r="M41" s="2124">
        <v>0</v>
      </c>
      <c r="N41" s="2124">
        <v>0</v>
      </c>
      <c r="O41" s="2124">
        <v>0</v>
      </c>
      <c r="P41" s="2124">
        <v>0</v>
      </c>
      <c r="Q41" s="2124">
        <v>0</v>
      </c>
      <c r="R41" s="2124">
        <v>0</v>
      </c>
      <c r="S41" s="2124">
        <v>0</v>
      </c>
      <c r="T41" s="2124">
        <f>T39/19.7</f>
        <v>11.472081218274113</v>
      </c>
      <c r="U41" s="2124"/>
      <c r="V41" s="2124">
        <f>V39/19.7</f>
        <v>10.355329949238579</v>
      </c>
      <c r="W41" s="2124"/>
      <c r="X41" s="2124">
        <f>X39/19.8</f>
        <v>9.1414141414141419</v>
      </c>
    </row>
    <row r="42" spans="1:24" s="2102" customFormat="1">
      <c r="A42" s="2062"/>
      <c r="B42" s="2062"/>
      <c r="C42" s="2107"/>
      <c r="D42" s="2056"/>
      <c r="E42" s="2056"/>
      <c r="F42" s="2124"/>
      <c r="G42" s="2124"/>
      <c r="H42" s="2124"/>
      <c r="I42" s="2124"/>
      <c r="J42" s="2124"/>
      <c r="K42" s="2124"/>
      <c r="L42" s="2124"/>
      <c r="M42" s="2124"/>
      <c r="N42" s="2124"/>
      <c r="O42" s="2124"/>
      <c r="P42" s="2124"/>
      <c r="Q42" s="2124"/>
      <c r="R42" s="2124"/>
      <c r="S42" s="2124"/>
      <c r="T42" s="2124"/>
      <c r="U42" s="2124"/>
      <c r="V42" s="2124"/>
      <c r="W42" s="2124"/>
      <c r="X42" s="2124"/>
    </row>
    <row r="43" spans="1:24">
      <c r="A43" s="2056" t="s">
        <v>2489</v>
      </c>
      <c r="B43" s="2056"/>
      <c r="C43" s="2107"/>
      <c r="D43" s="2056"/>
      <c r="E43" s="2056"/>
      <c r="F43" s="2064"/>
      <c r="G43" s="2064"/>
      <c r="H43" s="2064"/>
      <c r="I43" s="2064"/>
      <c r="J43" s="2064"/>
      <c r="K43" s="2064"/>
      <c r="L43" s="2064"/>
      <c r="M43" s="2064"/>
      <c r="N43" s="2064"/>
      <c r="O43" s="2064"/>
      <c r="P43" s="2064"/>
      <c r="Q43" s="2064"/>
      <c r="R43" s="2064"/>
      <c r="S43" s="2064"/>
      <c r="T43" s="2064"/>
      <c r="U43" s="2064"/>
      <c r="V43" s="2064"/>
      <c r="W43" s="2064"/>
      <c r="X43" s="2064"/>
    </row>
    <row r="44" spans="1:24">
      <c r="C44" s="2107" t="s">
        <v>2487</v>
      </c>
      <c r="D44" s="2056"/>
      <c r="E44" s="2056" t="s">
        <v>6</v>
      </c>
      <c r="F44" s="2124">
        <v>0</v>
      </c>
      <c r="G44" s="2124"/>
      <c r="H44" s="2124">
        <v>0</v>
      </c>
      <c r="I44" s="2124"/>
      <c r="J44" s="2124">
        <v>0</v>
      </c>
      <c r="K44" s="2124"/>
      <c r="L44" s="2124">
        <v>0</v>
      </c>
      <c r="M44" s="2124"/>
      <c r="N44" s="2124">
        <v>0</v>
      </c>
      <c r="O44" s="2124"/>
      <c r="P44" s="2124">
        <v>0</v>
      </c>
      <c r="Q44" s="2124"/>
      <c r="R44" s="2124">
        <v>0</v>
      </c>
      <c r="S44" s="2124"/>
      <c r="T44" s="2124">
        <v>440</v>
      </c>
      <c r="U44" s="2124"/>
      <c r="V44" s="2124">
        <v>437</v>
      </c>
      <c r="W44" s="2124"/>
      <c r="X44" s="2124">
        <v>985</v>
      </c>
    </row>
    <row r="45" spans="1:24">
      <c r="C45" s="2107" t="s">
        <v>2486</v>
      </c>
      <c r="D45" s="2056"/>
      <c r="E45" s="2056" t="s">
        <v>6</v>
      </c>
      <c r="F45" s="2141">
        <v>0</v>
      </c>
      <c r="G45" s="2128"/>
      <c r="H45" s="2141">
        <v>0</v>
      </c>
      <c r="I45" s="2128"/>
      <c r="J45" s="2141">
        <v>0</v>
      </c>
      <c r="K45" s="2128"/>
      <c r="L45" s="2141">
        <v>0</v>
      </c>
      <c r="M45" s="2128"/>
      <c r="N45" s="2141">
        <v>0</v>
      </c>
      <c r="O45" s="2128"/>
      <c r="P45" s="2141">
        <v>0</v>
      </c>
      <c r="Q45" s="2128"/>
      <c r="R45" s="2141">
        <v>0</v>
      </c>
      <c r="S45" s="2128"/>
      <c r="T45" s="2127">
        <v>1</v>
      </c>
      <c r="U45" s="2128"/>
      <c r="V45" s="2127">
        <f>(+V44-T44)/T44</f>
        <v>-6.8181818181818179E-3</v>
      </c>
      <c r="W45" s="2128"/>
      <c r="X45" s="2127">
        <f>(+X44-V44)/V44</f>
        <v>1.2540045766590389</v>
      </c>
    </row>
    <row r="46" spans="1:24">
      <c r="C46" s="2107" t="s">
        <v>2485</v>
      </c>
      <c r="D46" s="2056"/>
      <c r="E46" s="2056" t="s">
        <v>6</v>
      </c>
      <c r="F46" s="2124">
        <v>0</v>
      </c>
      <c r="G46" s="2124"/>
      <c r="H46" s="2124">
        <v>0</v>
      </c>
      <c r="I46" s="2124"/>
      <c r="J46" s="2124">
        <v>0</v>
      </c>
      <c r="K46" s="2124"/>
      <c r="L46" s="2124">
        <v>0</v>
      </c>
      <c r="M46" s="2124"/>
      <c r="N46" s="2124">
        <v>0</v>
      </c>
      <c r="O46" s="2124"/>
      <c r="P46" s="2124">
        <v>0</v>
      </c>
      <c r="Q46" s="2124"/>
      <c r="R46" s="2124">
        <v>0</v>
      </c>
      <c r="S46" s="2124"/>
      <c r="T46" s="2124">
        <f>T44/19.7</f>
        <v>22.335025380710661</v>
      </c>
      <c r="U46" s="2124"/>
      <c r="V46" s="2124">
        <f>V44/19.7</f>
        <v>22.18274111675127</v>
      </c>
      <c r="W46" s="2124"/>
      <c r="X46" s="2124">
        <f>X44/19.8</f>
        <v>49.747474747474747</v>
      </c>
    </row>
    <row r="47" spans="1:24" s="2102" customFormat="1">
      <c r="E47" s="2056"/>
    </row>
    <row r="48" spans="1:24">
      <c r="A48" s="2056" t="s">
        <v>2488</v>
      </c>
      <c r="D48" s="2056"/>
      <c r="E48" s="2056" t="s">
        <v>6</v>
      </c>
      <c r="M48" s="2097"/>
      <c r="O48" s="2097"/>
      <c r="Q48" s="2097"/>
    </row>
    <row r="49" spans="2:25">
      <c r="C49" s="2107" t="s">
        <v>2487</v>
      </c>
      <c r="D49" s="2056"/>
      <c r="E49" s="2056" t="s">
        <v>6</v>
      </c>
      <c r="F49" s="2124">
        <v>1300</v>
      </c>
      <c r="G49" s="2124"/>
      <c r="H49" s="2124">
        <v>1300</v>
      </c>
      <c r="I49" s="2124"/>
      <c r="J49" s="2124">
        <v>3651</v>
      </c>
      <c r="K49" s="2124"/>
      <c r="L49" s="2124">
        <v>4221</v>
      </c>
      <c r="M49" s="2124"/>
      <c r="N49" s="2124">
        <v>4430</v>
      </c>
      <c r="O49" s="2124"/>
      <c r="P49" s="2124">
        <v>5309</v>
      </c>
      <c r="Q49" s="2124"/>
      <c r="R49" s="2124">
        <v>6149</v>
      </c>
      <c r="S49" s="2124"/>
      <c r="T49" s="2124">
        <v>6052</v>
      </c>
      <c r="U49" s="2124"/>
      <c r="V49" s="2124">
        <v>6676</v>
      </c>
      <c r="W49" s="2124"/>
      <c r="X49" s="2124">
        <v>8044</v>
      </c>
    </row>
    <row r="50" spans="2:25">
      <c r="C50" s="2107" t="s">
        <v>2486</v>
      </c>
      <c r="D50" s="2056"/>
      <c r="E50" s="2056" t="s">
        <v>6</v>
      </c>
      <c r="F50" s="2141">
        <v>1</v>
      </c>
      <c r="G50" s="2128"/>
      <c r="H50" s="2141">
        <v>0</v>
      </c>
      <c r="I50" s="2128"/>
      <c r="J50" s="2127">
        <f>(+J49-H49)/H49</f>
        <v>1.8084615384615386</v>
      </c>
      <c r="K50" s="2128"/>
      <c r="L50" s="2127">
        <f>(+L49-J49)/J49</f>
        <v>0.1561216105176664</v>
      </c>
      <c r="M50" s="2128"/>
      <c r="N50" s="2127">
        <f>(+N49-L49)/L49</f>
        <v>4.9514333096422648E-2</v>
      </c>
      <c r="O50" s="2128"/>
      <c r="P50" s="2127">
        <f>(+P49-N49)/N49</f>
        <v>0.19841986455981941</v>
      </c>
      <c r="Q50" s="2128"/>
      <c r="R50" s="2127">
        <f>(+R49-P49)/P49</f>
        <v>0.15822188736108495</v>
      </c>
      <c r="S50" s="2128"/>
      <c r="T50" s="2127">
        <f>(+T49-R49)/R49</f>
        <v>-1.5774922751666937E-2</v>
      </c>
      <c r="U50" s="2128"/>
      <c r="V50" s="2127">
        <f>(+V49-T49)/T49</f>
        <v>0.10310641110376735</v>
      </c>
      <c r="W50" s="2128"/>
      <c r="X50" s="2127">
        <f>(+X49-V49)/V49</f>
        <v>0.20491312162971839</v>
      </c>
    </row>
    <row r="51" spans="2:25">
      <c r="C51" s="2107" t="s">
        <v>2485</v>
      </c>
      <c r="D51" s="2056"/>
      <c r="E51" s="2056" t="s">
        <v>6</v>
      </c>
      <c r="F51" s="2124">
        <f>F49/19.4</f>
        <v>67.010309278350519</v>
      </c>
      <c r="G51" s="2124"/>
      <c r="H51" s="2124">
        <f>H49/19.4</f>
        <v>67.010309278350519</v>
      </c>
      <c r="I51" s="2124"/>
      <c r="J51" s="2124">
        <f>J49/19.5</f>
        <v>187.23076923076923</v>
      </c>
      <c r="K51" s="2124"/>
      <c r="L51" s="2124">
        <f>L49/19.5</f>
        <v>216.46153846153845</v>
      </c>
      <c r="M51" s="2124"/>
      <c r="N51" s="2124">
        <f>N49/19.4</f>
        <v>228.35051546391753</v>
      </c>
      <c r="O51" s="2124"/>
      <c r="P51" s="2124">
        <f>P49/19.5</f>
        <v>272.25641025641028</v>
      </c>
      <c r="Q51" s="2124"/>
      <c r="R51" s="2124">
        <f>R49/19.6</f>
        <v>313.72448979591832</v>
      </c>
      <c r="S51" s="2124"/>
      <c r="T51" s="2124">
        <f>T49/19.7</f>
        <v>307.20812182741116</v>
      </c>
      <c r="U51" s="2124"/>
      <c r="V51" s="2124">
        <f>V49/19.7</f>
        <v>338.88324873096445</v>
      </c>
      <c r="W51" s="2124"/>
      <c r="X51" s="2124">
        <f>X49/19.8</f>
        <v>406.26262626262627</v>
      </c>
    </row>
    <row r="52" spans="2:25">
      <c r="C52" s="2107"/>
      <c r="D52" s="2056"/>
      <c r="E52" s="2056"/>
      <c r="F52" s="2064"/>
      <c r="G52" s="2064"/>
      <c r="H52" s="2064"/>
      <c r="I52" s="2064"/>
      <c r="J52" s="2064"/>
      <c r="K52" s="2064"/>
      <c r="L52" s="2064"/>
      <c r="M52" s="2064"/>
      <c r="N52" s="2064"/>
      <c r="O52" s="2064"/>
      <c r="P52" s="2064"/>
      <c r="Q52" s="2064"/>
      <c r="R52" s="2064"/>
      <c r="S52" s="2064"/>
      <c r="T52" s="2064"/>
      <c r="U52" s="2064"/>
      <c r="V52" s="2064"/>
      <c r="W52" s="2064"/>
      <c r="X52" s="2064"/>
    </row>
    <row r="53" spans="2:25">
      <c r="B53" s="2122"/>
      <c r="C53" s="2122"/>
      <c r="D53" s="2122"/>
      <c r="E53" s="2123"/>
      <c r="F53" s="2122"/>
      <c r="G53" s="2122"/>
      <c r="H53" s="2122"/>
      <c r="I53" s="2122"/>
      <c r="J53" s="2122"/>
      <c r="K53" s="2122"/>
      <c r="L53" s="2122"/>
      <c r="M53" s="2122"/>
      <c r="N53" s="2122"/>
      <c r="O53" s="2122"/>
      <c r="P53" s="2122"/>
      <c r="Q53" s="2122"/>
      <c r="R53" s="2122"/>
      <c r="S53" s="2122"/>
      <c r="T53" s="2122"/>
      <c r="U53" s="2122"/>
      <c r="V53" s="2122"/>
      <c r="W53" s="2122"/>
      <c r="X53" s="2122"/>
    </row>
    <row r="54" spans="2:25">
      <c r="E54" s="2056"/>
      <c r="F54" s="2102"/>
      <c r="G54" s="2103"/>
      <c r="H54" s="2103"/>
      <c r="I54" s="2103"/>
      <c r="J54" s="2103"/>
      <c r="K54" s="2103"/>
      <c r="L54" s="2103"/>
      <c r="M54" s="2103"/>
      <c r="N54" s="2103"/>
      <c r="O54" s="2103"/>
      <c r="P54" s="2103"/>
      <c r="Q54" s="2103"/>
      <c r="R54" s="2103"/>
      <c r="S54" s="2103"/>
      <c r="T54" s="2103"/>
      <c r="X54" s="2064"/>
    </row>
    <row r="55" spans="2:25">
      <c r="B55" s="2119" t="s">
        <v>2484</v>
      </c>
      <c r="E55" s="2056"/>
      <c r="F55" s="2064"/>
      <c r="G55" s="2064"/>
      <c r="H55" s="2064"/>
      <c r="I55" s="2064"/>
      <c r="J55" s="2064"/>
      <c r="K55" s="2064"/>
      <c r="L55" s="2064"/>
      <c r="M55" s="2064"/>
      <c r="N55" s="2064"/>
      <c r="O55" s="2064"/>
      <c r="P55" s="2064"/>
      <c r="Q55" s="2103"/>
      <c r="R55" s="2064"/>
      <c r="S55" s="2064"/>
      <c r="T55" s="2064"/>
      <c r="U55" s="2064"/>
      <c r="V55" s="2064"/>
      <c r="W55" s="2064"/>
      <c r="X55" s="2064"/>
    </row>
    <row r="56" spans="2:25">
      <c r="C56" s="2113" t="s">
        <v>2483</v>
      </c>
      <c r="D56" s="2056"/>
      <c r="E56" s="2056" t="s">
        <v>6</v>
      </c>
      <c r="F56" s="2058">
        <f>ROUND(SUM(+F19+F24+F29+F34+F49+F44),0)</f>
        <v>50978</v>
      </c>
      <c r="G56" s="2058" t="s">
        <v>6</v>
      </c>
      <c r="H56" s="2058">
        <f>ROUND(SUM(+H19+H24+H29+H34+H49+H44),0)</f>
        <v>52445</v>
      </c>
      <c r="I56" s="2058" t="s">
        <v>6</v>
      </c>
      <c r="J56" s="2058">
        <f>ROUND(SUM(+J19+J24+J29+J34+J49+J44),0)</f>
        <v>57014</v>
      </c>
      <c r="K56" s="2058" t="s">
        <v>6</v>
      </c>
      <c r="L56" s="2058">
        <f>ROUND(SUM(+L19+L24+L29+L34+L49+L44),0)</f>
        <v>60522</v>
      </c>
      <c r="M56" s="2058" t="s">
        <v>6</v>
      </c>
      <c r="N56" s="2058">
        <f>ROUND(SUM(+N19+N24+N29+N34+N49+N44),0)</f>
        <v>61700</v>
      </c>
      <c r="O56" s="2058" t="s">
        <v>6</v>
      </c>
      <c r="P56" s="2058">
        <f>ROUND(SUM(+P19+P24+P29+P34+P49+P44),0)</f>
        <v>63328</v>
      </c>
      <c r="Q56" s="2058" t="s">
        <v>6</v>
      </c>
      <c r="R56" s="2058">
        <f>ROUND(SUM(+R19+R24+R29+R34+R49+R44),0)</f>
        <v>63516</v>
      </c>
      <c r="S56" s="2058" t="s">
        <v>6</v>
      </c>
      <c r="T56" s="2058">
        <f>ROUND(SUM(+T19+T24+T29+T34+T49+T44+T39),0)</f>
        <v>63575</v>
      </c>
      <c r="U56" s="2058" t="s">
        <v>6</v>
      </c>
      <c r="V56" s="2058">
        <f>ROUND(SUM(+V19+V24+V29+V34+V49+V44+V39),0)</f>
        <v>63188</v>
      </c>
      <c r="W56" s="2058" t="s">
        <v>6</v>
      </c>
      <c r="X56" s="2058">
        <f>ROUND(SUM(+X19+X24+X29+X34+X49+X44+X39),0)</f>
        <v>63012</v>
      </c>
    </row>
    <row r="57" spans="2:25">
      <c r="C57" s="2113" t="s">
        <v>2482</v>
      </c>
      <c r="D57" s="2056"/>
      <c r="E57" s="2056" t="s">
        <v>6</v>
      </c>
      <c r="F57" s="2140">
        <v>5.1900000000000002E-2</v>
      </c>
      <c r="G57" s="2104"/>
      <c r="H57" s="2139">
        <f>ROUND(SUM((H56-F56)/F56),4)</f>
        <v>2.8799999999999999E-2</v>
      </c>
      <c r="I57" s="2139" t="s">
        <v>6</v>
      </c>
      <c r="J57" s="2139">
        <f>ROUND(SUM((J56-H56)/H56),4)</f>
        <v>8.7099999999999997E-2</v>
      </c>
      <c r="K57" s="2139" t="s">
        <v>6</v>
      </c>
      <c r="L57" s="2139">
        <f>ROUND(SUM((L56-J56)/J56),4)</f>
        <v>6.1499999999999999E-2</v>
      </c>
      <c r="M57" s="2139" t="s">
        <v>6</v>
      </c>
      <c r="N57" s="2139">
        <f>ROUND(SUM((N56-L56)/L56),4)</f>
        <v>1.95E-2</v>
      </c>
      <c r="O57" s="2139" t="s">
        <v>6</v>
      </c>
      <c r="P57" s="2139">
        <f>ROUND(SUM((P56-N56)/N56),4)</f>
        <v>2.64E-2</v>
      </c>
      <c r="Q57" s="2139" t="s">
        <v>6</v>
      </c>
      <c r="R57" s="2139">
        <f>ROUND(SUM((R56-P56)/P56),4)</f>
        <v>3.0000000000000001E-3</v>
      </c>
      <c r="S57" s="2139" t="s">
        <v>6</v>
      </c>
      <c r="T57" s="2139">
        <f>ROUND(SUM((T56-R56)/R56),4)</f>
        <v>8.9999999999999998E-4</v>
      </c>
      <c r="U57" s="2139" t="s">
        <v>6</v>
      </c>
      <c r="V57" s="2139">
        <f>ROUND(SUM((V56-T56)/T56),4)</f>
        <v>-6.1000000000000004E-3</v>
      </c>
      <c r="W57" s="2139" t="s">
        <v>6</v>
      </c>
      <c r="X57" s="2139">
        <f>ROUND(SUM((X56-V56)/V56),4)</f>
        <v>-2.8E-3</v>
      </c>
    </row>
    <row r="58" spans="2:25">
      <c r="C58" s="2113" t="s">
        <v>2481</v>
      </c>
      <c r="D58" s="2117"/>
      <c r="E58" s="2056" t="s">
        <v>6</v>
      </c>
      <c r="F58" s="2111">
        <v>2641</v>
      </c>
      <c r="G58" s="2058" t="s">
        <v>6</v>
      </c>
      <c r="H58" s="2111">
        <f>H56/19.4</f>
        <v>2703.3505154639179</v>
      </c>
      <c r="I58" s="2112"/>
      <c r="J58" s="2111">
        <f>J56/19.5</f>
        <v>2923.7948717948716</v>
      </c>
      <c r="K58" s="2112"/>
      <c r="L58" s="2111">
        <v>3102</v>
      </c>
      <c r="M58" s="2112"/>
      <c r="N58" s="2111">
        <f>N56/19.4</f>
        <v>3180.4123711340208</v>
      </c>
      <c r="O58" s="2111"/>
      <c r="P58" s="2111">
        <v>3247</v>
      </c>
      <c r="Q58" s="2111"/>
      <c r="R58" s="2111">
        <v>3242</v>
      </c>
      <c r="S58" s="2111"/>
      <c r="T58" s="2111">
        <f>T56/19.7</f>
        <v>3227.1573604060914</v>
      </c>
      <c r="U58" s="2111"/>
      <c r="V58" s="2111">
        <f>V56/19.7</f>
        <v>3207.5126903553301</v>
      </c>
      <c r="W58" s="2111"/>
      <c r="X58" s="2111">
        <f>X56/19.8</f>
        <v>3182.4242424242425</v>
      </c>
      <c r="Y58" s="2058">
        <f>ROUND(SUM(Y56/19.3),0)</f>
        <v>0</v>
      </c>
    </row>
    <row r="59" spans="2:25" ht="15.75" customHeight="1" thickBot="1">
      <c r="B59" s="2108"/>
      <c r="C59" s="2110"/>
      <c r="D59" s="2108"/>
      <c r="E59" s="2109"/>
      <c r="F59" s="2108"/>
      <c r="G59" s="2108"/>
      <c r="H59" s="2108"/>
      <c r="I59" s="2108"/>
      <c r="J59" s="2108"/>
      <c r="K59" s="2108"/>
      <c r="L59" s="2108"/>
      <c r="M59" s="2108"/>
      <c r="N59" s="2108"/>
      <c r="O59" s="2108"/>
      <c r="P59" s="2108"/>
      <c r="Q59" s="2108"/>
      <c r="R59" s="2108"/>
      <c r="S59" s="2108"/>
      <c r="T59" s="2108"/>
      <c r="U59" s="2108"/>
      <c r="V59" s="2108"/>
      <c r="W59" s="2108"/>
      <c r="X59" s="2108"/>
    </row>
    <row r="60" spans="2:25" ht="16" thickTop="1"/>
    <row r="61" spans="2:25" s="2102" customFormat="1">
      <c r="B61" s="2101" t="s">
        <v>2469</v>
      </c>
      <c r="E61" s="2104"/>
      <c r="F61" s="2104"/>
      <c r="G61" s="2104"/>
      <c r="H61" s="2104"/>
      <c r="I61" s="2104"/>
      <c r="J61" s="2104"/>
      <c r="K61" s="2104"/>
      <c r="L61" s="2104"/>
      <c r="M61" s="2104"/>
      <c r="N61" s="2104"/>
      <c r="O61" s="2103"/>
      <c r="P61" s="2104"/>
      <c r="Q61" s="2104"/>
      <c r="R61" s="2104"/>
      <c r="S61" s="2103"/>
      <c r="T61" s="2103"/>
      <c r="U61" s="2103"/>
      <c r="V61" s="2103"/>
      <c r="W61" s="2103"/>
      <c r="X61" s="2103"/>
    </row>
    <row r="62" spans="2:25">
      <c r="B62" s="2166"/>
    </row>
    <row r="67" spans="4:21">
      <c r="D67" s="2458"/>
      <c r="E67" s="2458"/>
      <c r="F67" s="2458"/>
      <c r="G67" s="2458"/>
      <c r="H67" s="2458"/>
      <c r="I67" s="2458"/>
      <c r="J67" s="2458"/>
      <c r="K67" s="2458"/>
      <c r="L67" s="2458"/>
      <c r="M67" s="2458"/>
      <c r="N67" s="2458"/>
      <c r="O67" s="2458"/>
      <c r="P67" s="2458"/>
      <c r="Q67" s="2458"/>
      <c r="R67" s="2458"/>
      <c r="S67" s="2458"/>
      <c r="T67" s="2458"/>
      <c r="U67" s="2458"/>
    </row>
    <row r="68" spans="4:21">
      <c r="D68" s="2458"/>
      <c r="E68" s="2458"/>
      <c r="F68" s="2458"/>
      <c r="G68" s="2458"/>
      <c r="H68" s="2458"/>
      <c r="I68" s="2458"/>
      <c r="J68" s="2458"/>
      <c r="K68" s="2458"/>
      <c r="L68" s="2458"/>
      <c r="M68" s="2458"/>
      <c r="N68" s="2458"/>
      <c r="O68" s="2458"/>
      <c r="P68" s="2458"/>
      <c r="Q68" s="2458"/>
      <c r="R68" s="2458"/>
      <c r="S68" s="2458"/>
      <c r="T68" s="2458"/>
      <c r="U68" s="2458"/>
    </row>
    <row r="69" spans="4:21">
      <c r="D69" s="2458"/>
      <c r="E69" s="2458"/>
      <c r="F69" s="2458"/>
      <c r="G69" s="2458"/>
      <c r="H69" s="2458"/>
      <c r="I69" s="2458"/>
      <c r="J69" s="2458"/>
      <c r="K69" s="2458"/>
      <c r="L69" s="2458"/>
      <c r="M69" s="2458"/>
      <c r="N69" s="2458"/>
      <c r="O69" s="2458"/>
      <c r="P69" s="2458"/>
      <c r="Q69" s="2458"/>
      <c r="R69" s="2458"/>
      <c r="S69" s="2458"/>
      <c r="T69" s="2458"/>
      <c r="U69" s="2458"/>
    </row>
    <row r="70" spans="4:21">
      <c r="D70" s="2458"/>
      <c r="E70" s="2458"/>
      <c r="F70" s="2458"/>
      <c r="G70" s="2458"/>
      <c r="H70" s="2458"/>
      <c r="I70" s="2458"/>
      <c r="J70" s="2458"/>
      <c r="K70" s="2458"/>
      <c r="L70" s="2458"/>
      <c r="M70" s="2458"/>
      <c r="N70" s="2458"/>
      <c r="O70" s="2458"/>
      <c r="P70" s="2458"/>
      <c r="Q70" s="2458"/>
      <c r="R70" s="2458"/>
      <c r="S70" s="2458"/>
      <c r="T70" s="2458"/>
      <c r="U70" s="2458"/>
    </row>
    <row r="71" spans="4:21">
      <c r="D71" s="2458"/>
      <c r="E71" s="2458"/>
      <c r="F71" s="2458"/>
      <c r="G71" s="2458"/>
      <c r="H71" s="2458"/>
      <c r="I71" s="2458"/>
      <c r="J71" s="2458"/>
      <c r="K71" s="2458"/>
      <c r="L71" s="2458"/>
      <c r="M71" s="2458"/>
      <c r="N71" s="2458"/>
      <c r="O71" s="2458"/>
      <c r="P71" s="2458"/>
      <c r="Q71" s="2458"/>
      <c r="R71" s="2458"/>
      <c r="S71" s="2458"/>
      <c r="T71" s="2458"/>
      <c r="U71" s="2458"/>
    </row>
    <row r="72" spans="4:21">
      <c r="D72" s="2458"/>
      <c r="E72" s="2458"/>
      <c r="F72" s="2458"/>
      <c r="G72" s="2458"/>
      <c r="H72" s="2458"/>
      <c r="I72" s="2458"/>
      <c r="J72" s="2458"/>
      <c r="K72" s="2458"/>
      <c r="L72" s="2458"/>
      <c r="M72" s="2458"/>
      <c r="N72" s="2458"/>
      <c r="O72" s="2458"/>
      <c r="P72" s="2458"/>
      <c r="Q72" s="2458"/>
      <c r="R72" s="2458"/>
      <c r="S72" s="2458"/>
      <c r="T72" s="2458"/>
      <c r="U72" s="2458"/>
    </row>
    <row r="73" spans="4:21">
      <c r="D73" s="2458"/>
      <c r="E73" s="2458"/>
      <c r="F73" s="2458"/>
      <c r="G73" s="2458"/>
      <c r="H73" s="2458"/>
      <c r="I73" s="2458"/>
      <c r="J73" s="2458"/>
      <c r="K73" s="2458"/>
      <c r="L73" s="2458"/>
      <c r="M73" s="2458"/>
      <c r="N73" s="2458"/>
      <c r="O73" s="2458"/>
      <c r="P73" s="2458"/>
      <c r="Q73" s="2458"/>
      <c r="R73" s="2458"/>
      <c r="S73" s="2458"/>
      <c r="T73" s="2458"/>
      <c r="U73" s="2458"/>
    </row>
    <row r="74" spans="4:21">
      <c r="D74" s="2458"/>
      <c r="E74" s="2458"/>
      <c r="F74" s="2458"/>
      <c r="G74" s="2458"/>
      <c r="H74" s="2458"/>
      <c r="I74" s="2458"/>
      <c r="J74" s="2458"/>
      <c r="K74" s="2458"/>
      <c r="L74" s="2458"/>
      <c r="M74" s="2458"/>
      <c r="N74" s="2458"/>
      <c r="O74" s="2458"/>
      <c r="P74" s="2458"/>
      <c r="Q74" s="2458"/>
      <c r="R74" s="2458"/>
      <c r="S74" s="2458"/>
      <c r="T74" s="2458"/>
      <c r="U74" s="2458"/>
    </row>
  </sheetData>
  <mergeCells count="4">
    <mergeCell ref="V4:X4"/>
    <mergeCell ref="V5:X5"/>
    <mergeCell ref="C8:W14"/>
    <mergeCell ref="D67:U74"/>
  </mergeCells>
  <printOptions horizontalCentered="1" verticalCentered="1"/>
  <pageMargins left="0.75" right="0.5" top="1" bottom="0.25" header="0.5" footer="0.25"/>
  <pageSetup scale="55" orientation="landscape"/>
  <headerFooter scaleWithDoc="0">
    <oddFooter>&amp;R&amp;8 105</oddFoot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80" zoomScaleNormal="80" zoomScaleSheetLayoutView="75" zoomScalePageLayoutView="80" workbookViewId="0"/>
  </sheetViews>
  <sheetFormatPr baseColWidth="10" defaultColWidth="9.5703125" defaultRowHeight="15" x14ac:dyDescent="0"/>
  <cols>
    <col min="1" max="1" width="4.140625" style="2062" customWidth="1"/>
    <col min="2" max="2" width="18.42578125" style="2062" customWidth="1"/>
    <col min="3" max="3" width="7.5703125" style="2062" customWidth="1"/>
    <col min="4" max="4" width="1" style="2062" customWidth="1"/>
    <col min="5" max="5" width="0.85546875" style="2062" customWidth="1"/>
    <col min="6" max="6" width="9.5703125" style="2062" bestFit="1" customWidth="1"/>
    <col min="7" max="7" width="1.5703125" style="2062" customWidth="1"/>
    <col min="8" max="8" width="9.5703125" style="2062" bestFit="1" customWidth="1"/>
    <col min="9" max="9" width="1.5703125" style="2062" customWidth="1"/>
    <col min="10" max="10" width="9.5703125" style="2062" bestFit="1" customWidth="1"/>
    <col min="11" max="11" width="1.5703125" style="2062" customWidth="1"/>
    <col min="12" max="12" width="9.5703125" style="2062" bestFit="1" customWidth="1"/>
    <col min="13" max="13" width="1.5703125" style="2062" customWidth="1"/>
    <col min="14" max="14" width="11" style="2062" customWidth="1"/>
    <col min="15" max="15" width="1.5703125" style="2062" customWidth="1"/>
    <col min="16" max="16" width="9.5703125" style="2062" bestFit="1" customWidth="1"/>
    <col min="17" max="17" width="1.85546875" style="2062" customWidth="1"/>
    <col min="18" max="18" width="9.5703125" style="2062" customWidth="1"/>
    <col min="19" max="19" width="1.5703125" style="2062" customWidth="1"/>
    <col min="20" max="20" width="10.140625" style="2062" customWidth="1"/>
    <col min="21" max="21" width="1.5703125" style="2062" customWidth="1"/>
    <col min="22" max="22" width="9.5703125" style="2062" customWidth="1"/>
    <col min="23" max="23" width="1.5703125" style="2062" customWidth="1"/>
    <col min="24" max="24" width="10.42578125" style="2062" customWidth="1"/>
    <col min="25" max="16384" width="9.5703125" style="2062"/>
  </cols>
  <sheetData>
    <row r="1" spans="1:24">
      <c r="A1" s="1582" t="s">
        <v>1443</v>
      </c>
    </row>
    <row r="3" spans="1:24" ht="17">
      <c r="A3" s="2061" t="s">
        <v>736</v>
      </c>
      <c r="B3" s="2055"/>
      <c r="C3" s="2061"/>
      <c r="D3" s="2061"/>
      <c r="E3" s="2061"/>
      <c r="F3" s="2061"/>
      <c r="G3" s="2061"/>
      <c r="H3" s="2061"/>
      <c r="I3" s="2061"/>
      <c r="J3" s="2061"/>
      <c r="K3" s="2061"/>
      <c r="L3" s="2061"/>
      <c r="M3" s="2056"/>
      <c r="N3" s="2056"/>
      <c r="O3" s="2056"/>
      <c r="P3" s="2056"/>
      <c r="Q3" s="2056"/>
      <c r="R3" s="2056"/>
      <c r="S3" s="2097"/>
      <c r="T3" s="2097"/>
      <c r="U3" s="2097"/>
      <c r="V3" s="2097"/>
      <c r="W3" s="2097"/>
    </row>
    <row r="4" spans="1:24" ht="17">
      <c r="A4" s="2060" t="s">
        <v>2520</v>
      </c>
      <c r="B4" s="2055"/>
      <c r="C4" s="2061"/>
      <c r="D4" s="2061"/>
      <c r="E4" s="2061"/>
      <c r="F4" s="2061"/>
      <c r="G4" s="2061"/>
      <c r="H4" s="2061"/>
      <c r="I4" s="2061"/>
      <c r="J4" s="2061"/>
      <c r="K4" s="2061"/>
      <c r="L4" s="2061"/>
      <c r="M4" s="2056"/>
      <c r="N4" s="2056"/>
      <c r="O4" s="2056"/>
      <c r="Q4" s="2056"/>
      <c r="R4" s="2099"/>
      <c r="S4" s="2100"/>
      <c r="T4" s="2100"/>
      <c r="U4" s="2099"/>
      <c r="V4" s="2436" t="s">
        <v>2519</v>
      </c>
      <c r="W4" s="2437"/>
      <c r="X4" s="2437"/>
    </row>
    <row r="5" spans="1:24" ht="17">
      <c r="A5" s="2095" t="s">
        <v>2595</v>
      </c>
      <c r="B5" s="2055"/>
      <c r="C5" s="2061"/>
      <c r="D5" s="2061"/>
      <c r="E5" s="2061"/>
      <c r="F5" s="2061"/>
      <c r="G5" s="2061"/>
      <c r="H5" s="2061"/>
      <c r="I5" s="2061"/>
      <c r="J5" s="2061"/>
      <c r="K5" s="2061"/>
      <c r="L5" s="2061"/>
      <c r="M5" s="2056"/>
      <c r="N5" s="2056"/>
      <c r="O5" s="2056"/>
      <c r="P5" s="2056"/>
      <c r="Q5" s="2056"/>
      <c r="R5" s="2056"/>
      <c r="V5" s="2438"/>
      <c r="W5" s="2439"/>
      <c r="X5" s="2439"/>
    </row>
    <row r="6" spans="1:24">
      <c r="A6" s="2098"/>
      <c r="C6" s="2056"/>
      <c r="D6" s="2056"/>
      <c r="E6" s="2056"/>
      <c r="F6" s="2056"/>
      <c r="G6" s="2056"/>
      <c r="H6" s="2056"/>
      <c r="I6" s="2056"/>
      <c r="J6" s="2056"/>
      <c r="K6" s="2056"/>
      <c r="L6" s="2056"/>
      <c r="M6" s="2056"/>
      <c r="N6" s="2056"/>
      <c r="O6" s="2056"/>
      <c r="P6" s="2056"/>
      <c r="Q6" s="2056"/>
      <c r="R6" s="2056"/>
      <c r="W6" s="2097"/>
    </row>
    <row r="7" spans="1:24" ht="16" thickBot="1">
      <c r="A7" s="2113"/>
      <c r="C7" s="2056"/>
      <c r="D7" s="2056"/>
      <c r="E7" s="2056"/>
      <c r="F7" s="2056"/>
      <c r="G7" s="2056"/>
      <c r="H7" s="2056"/>
      <c r="I7" s="2056"/>
      <c r="J7" s="2056"/>
      <c r="K7" s="2056"/>
      <c r="L7" s="2056"/>
      <c r="M7" s="2056"/>
      <c r="N7" s="2056"/>
      <c r="O7" s="2056"/>
      <c r="P7" s="2056"/>
      <c r="Q7" s="2056"/>
      <c r="R7" s="2056"/>
      <c r="W7" s="2097"/>
    </row>
    <row r="8" spans="1:24" ht="15" customHeight="1">
      <c r="C8" s="2449" t="s">
        <v>2569</v>
      </c>
      <c r="D8" s="2459"/>
      <c r="E8" s="2459"/>
      <c r="F8" s="2459"/>
      <c r="G8" s="2459"/>
      <c r="H8" s="2459"/>
      <c r="I8" s="2459"/>
      <c r="J8" s="2459"/>
      <c r="K8" s="2459"/>
      <c r="L8" s="2459"/>
      <c r="M8" s="2459"/>
      <c r="N8" s="2459"/>
      <c r="O8" s="2459"/>
      <c r="P8" s="2459"/>
      <c r="Q8" s="2459"/>
      <c r="R8" s="2459"/>
      <c r="S8" s="2459"/>
      <c r="T8" s="2460"/>
    </row>
    <row r="9" spans="1:24">
      <c r="C9" s="2461"/>
      <c r="D9" s="2462"/>
      <c r="E9" s="2462"/>
      <c r="F9" s="2462"/>
      <c r="G9" s="2462"/>
      <c r="H9" s="2462"/>
      <c r="I9" s="2462"/>
      <c r="J9" s="2462"/>
      <c r="K9" s="2462"/>
      <c r="L9" s="2462"/>
      <c r="M9" s="2462"/>
      <c r="N9" s="2462"/>
      <c r="O9" s="2462"/>
      <c r="P9" s="2462"/>
      <c r="Q9" s="2462"/>
      <c r="R9" s="2462"/>
      <c r="S9" s="2462"/>
      <c r="T9" s="2463"/>
    </row>
    <row r="10" spans="1:24">
      <c r="C10" s="2461"/>
      <c r="D10" s="2462"/>
      <c r="E10" s="2462"/>
      <c r="F10" s="2462"/>
      <c r="G10" s="2462"/>
      <c r="H10" s="2462"/>
      <c r="I10" s="2462"/>
      <c r="J10" s="2462"/>
      <c r="K10" s="2462"/>
      <c r="L10" s="2462"/>
      <c r="M10" s="2462"/>
      <c r="N10" s="2462"/>
      <c r="O10" s="2462"/>
      <c r="P10" s="2462"/>
      <c r="Q10" s="2462"/>
      <c r="R10" s="2462"/>
      <c r="S10" s="2462"/>
      <c r="T10" s="2463"/>
    </row>
    <row r="11" spans="1:24">
      <c r="C11" s="2461"/>
      <c r="D11" s="2462"/>
      <c r="E11" s="2462"/>
      <c r="F11" s="2462"/>
      <c r="G11" s="2462"/>
      <c r="H11" s="2462"/>
      <c r="I11" s="2462"/>
      <c r="J11" s="2462"/>
      <c r="K11" s="2462"/>
      <c r="L11" s="2462"/>
      <c r="M11" s="2462"/>
      <c r="N11" s="2462"/>
      <c r="O11" s="2462"/>
      <c r="P11" s="2462"/>
      <c r="Q11" s="2462"/>
      <c r="R11" s="2462"/>
      <c r="S11" s="2462"/>
      <c r="T11" s="2463"/>
    </row>
    <row r="12" spans="1:24">
      <c r="C12" s="2464"/>
      <c r="D12" s="2465"/>
      <c r="E12" s="2465"/>
      <c r="F12" s="2465"/>
      <c r="G12" s="2465"/>
      <c r="H12" s="2465"/>
      <c r="I12" s="2465"/>
      <c r="J12" s="2465"/>
      <c r="K12" s="2465"/>
      <c r="L12" s="2465"/>
      <c r="M12" s="2465"/>
      <c r="N12" s="2465"/>
      <c r="O12" s="2465"/>
      <c r="P12" s="2465"/>
      <c r="Q12" s="2465"/>
      <c r="R12" s="2465"/>
      <c r="S12" s="2465"/>
      <c r="T12" s="2466"/>
    </row>
    <row r="13" spans="1:24" ht="16" thickBot="1">
      <c r="C13" s="2467"/>
      <c r="D13" s="2468"/>
      <c r="E13" s="2468"/>
      <c r="F13" s="2468"/>
      <c r="G13" s="2468"/>
      <c r="H13" s="2468"/>
      <c r="I13" s="2468"/>
      <c r="J13" s="2468"/>
      <c r="K13" s="2468"/>
      <c r="L13" s="2468"/>
      <c r="M13" s="2468"/>
      <c r="N13" s="2468"/>
      <c r="O13" s="2468"/>
      <c r="P13" s="2468"/>
      <c r="Q13" s="2468"/>
      <c r="R13" s="2468"/>
      <c r="S13" s="2468"/>
      <c r="T13" s="2469"/>
    </row>
    <row r="14" spans="1:24">
      <c r="A14" s="2113"/>
      <c r="C14" s="2056"/>
      <c r="D14" s="2056"/>
      <c r="E14" s="2056"/>
      <c r="F14" s="2056"/>
      <c r="G14" s="2056"/>
      <c r="H14" s="2056"/>
      <c r="I14" s="2056"/>
      <c r="J14" s="2056"/>
      <c r="K14" s="2056"/>
      <c r="L14" s="2056"/>
      <c r="M14" s="2056"/>
      <c r="N14" s="2056"/>
      <c r="O14" s="2056"/>
      <c r="P14" s="2056"/>
      <c r="Q14" s="2056"/>
      <c r="R14" s="2056"/>
      <c r="W14" s="2097"/>
    </row>
    <row r="15" spans="1:24">
      <c r="B15" s="2056"/>
      <c r="C15" s="2056"/>
      <c r="D15" s="2056"/>
      <c r="E15" s="2056"/>
      <c r="F15" s="2056"/>
      <c r="G15" s="2056"/>
      <c r="H15" s="2056"/>
      <c r="I15" s="2056"/>
      <c r="J15" s="2056"/>
      <c r="K15" s="2056"/>
      <c r="L15" s="2056"/>
      <c r="M15" s="2056"/>
      <c r="N15" s="2056"/>
      <c r="O15" s="2056"/>
      <c r="P15" s="2056"/>
      <c r="Q15" s="2056"/>
      <c r="R15" s="2056"/>
      <c r="W15" s="2097"/>
    </row>
    <row r="16" spans="1:24">
      <c r="E16" s="2056"/>
      <c r="F16" s="2136" t="s">
        <v>91</v>
      </c>
      <c r="G16" s="2128"/>
      <c r="H16" s="2136" t="s">
        <v>92</v>
      </c>
      <c r="I16" s="2128"/>
      <c r="J16" s="2136" t="s">
        <v>93</v>
      </c>
      <c r="K16" s="2129"/>
      <c r="L16" s="2136" t="s">
        <v>94</v>
      </c>
      <c r="M16" s="2129"/>
      <c r="N16" s="2136" t="s">
        <v>95</v>
      </c>
      <c r="O16" s="2128"/>
      <c r="P16" s="2136" t="s">
        <v>96</v>
      </c>
      <c r="Q16" s="2128"/>
      <c r="R16" s="2136" t="s">
        <v>10</v>
      </c>
      <c r="S16" s="2128"/>
      <c r="T16" s="2136" t="s">
        <v>9</v>
      </c>
      <c r="U16" s="2128"/>
      <c r="V16" s="2136" t="s">
        <v>1917</v>
      </c>
      <c r="W16" s="2128"/>
      <c r="X16" s="2207" t="s">
        <v>2584</v>
      </c>
    </row>
    <row r="17" spans="1:24" s="2102" customFormat="1">
      <c r="E17" s="2104"/>
      <c r="F17" s="2134"/>
      <c r="H17" s="2134"/>
      <c r="J17" s="2134"/>
      <c r="L17" s="2134"/>
      <c r="N17" s="2134"/>
      <c r="P17" s="2135"/>
      <c r="Q17" s="2103"/>
      <c r="R17" s="2135"/>
      <c r="S17" s="2103"/>
      <c r="T17" s="2134"/>
      <c r="U17" s="2103"/>
      <c r="V17" s="2134"/>
    </row>
    <row r="18" spans="1:24" s="2102" customFormat="1">
      <c r="A18" s="2146" t="s">
        <v>2484</v>
      </c>
      <c r="B18" s="2146"/>
      <c r="E18" s="2104"/>
      <c r="J18" s="2103"/>
      <c r="L18" s="2103"/>
      <c r="N18" s="2103"/>
      <c r="P18" s="2103"/>
      <c r="Q18" s="2103"/>
      <c r="R18" s="2103"/>
      <c r="S18" s="2103"/>
      <c r="T18" s="2103"/>
      <c r="U18" s="2103"/>
      <c r="V18" s="2103"/>
    </row>
    <row r="19" spans="1:24">
      <c r="B19" s="2062" t="s">
        <v>2518</v>
      </c>
      <c r="C19" s="2056"/>
      <c r="D19" s="2056" t="s">
        <v>6</v>
      </c>
      <c r="E19" s="2148"/>
      <c r="F19" s="2161">
        <f>'SCH 21b'!F56</f>
        <v>50978</v>
      </c>
      <c r="G19" s="2162" t="s">
        <v>6</v>
      </c>
      <c r="H19" s="2161">
        <f>'SCH 21b'!H56</f>
        <v>52445</v>
      </c>
      <c r="I19" s="2162" t="s">
        <v>6</v>
      </c>
      <c r="J19" s="2161">
        <f>'SCH 21b'!J56</f>
        <v>57014</v>
      </c>
      <c r="K19" s="2162" t="s">
        <v>6</v>
      </c>
      <c r="L19" s="2161">
        <f>'SCH 21b'!L56</f>
        <v>60522</v>
      </c>
      <c r="M19" s="2162" t="s">
        <v>6</v>
      </c>
      <c r="N19" s="2161">
        <f>'SCH 21b'!N56</f>
        <v>61700</v>
      </c>
      <c r="O19" s="2162" t="s">
        <v>6</v>
      </c>
      <c r="P19" s="2161">
        <f>'SCH 21b'!P56</f>
        <v>63328</v>
      </c>
      <c r="Q19" s="2162" t="s">
        <v>6</v>
      </c>
      <c r="R19" s="2161">
        <f>'SCH 21b'!R56</f>
        <v>63516</v>
      </c>
      <c r="S19" s="2162" t="s">
        <v>6</v>
      </c>
      <c r="T19" s="2161">
        <f>'SCH 21b'!T56</f>
        <v>63575</v>
      </c>
      <c r="U19" s="2162" t="s">
        <v>6</v>
      </c>
      <c r="V19" s="2161">
        <f>'SCH 21b'!V56</f>
        <v>63188</v>
      </c>
      <c r="W19" s="2162" t="s">
        <v>6</v>
      </c>
      <c r="X19" s="2161">
        <f>'SCH 21b'!X56</f>
        <v>63012</v>
      </c>
    </row>
    <row r="20" spans="1:24">
      <c r="B20" s="2062" t="s">
        <v>2517</v>
      </c>
      <c r="C20" s="2056"/>
      <c r="D20" s="2056" t="s">
        <v>6</v>
      </c>
      <c r="E20" s="2148"/>
      <c r="F20" s="2143">
        <f>'SCH 21b'!F57</f>
        <v>5.1900000000000002E-2</v>
      </c>
      <c r="G20" s="2144" t="s">
        <v>6</v>
      </c>
      <c r="H20" s="2143">
        <f>'SCH 21b'!H57</f>
        <v>2.8799999999999999E-2</v>
      </c>
      <c r="I20" s="2144" t="s">
        <v>6</v>
      </c>
      <c r="J20" s="2143">
        <f>'SCH 21b'!J57</f>
        <v>8.7099999999999997E-2</v>
      </c>
      <c r="K20" s="2144" t="s">
        <v>6</v>
      </c>
      <c r="L20" s="2143">
        <f>'SCH 21b'!L57</f>
        <v>6.1499999999999999E-2</v>
      </c>
      <c r="M20" s="2144" t="s">
        <v>6</v>
      </c>
      <c r="N20" s="2143">
        <f>'SCH 21b'!N57</f>
        <v>1.95E-2</v>
      </c>
      <c r="O20" s="2144" t="s">
        <v>6</v>
      </c>
      <c r="P20" s="2143">
        <f>'SCH 21b'!P57</f>
        <v>2.64E-2</v>
      </c>
      <c r="Q20" s="2144" t="s">
        <v>6</v>
      </c>
      <c r="R20" s="2143">
        <f>'SCH 21b'!R57</f>
        <v>3.0000000000000001E-3</v>
      </c>
      <c r="S20" s="2144" t="s">
        <v>6</v>
      </c>
      <c r="T20" s="2143">
        <f>'SCH 21b'!T57</f>
        <v>8.9999999999999998E-4</v>
      </c>
      <c r="U20" s="2144" t="s">
        <v>6</v>
      </c>
      <c r="V20" s="2143">
        <f>'SCH 21b'!V57</f>
        <v>-6.1000000000000004E-3</v>
      </c>
      <c r="W20" s="2144" t="s">
        <v>6</v>
      </c>
      <c r="X20" s="2143">
        <f>'SCH 21b'!X57</f>
        <v>-2.8E-3</v>
      </c>
    </row>
    <row r="21" spans="1:24">
      <c r="B21" s="2062" t="s">
        <v>2516</v>
      </c>
      <c r="C21" s="2117"/>
      <c r="D21" s="2117" t="s">
        <v>6</v>
      </c>
      <c r="E21" s="2148"/>
      <c r="F21" s="2064">
        <f>'SCH 21b'!F58</f>
        <v>2641</v>
      </c>
      <c r="G21" s="2142" t="s">
        <v>6</v>
      </c>
      <c r="H21" s="2064">
        <f>'SCH 21b'!H58</f>
        <v>2703.3505154639179</v>
      </c>
      <c r="I21" s="2142" t="s">
        <v>6</v>
      </c>
      <c r="J21" s="2064">
        <f>'SCH 21b'!J58</f>
        <v>2923.7948717948716</v>
      </c>
      <c r="K21" s="2142" t="s">
        <v>6</v>
      </c>
      <c r="L21" s="2064">
        <f>'SCH 21b'!L58</f>
        <v>3102</v>
      </c>
      <c r="M21" s="2142" t="s">
        <v>6</v>
      </c>
      <c r="N21" s="2064">
        <f>'SCH 21b'!N58</f>
        <v>3180.4123711340208</v>
      </c>
      <c r="O21" s="2142" t="s">
        <v>6</v>
      </c>
      <c r="P21" s="2064">
        <f>'SCH 21b'!P58</f>
        <v>3247</v>
      </c>
      <c r="Q21" s="2142" t="s">
        <v>6</v>
      </c>
      <c r="R21" s="2064">
        <f>'SCH 21b'!R58</f>
        <v>3242</v>
      </c>
      <c r="S21" s="2142" t="s">
        <v>6</v>
      </c>
      <c r="T21" s="2064">
        <f>'SCH 21b'!T58</f>
        <v>3227.1573604060914</v>
      </c>
      <c r="U21" s="2142" t="s">
        <v>6</v>
      </c>
      <c r="V21" s="2064">
        <f>'SCH 21b'!V58</f>
        <v>3207.5126903553301</v>
      </c>
      <c r="W21" s="2142" t="s">
        <v>6</v>
      </c>
      <c r="X21" s="2064">
        <f>'SCH 21b'!X58</f>
        <v>3182.4242424242425</v>
      </c>
    </row>
    <row r="22" spans="1:24">
      <c r="E22" s="2148"/>
      <c r="F22" s="2134"/>
      <c r="H22" s="2134"/>
      <c r="J22" s="2134"/>
      <c r="L22" s="2134"/>
      <c r="N22" s="2134"/>
      <c r="P22" s="2135"/>
      <c r="Q22" s="2097"/>
      <c r="R22" s="2135"/>
      <c r="S22" s="2097"/>
      <c r="T22" s="2134"/>
      <c r="U22" s="2097"/>
      <c r="V22" s="2134"/>
      <c r="X22" s="2134"/>
    </row>
    <row r="23" spans="1:24" s="2152" customFormat="1">
      <c r="A23" s="2082" t="s">
        <v>2515</v>
      </c>
      <c r="E23" s="2148"/>
      <c r="F23" s="2062"/>
      <c r="G23" s="2062"/>
      <c r="H23" s="2062"/>
      <c r="I23" s="2062"/>
      <c r="J23" s="2062"/>
      <c r="K23" s="2062"/>
      <c r="L23" s="2062"/>
      <c r="M23" s="2062"/>
      <c r="N23" s="2062"/>
      <c r="O23" s="2062"/>
      <c r="P23" s="2062"/>
      <c r="Q23" s="2097"/>
      <c r="R23" s="2062"/>
      <c r="S23" s="2097"/>
      <c r="T23" s="2062"/>
      <c r="U23" s="2097"/>
      <c r="V23" s="2160"/>
      <c r="X23" s="2062"/>
    </row>
    <row r="24" spans="1:24" s="2152" customFormat="1">
      <c r="B24" s="2062" t="s">
        <v>2514</v>
      </c>
      <c r="D24" s="2152" t="s">
        <v>6</v>
      </c>
      <c r="E24" s="2148"/>
      <c r="F24" s="2124">
        <v>56</v>
      </c>
      <c r="G24" s="2124"/>
      <c r="H24" s="2124">
        <v>50</v>
      </c>
      <c r="I24" s="2124"/>
      <c r="J24" s="2124">
        <v>40</v>
      </c>
      <c r="K24" s="2124"/>
      <c r="L24" s="2124">
        <v>30</v>
      </c>
      <c r="M24" s="2124"/>
      <c r="N24" s="2124">
        <v>26</v>
      </c>
      <c r="O24" s="2124"/>
      <c r="P24" s="2124">
        <v>20</v>
      </c>
      <c r="Q24" s="2124"/>
      <c r="R24" s="2124">
        <v>12</v>
      </c>
      <c r="S24" s="2124"/>
      <c r="T24" s="2124">
        <v>7</v>
      </c>
      <c r="U24" s="2124"/>
      <c r="V24" s="2124">
        <v>2</v>
      </c>
      <c r="W24" s="2124"/>
      <c r="X24" s="2124">
        <v>2</v>
      </c>
    </row>
    <row r="25" spans="1:24" s="2152" customFormat="1">
      <c r="B25" s="2062" t="s">
        <v>2513</v>
      </c>
      <c r="D25" s="2152" t="s">
        <v>6</v>
      </c>
      <c r="E25" s="2148"/>
      <c r="F25" s="2127">
        <v>-0.16420000000000001</v>
      </c>
      <c r="G25" s="2129"/>
      <c r="H25" s="2127">
        <f>(+H24-F24)/F24</f>
        <v>-0.10714285714285714</v>
      </c>
      <c r="I25" s="2129"/>
      <c r="J25" s="2127">
        <f>(+J24-H24)/H24</f>
        <v>-0.2</v>
      </c>
      <c r="K25" s="2158"/>
      <c r="L25" s="2127">
        <f>(+L24-J24)/J24</f>
        <v>-0.25</v>
      </c>
      <c r="M25" s="2158"/>
      <c r="N25" s="2127">
        <f>(+N24-L24)/L24</f>
        <v>-0.13333333333333333</v>
      </c>
      <c r="O25" s="2158"/>
      <c r="P25" s="2127">
        <f>(+P24-N24)/N24</f>
        <v>-0.23076923076923078</v>
      </c>
      <c r="Q25" s="2158"/>
      <c r="R25" s="2127">
        <f>(+R24-P24)/P24</f>
        <v>-0.4</v>
      </c>
      <c r="S25" s="2158"/>
      <c r="T25" s="2127">
        <f>(+T24-R24)/R24</f>
        <v>-0.41666666666666669</v>
      </c>
      <c r="U25" s="2158"/>
      <c r="V25" s="2127">
        <f>(+V24-T24)/T24</f>
        <v>-0.7142857142857143</v>
      </c>
      <c r="W25" s="2158"/>
      <c r="X25" s="2127">
        <f>(+X24-V24)/V24</f>
        <v>0</v>
      </c>
    </row>
    <row r="26" spans="1:24" s="2152" customFormat="1">
      <c r="B26" s="2062" t="s">
        <v>2512</v>
      </c>
      <c r="D26" s="2152" t="s">
        <v>6</v>
      </c>
      <c r="E26" s="2148"/>
      <c r="F26" s="2124">
        <f>F24/19.3</f>
        <v>2.9015544041450778</v>
      </c>
      <c r="G26" s="2124"/>
      <c r="H26" s="2124">
        <f>H24/19.4</f>
        <v>2.5773195876288661</v>
      </c>
      <c r="I26" s="2124"/>
      <c r="J26" s="2124">
        <f>J24/19.5</f>
        <v>2.0512820512820511</v>
      </c>
      <c r="K26" s="2124"/>
      <c r="L26" s="2124">
        <f>L24/19.5</f>
        <v>1.5384615384615385</v>
      </c>
      <c r="M26" s="2124"/>
      <c r="N26" s="2124">
        <f>N24/19.4</f>
        <v>1.3402061855670104</v>
      </c>
      <c r="O26" s="2124"/>
      <c r="P26" s="2124">
        <f>P24/19.5</f>
        <v>1.0256410256410255</v>
      </c>
      <c r="Q26" s="2124"/>
      <c r="R26" s="2124">
        <f>R24/19.6</f>
        <v>0.61224489795918358</v>
      </c>
      <c r="S26" s="2124"/>
      <c r="T26" s="2124">
        <f>ROUND(T24/19.7,0)</f>
        <v>0</v>
      </c>
      <c r="U26" s="2124"/>
      <c r="V26" s="2124">
        <f>ROUND(V24/19.7,0)</f>
        <v>0</v>
      </c>
      <c r="W26" s="2124"/>
      <c r="X26" s="2124">
        <f>ROUND(X24/19.8,0)</f>
        <v>0</v>
      </c>
    </row>
    <row r="27" spans="1:24" s="2152" customFormat="1">
      <c r="E27" s="2148"/>
      <c r="F27" s="2131"/>
      <c r="G27" s="2062"/>
      <c r="H27" s="2062"/>
      <c r="I27" s="2062"/>
      <c r="J27" s="2062"/>
      <c r="K27" s="2062"/>
      <c r="L27" s="2062"/>
      <c r="M27" s="2062"/>
      <c r="N27" s="2062"/>
      <c r="O27" s="2097"/>
      <c r="P27" s="2062"/>
      <c r="Q27" s="2097"/>
      <c r="R27" s="2062"/>
      <c r="S27" s="2097"/>
      <c r="T27" s="2062"/>
      <c r="V27" s="2062"/>
      <c r="X27" s="2062"/>
    </row>
    <row r="28" spans="1:24" s="2152" customFormat="1">
      <c r="A28" s="2082" t="s">
        <v>2684</v>
      </c>
      <c r="E28" s="2148"/>
      <c r="F28" s="2131"/>
      <c r="G28" s="2062"/>
      <c r="H28" s="2062"/>
      <c r="I28" s="2062"/>
      <c r="J28" s="2062"/>
      <c r="K28" s="2062"/>
      <c r="L28" s="2062"/>
      <c r="M28" s="2062"/>
      <c r="N28" s="2062"/>
      <c r="O28" s="2097"/>
      <c r="P28" s="2062"/>
      <c r="Q28" s="2097"/>
      <c r="R28" s="2062"/>
      <c r="S28" s="2097"/>
      <c r="T28" s="2062"/>
      <c r="V28" s="2062"/>
      <c r="X28" s="2062"/>
    </row>
    <row r="29" spans="1:24" s="2152" customFormat="1">
      <c r="B29" s="2062" t="s">
        <v>2511</v>
      </c>
      <c r="D29" s="2152" t="s">
        <v>6</v>
      </c>
      <c r="E29" s="2148"/>
      <c r="F29" s="2124">
        <v>775</v>
      </c>
      <c r="G29" s="2124"/>
      <c r="H29" s="2124">
        <v>713</v>
      </c>
      <c r="I29" s="2124"/>
      <c r="J29" s="2124">
        <v>682</v>
      </c>
      <c r="K29" s="2124"/>
      <c r="L29" s="2124">
        <v>637</v>
      </c>
      <c r="M29" s="2124"/>
      <c r="N29" s="2124">
        <v>586</v>
      </c>
      <c r="O29" s="2124"/>
      <c r="P29" s="2124">
        <v>503</v>
      </c>
      <c r="Q29" s="2124"/>
      <c r="R29" s="2124">
        <v>422</v>
      </c>
      <c r="S29" s="2124"/>
      <c r="T29" s="2124">
        <v>126</v>
      </c>
      <c r="U29" s="2124"/>
      <c r="V29" s="2124">
        <v>100</v>
      </c>
      <c r="W29" s="2124"/>
      <c r="X29" s="2124">
        <v>76</v>
      </c>
    </row>
    <row r="30" spans="1:24" s="2152" customFormat="1">
      <c r="B30" s="2062" t="s">
        <v>2510</v>
      </c>
      <c r="D30" s="2152" t="s">
        <v>6</v>
      </c>
      <c r="E30" s="2148"/>
      <c r="F30" s="2127">
        <v>7.4099999999999999E-2</v>
      </c>
      <c r="G30" s="2129"/>
      <c r="H30" s="2127">
        <f>(+H29-F29)/F29</f>
        <v>-0.08</v>
      </c>
      <c r="I30" s="2129"/>
      <c r="J30" s="2127">
        <f>(+J29-H29)/H29</f>
        <v>-4.3478260869565216E-2</v>
      </c>
      <c r="K30" s="2128"/>
      <c r="L30" s="2127">
        <f>(+L29-J29)/J29</f>
        <v>-6.5982404692082108E-2</v>
      </c>
      <c r="M30" s="2128"/>
      <c r="N30" s="2127">
        <f>(+N29-L29)/L29</f>
        <v>-8.0062794348508631E-2</v>
      </c>
      <c r="O30" s="2128"/>
      <c r="P30" s="2127">
        <f>(+P29-N29)/N29</f>
        <v>-0.14163822525597269</v>
      </c>
      <c r="Q30" s="2128"/>
      <c r="R30" s="2127">
        <f>(+R29-P29)/P29</f>
        <v>-0.1610337972166998</v>
      </c>
      <c r="S30" s="2128"/>
      <c r="T30" s="2127">
        <f>(+T29-R29)/R29</f>
        <v>-0.70142180094786732</v>
      </c>
      <c r="U30" s="2128"/>
      <c r="V30" s="2127">
        <f>(+V29-T29)/T29</f>
        <v>-0.20634920634920634</v>
      </c>
      <c r="W30" s="2128"/>
      <c r="X30" s="2127">
        <f>(+X29-V29)/V29</f>
        <v>-0.24</v>
      </c>
    </row>
    <row r="31" spans="1:24" s="2152" customFormat="1">
      <c r="B31" s="2062" t="s">
        <v>2509</v>
      </c>
      <c r="D31" s="2152" t="s">
        <v>6</v>
      </c>
      <c r="E31" s="2148"/>
      <c r="F31" s="2124">
        <f>F29/19.3</f>
        <v>40.155440414507773</v>
      </c>
      <c r="G31" s="2124"/>
      <c r="H31" s="2124">
        <f>H29/19.4</f>
        <v>36.75257731958763</v>
      </c>
      <c r="I31" s="2124"/>
      <c r="J31" s="2124">
        <f>J29/19.5</f>
        <v>34.974358974358971</v>
      </c>
      <c r="K31" s="2124"/>
      <c r="L31" s="2124">
        <f>L29/19.5</f>
        <v>32.666666666666664</v>
      </c>
      <c r="M31" s="2124"/>
      <c r="N31" s="2124">
        <f>N29/19.4</f>
        <v>30.206185567010312</v>
      </c>
      <c r="O31" s="2124"/>
      <c r="P31" s="2124">
        <f>P29/19.5</f>
        <v>25.794871794871796</v>
      </c>
      <c r="Q31" s="2124"/>
      <c r="R31" s="2124">
        <f>R29/19.6</f>
        <v>21.530612244897959</v>
      </c>
      <c r="S31" s="2124"/>
      <c r="T31" s="2124">
        <f>T29/19.7</f>
        <v>6.3959390862944163</v>
      </c>
      <c r="U31" s="2124"/>
      <c r="V31" s="2124">
        <f>V29/19.7</f>
        <v>5.0761421319796955</v>
      </c>
      <c r="W31" s="2124"/>
      <c r="X31" s="2124">
        <f>X29/19.8</f>
        <v>3.8383838383838382</v>
      </c>
    </row>
    <row r="32" spans="1:24" s="2152" customFormat="1">
      <c r="B32" s="2159"/>
      <c r="E32" s="2148"/>
      <c r="F32" s="2131"/>
      <c r="G32" s="2062"/>
      <c r="H32" s="2131"/>
      <c r="I32" s="2062"/>
      <c r="J32" s="2131"/>
      <c r="K32" s="2062"/>
      <c r="L32" s="2131"/>
      <c r="M32" s="2062"/>
      <c r="N32" s="2131"/>
      <c r="O32" s="2097"/>
      <c r="P32" s="2131"/>
      <c r="Q32" s="2097"/>
      <c r="R32" s="2131"/>
      <c r="S32" s="2097"/>
      <c r="T32" s="2131"/>
      <c r="V32" s="2131"/>
      <c r="X32" s="2131"/>
    </row>
    <row r="33" spans="1:24" s="2152" customFormat="1">
      <c r="A33" s="2082" t="s">
        <v>2508</v>
      </c>
      <c r="E33" s="2148"/>
      <c r="F33" s="2062"/>
      <c r="G33" s="2062"/>
      <c r="H33" s="2062"/>
      <c r="I33" s="2062"/>
      <c r="J33" s="2062"/>
      <c r="K33" s="2062"/>
      <c r="L33" s="2062"/>
      <c r="M33" s="2062"/>
      <c r="N33" s="2062"/>
      <c r="O33" s="2097"/>
      <c r="P33" s="2062"/>
      <c r="Q33" s="2097"/>
      <c r="R33" s="2062"/>
      <c r="S33" s="2097"/>
      <c r="T33" s="2062"/>
      <c r="V33" s="2062"/>
      <c r="X33" s="2062"/>
    </row>
    <row r="34" spans="1:24" s="2152" customFormat="1">
      <c r="B34" s="2062" t="s">
        <v>2507</v>
      </c>
      <c r="D34" s="2152" t="s">
        <v>6</v>
      </c>
      <c r="E34" s="2148"/>
      <c r="F34" s="2124">
        <v>42</v>
      </c>
      <c r="G34" s="2124"/>
      <c r="H34" s="2124">
        <v>37</v>
      </c>
      <c r="I34" s="2124"/>
      <c r="J34" s="2124">
        <v>33</v>
      </c>
      <c r="K34" s="2124"/>
      <c r="L34" s="2124">
        <v>28</v>
      </c>
      <c r="M34" s="2124"/>
      <c r="N34" s="2124">
        <v>23</v>
      </c>
      <c r="O34" s="2124"/>
      <c r="P34" s="2124">
        <v>19</v>
      </c>
      <c r="Q34" s="2124"/>
      <c r="R34" s="2124">
        <v>15</v>
      </c>
      <c r="S34" s="2124"/>
      <c r="T34" s="2124">
        <v>12</v>
      </c>
      <c r="U34" s="2124"/>
      <c r="V34" s="2124">
        <v>9</v>
      </c>
      <c r="W34" s="2124"/>
      <c r="X34" s="2124">
        <v>6</v>
      </c>
    </row>
    <row r="35" spans="1:24" s="2152" customFormat="1">
      <c r="B35" s="2062" t="s">
        <v>2506</v>
      </c>
      <c r="D35" s="2152" t="s">
        <v>6</v>
      </c>
      <c r="E35" s="2148"/>
      <c r="F35" s="2127">
        <v>-0.33329999999999999</v>
      </c>
      <c r="G35" s="2129"/>
      <c r="H35" s="2127">
        <f>(+H34-F34)/F34</f>
        <v>-0.11904761904761904</v>
      </c>
      <c r="I35" s="2129"/>
      <c r="J35" s="2127">
        <f>(+J34-H34)/H34</f>
        <v>-0.10810810810810811</v>
      </c>
      <c r="K35" s="2158"/>
      <c r="L35" s="2127">
        <f>(+L34-J34)/J34</f>
        <v>-0.15151515151515152</v>
      </c>
      <c r="M35" s="2158"/>
      <c r="N35" s="2127">
        <f>(+N34-L34)/L34</f>
        <v>-0.17857142857142858</v>
      </c>
      <c r="O35" s="2158"/>
      <c r="P35" s="2127">
        <f>(+P34-N34)/N34</f>
        <v>-0.17391304347826086</v>
      </c>
      <c r="Q35" s="2158"/>
      <c r="R35" s="2127">
        <f>(+R34-P34)/P34</f>
        <v>-0.21052631578947367</v>
      </c>
      <c r="S35" s="2158"/>
      <c r="T35" s="2127">
        <f>(+T34-R34)/R34</f>
        <v>-0.2</v>
      </c>
      <c r="U35" s="2158"/>
      <c r="V35" s="2127">
        <f>(+V34-T34)/T34</f>
        <v>-0.25</v>
      </c>
      <c r="W35" s="2158"/>
      <c r="X35" s="2127">
        <f>(+X34-V34)/V34</f>
        <v>-0.33333333333333331</v>
      </c>
    </row>
    <row r="36" spans="1:24" s="2152" customFormat="1">
      <c r="B36" s="2062" t="s">
        <v>2505</v>
      </c>
      <c r="D36" s="2152" t="s">
        <v>6</v>
      </c>
      <c r="E36" s="2148"/>
      <c r="F36" s="2124">
        <f>F34/19.3</f>
        <v>2.176165803108808</v>
      </c>
      <c r="G36" s="2124"/>
      <c r="H36" s="2124">
        <f>H34/19.4</f>
        <v>1.9072164948453609</v>
      </c>
      <c r="I36" s="2124"/>
      <c r="J36" s="2124">
        <f>J34/19.5</f>
        <v>1.6923076923076923</v>
      </c>
      <c r="K36" s="2124"/>
      <c r="L36" s="2124">
        <f>L34/19.5</f>
        <v>1.4358974358974359</v>
      </c>
      <c r="M36" s="2124"/>
      <c r="N36" s="2124">
        <f>N34/19.4</f>
        <v>1.1855670103092784</v>
      </c>
      <c r="O36" s="2124"/>
      <c r="P36" s="2124">
        <f>P34/19.5</f>
        <v>0.97435897435897434</v>
      </c>
      <c r="Q36" s="2124"/>
      <c r="R36" s="2124">
        <f>R34/19.6</f>
        <v>0.76530612244897955</v>
      </c>
      <c r="S36" s="2124"/>
      <c r="T36" s="2124">
        <f>T34/19.7</f>
        <v>0.6091370558375635</v>
      </c>
      <c r="U36" s="2124"/>
      <c r="V36" s="2124">
        <f>ROUND(V34/19.7,0)</f>
        <v>0</v>
      </c>
      <c r="W36" s="2124"/>
      <c r="X36" s="2124">
        <f>ROUND(X34/19.8,0)</f>
        <v>0</v>
      </c>
    </row>
    <row r="37" spans="1:24" s="2152" customFormat="1">
      <c r="A37" s="2154"/>
      <c r="B37" s="2157"/>
      <c r="C37" s="2154"/>
      <c r="D37" s="2156"/>
      <c r="E37" s="2148"/>
      <c r="F37" s="2153"/>
      <c r="G37" s="2153"/>
      <c r="H37" s="2153"/>
      <c r="I37" s="2122"/>
      <c r="J37" s="2153"/>
      <c r="K37" s="2122"/>
      <c r="L37" s="2153"/>
      <c r="M37" s="2122"/>
      <c r="N37" s="2153"/>
      <c r="O37" s="2122"/>
      <c r="P37" s="2153"/>
      <c r="Q37" s="2155"/>
      <c r="R37" s="2153"/>
      <c r="S37" s="2155"/>
      <c r="T37" s="2153"/>
      <c r="U37" s="2155"/>
      <c r="V37" s="2153"/>
      <c r="W37" s="2154"/>
      <c r="X37" s="2153"/>
    </row>
    <row r="38" spans="1:24">
      <c r="D38" s="2151"/>
      <c r="E38" s="2151"/>
      <c r="F38" s="2102"/>
      <c r="G38" s="2102"/>
      <c r="H38" s="2102"/>
      <c r="I38" s="2103"/>
      <c r="J38" s="2103"/>
      <c r="K38" s="2103"/>
      <c r="L38" s="2103"/>
      <c r="M38" s="2103"/>
      <c r="N38" s="2103"/>
      <c r="O38" s="2103"/>
      <c r="P38" s="2103"/>
      <c r="Q38" s="2103"/>
      <c r="R38" s="2103"/>
      <c r="S38" s="2103"/>
      <c r="T38" s="2103"/>
      <c r="U38" s="2103"/>
      <c r="V38" s="2103"/>
      <c r="X38" s="2103"/>
    </row>
    <row r="39" spans="1:24">
      <c r="A39" s="2119" t="s">
        <v>2568</v>
      </c>
      <c r="E39" s="2056"/>
      <c r="F39" s="2102"/>
      <c r="G39" s="2102"/>
      <c r="H39" s="2102"/>
      <c r="I39" s="2102"/>
      <c r="J39" s="2103"/>
      <c r="K39" s="2102"/>
      <c r="L39" s="2103"/>
      <c r="M39" s="2102"/>
      <c r="N39" s="2103"/>
      <c r="O39" s="2102"/>
      <c r="P39" s="2103"/>
      <c r="Q39" s="2103"/>
      <c r="R39" s="2103"/>
      <c r="S39" s="2103"/>
      <c r="T39" s="2103"/>
      <c r="U39" s="2103"/>
      <c r="V39" s="2103"/>
      <c r="X39" s="2103"/>
    </row>
    <row r="40" spans="1:24">
      <c r="B40" s="2056" t="s">
        <v>2504</v>
      </c>
      <c r="C40" s="2056"/>
      <c r="D40" s="2056" t="s">
        <v>6</v>
      </c>
      <c r="E40" s="2148"/>
      <c r="F40" s="2111">
        <f>SUM(F24+F29+F34+F19)</f>
        <v>51851</v>
      </c>
      <c r="G40" s="2118"/>
      <c r="H40" s="2111">
        <f>SUM(H24+H29+H34+H19)</f>
        <v>53245</v>
      </c>
      <c r="I40" s="2118"/>
      <c r="J40" s="2111">
        <f>SUM(J24+J29+J34+J19)</f>
        <v>57769</v>
      </c>
      <c r="K40" s="2118"/>
      <c r="L40" s="2111">
        <f>SUM(L24+L29+L34+L19)</f>
        <v>61217</v>
      </c>
      <c r="M40" s="2118"/>
      <c r="N40" s="2111">
        <f>SUM(N24+N29+N34+N19)</f>
        <v>62335</v>
      </c>
      <c r="O40" s="2118"/>
      <c r="P40" s="2111">
        <f>SUM(P24+P29+P34+P19)</f>
        <v>63870</v>
      </c>
      <c r="Q40" s="2118"/>
      <c r="R40" s="2111">
        <f>SUM(R24+R29+R34+R19)</f>
        <v>63965</v>
      </c>
      <c r="S40" s="2118"/>
      <c r="T40" s="2111">
        <f>SUM(T24+T29+T34+T19)</f>
        <v>63720</v>
      </c>
      <c r="U40" s="2118"/>
      <c r="V40" s="2111">
        <f>SUM(V24+V29+V34+V19)</f>
        <v>63299</v>
      </c>
      <c r="W40" s="2118"/>
      <c r="X40" s="2111">
        <f>SUM(X24+X29+X34+X19)</f>
        <v>63096</v>
      </c>
    </row>
    <row r="41" spans="1:24">
      <c r="B41" s="2056" t="s">
        <v>2503</v>
      </c>
      <c r="C41" s="2056"/>
      <c r="D41" s="2056" t="s">
        <v>6</v>
      </c>
      <c r="E41" s="2148"/>
      <c r="F41" s="2140">
        <v>4.8899999999999999E-2</v>
      </c>
      <c r="G41" s="2150"/>
      <c r="H41" s="2140">
        <f>SUM(H40-F40)/F40</f>
        <v>2.6884727391950011E-2</v>
      </c>
      <c r="I41" s="2150"/>
      <c r="J41" s="2140">
        <f>SUM(J40-H40)/H40</f>
        <v>8.4965724481171942E-2</v>
      </c>
      <c r="K41" s="2150"/>
      <c r="L41" s="2140">
        <f>SUM(L40-J40)/J40</f>
        <v>5.9685990756287978E-2</v>
      </c>
      <c r="M41" s="2150"/>
      <c r="N41" s="2140">
        <f>SUM(N40-L40)/L40</f>
        <v>1.8262900828201315E-2</v>
      </c>
      <c r="O41" s="2149"/>
      <c r="P41" s="2140">
        <f>SUM(P40-N40)/N40</f>
        <v>2.4625010026469881E-2</v>
      </c>
      <c r="Q41" s="2149"/>
      <c r="R41" s="2140">
        <f>SUM(R40-P40)/P40</f>
        <v>1.4873962736809143E-3</v>
      </c>
      <c r="S41" s="2149"/>
      <c r="T41" s="2140">
        <f>SUM(T40-R40)/R40</f>
        <v>-3.8302196513718438E-3</v>
      </c>
      <c r="U41" s="2115"/>
      <c r="V41" s="2140">
        <f>SUM(V40-T40)/T40</f>
        <v>-6.6070307595731325E-3</v>
      </c>
      <c r="W41" s="2115"/>
      <c r="X41" s="2140">
        <f>SUM(X40-V40)/V40</f>
        <v>-3.2070016903900534E-3</v>
      </c>
    </row>
    <row r="42" spans="1:24">
      <c r="B42" s="2056" t="s">
        <v>2502</v>
      </c>
      <c r="C42" s="2117"/>
      <c r="D42" s="2117" t="s">
        <v>6</v>
      </c>
      <c r="E42" s="2148"/>
      <c r="F42" s="2111">
        <v>2686</v>
      </c>
      <c r="G42" s="2111"/>
      <c r="H42" s="2111">
        <f>H40/19.4</f>
        <v>2744.5876288659797</v>
      </c>
      <c r="I42" s="2111"/>
      <c r="J42" s="2111">
        <f>J40/19.5</f>
        <v>2962.5128205128203</v>
      </c>
      <c r="K42" s="2111"/>
      <c r="L42" s="2111">
        <v>3138</v>
      </c>
      <c r="M42" s="2112"/>
      <c r="N42" s="2111">
        <v>3212</v>
      </c>
      <c r="O42" s="2112"/>
      <c r="P42" s="2111">
        <f>P40/19.5</f>
        <v>3275.3846153846152</v>
      </c>
      <c r="Q42" s="2112"/>
      <c r="R42" s="2111">
        <v>3266</v>
      </c>
      <c r="S42" s="2111"/>
      <c r="T42" s="2111">
        <f>T40/19.7</f>
        <v>3234.5177664974622</v>
      </c>
      <c r="U42" s="2111"/>
      <c r="V42" s="2111">
        <f>V40/19.7</f>
        <v>3213.1472081218276</v>
      </c>
      <c r="W42" s="2111"/>
      <c r="X42" s="2111">
        <f>X40/19.8</f>
        <v>3186.6666666666665</v>
      </c>
    </row>
    <row r="43" spans="1:24" ht="15.75" customHeight="1" thickBot="1">
      <c r="A43" s="2108"/>
      <c r="B43" s="2110"/>
      <c r="C43" s="2108"/>
      <c r="D43" s="2108"/>
      <c r="E43" s="2109"/>
    </row>
    <row r="44" spans="1:24" ht="15.75" customHeight="1" thickTop="1">
      <c r="B44" s="2107"/>
      <c r="E44" s="2056"/>
      <c r="F44" s="2106"/>
      <c r="G44" s="2106"/>
      <c r="H44" s="2106"/>
      <c r="I44" s="2106"/>
      <c r="J44" s="2106"/>
      <c r="K44" s="2106"/>
      <c r="L44" s="2106"/>
      <c r="M44" s="2106"/>
      <c r="N44" s="2106"/>
      <c r="O44" s="2105"/>
      <c r="P44" s="2106"/>
      <c r="Q44" s="2106"/>
      <c r="R44" s="2106"/>
      <c r="S44" s="2105"/>
      <c r="T44" s="2105"/>
      <c r="U44" s="2105"/>
      <c r="V44" s="2105"/>
      <c r="W44" s="2105"/>
      <c r="X44" s="2105"/>
    </row>
    <row r="45" spans="1:24" s="2102" customFormat="1">
      <c r="A45" s="2101" t="s">
        <v>2469</v>
      </c>
      <c r="D45" s="2104"/>
      <c r="E45" s="2104"/>
      <c r="F45" s="2104"/>
      <c r="G45" s="2104"/>
      <c r="H45" s="2104"/>
      <c r="I45" s="2104"/>
      <c r="J45" s="2104"/>
      <c r="K45" s="2104"/>
      <c r="L45" s="2104"/>
      <c r="M45" s="2104"/>
      <c r="N45" s="2103"/>
      <c r="O45" s="2104"/>
      <c r="P45" s="2104"/>
      <c r="Q45" s="2104"/>
      <c r="R45" s="2103"/>
      <c r="S45" s="2103"/>
      <c r="T45" s="2103"/>
      <c r="U45" s="2103"/>
      <c r="V45" s="2103"/>
      <c r="W45" s="2103"/>
    </row>
    <row r="46" spans="1:24">
      <c r="A46" s="2166"/>
    </row>
    <row r="47" spans="1:24">
      <c r="A47" s="2166"/>
    </row>
    <row r="48" spans="1:24">
      <c r="A48" s="2167"/>
    </row>
    <row r="49" spans="1:1">
      <c r="A49" s="2167"/>
    </row>
  </sheetData>
  <mergeCells count="3">
    <mergeCell ref="V4:X4"/>
    <mergeCell ref="V5:X5"/>
    <mergeCell ref="C8:T13"/>
  </mergeCells>
  <printOptions horizontalCentered="1" verticalCentered="1"/>
  <pageMargins left="0.75" right="0.5" top="1" bottom="0.25" header="0.5" footer="0.25"/>
  <pageSetup scale="68" orientation="landscape"/>
  <headerFooter scaleWithDoc="0">
    <oddFooter>&amp;R&amp;8 106</oddFoot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9"/>
  <sheetViews>
    <sheetView showGridLines="0" showOutlineSymbols="0" workbookViewId="0"/>
  </sheetViews>
  <sheetFormatPr baseColWidth="10" defaultColWidth="9.85546875" defaultRowHeight="16" outlineLevelRow="1" x14ac:dyDescent="0"/>
  <cols>
    <col min="1" max="1" width="37.140625" style="911" customWidth="1"/>
    <col min="2" max="2" width="1.5703125" style="911" customWidth="1"/>
    <col min="3" max="3" width="9.85546875" style="911" bestFit="1" customWidth="1"/>
    <col min="4" max="4" width="1.5703125" style="911" customWidth="1"/>
    <col min="5" max="5" width="9.85546875" style="911" bestFit="1" customWidth="1"/>
    <col min="6" max="6" width="1.5703125" style="911" customWidth="1"/>
    <col min="7" max="7" width="8.5703125" style="911" bestFit="1" customWidth="1"/>
    <col min="8" max="8" width="1.5703125" style="911" customWidth="1"/>
    <col min="9" max="9" width="9.140625" style="911" bestFit="1" customWidth="1"/>
    <col min="10" max="10" width="1.5703125" style="911" customWidth="1"/>
    <col min="11" max="11" width="8.85546875" style="911" bestFit="1" customWidth="1"/>
    <col min="12" max="12" width="1.5703125" style="911" customWidth="1"/>
    <col min="13" max="13" width="7.5703125" style="911" bestFit="1" customWidth="1"/>
    <col min="14" max="14" width="1.5703125" style="911" customWidth="1"/>
    <col min="15" max="15" width="10.140625" style="911" bestFit="1" customWidth="1"/>
    <col min="16" max="16" width="1.5703125" style="911" customWidth="1"/>
    <col min="17" max="17" width="12.140625" style="911" customWidth="1"/>
    <col min="18" max="18" width="1.5703125" style="911" customWidth="1"/>
    <col min="19" max="19" width="10" style="911" bestFit="1" customWidth="1"/>
    <col min="20" max="20" width="1.5703125" style="911" customWidth="1"/>
    <col min="21" max="21" width="9.140625" style="911" customWidth="1"/>
    <col min="22" max="22" width="1.5703125" style="911" customWidth="1"/>
    <col min="23" max="23" width="8.5703125" style="939" bestFit="1" customWidth="1"/>
    <col min="24" max="24" width="1.5703125" style="911" customWidth="1"/>
    <col min="25" max="25" width="9.140625" style="939" bestFit="1" customWidth="1"/>
    <col min="26" max="26" width="1.5703125" style="911" customWidth="1"/>
    <col min="27" max="27" width="8.5703125" style="911" bestFit="1" customWidth="1"/>
    <col min="28" max="28" width="1.5703125" style="911" customWidth="1"/>
    <col min="29" max="29" width="9.5703125" style="911" customWidth="1"/>
    <col min="30" max="30" width="1.5703125" style="911" customWidth="1"/>
    <col min="31" max="31" width="8.42578125" style="911" bestFit="1" customWidth="1"/>
    <col min="32" max="32" width="5" style="908" bestFit="1" customWidth="1"/>
    <col min="33" max="33" width="4.42578125" style="908" bestFit="1" customWidth="1"/>
    <col min="34" max="34" width="3.140625" style="908" bestFit="1" customWidth="1"/>
    <col min="35" max="35" width="2.5703125" style="908" bestFit="1" customWidth="1"/>
    <col min="36" max="36" width="6.42578125" style="908" customWidth="1"/>
    <col min="37" max="16384" width="9.85546875" style="911"/>
  </cols>
  <sheetData>
    <row r="1" spans="1:36">
      <c r="A1" s="1582" t="s">
        <v>1443</v>
      </c>
    </row>
    <row r="3" spans="1:36" ht="14.25" customHeight="1">
      <c r="A3" s="548" t="s">
        <v>0</v>
      </c>
      <c r="B3" s="909"/>
      <c r="C3" s="909"/>
      <c r="D3" s="909"/>
      <c r="E3" s="909"/>
      <c r="F3" s="909"/>
      <c r="G3" s="909"/>
      <c r="H3" s="909"/>
      <c r="I3" s="909"/>
      <c r="J3" s="909"/>
      <c r="K3" s="909"/>
      <c r="L3" s="235"/>
      <c r="M3" s="235"/>
      <c r="N3" s="235"/>
      <c r="O3" s="235"/>
      <c r="P3" s="235"/>
      <c r="Q3" s="235"/>
      <c r="R3" s="235"/>
      <c r="S3" s="235"/>
      <c r="T3" s="235"/>
      <c r="U3" s="235"/>
      <c r="V3" s="235"/>
      <c r="W3" s="910"/>
      <c r="X3" s="235"/>
      <c r="Y3" s="910"/>
      <c r="Z3" s="235"/>
      <c r="AA3" s="235"/>
      <c r="AB3" s="235"/>
      <c r="AC3" s="235"/>
      <c r="AD3" s="235"/>
      <c r="AE3" s="909"/>
    </row>
    <row r="4" spans="1:36" ht="16.5" customHeight="1">
      <c r="A4" s="548" t="s">
        <v>542</v>
      </c>
      <c r="B4" s="909"/>
      <c r="C4" s="909"/>
      <c r="D4" s="909"/>
      <c r="E4" s="909"/>
      <c r="F4" s="909"/>
      <c r="G4" s="909"/>
      <c r="H4" s="909"/>
      <c r="I4" s="909"/>
      <c r="J4" s="909"/>
      <c r="K4" s="909"/>
      <c r="L4" s="235"/>
      <c r="M4" s="235"/>
      <c r="N4" s="235"/>
      <c r="O4" s="235"/>
      <c r="P4" s="235"/>
      <c r="Q4" s="235"/>
      <c r="R4" s="235"/>
      <c r="S4" s="235"/>
      <c r="T4" s="235"/>
      <c r="U4" s="235"/>
      <c r="V4" s="235"/>
      <c r="W4" s="910"/>
      <c r="X4" s="235"/>
      <c r="Y4" s="910"/>
      <c r="Z4" s="235"/>
      <c r="AA4" s="235"/>
      <c r="AB4" s="235"/>
      <c r="AC4" s="490" t="s">
        <v>6</v>
      </c>
      <c r="AD4" s="490"/>
      <c r="AE4" s="490"/>
    </row>
    <row r="5" spans="1:36" ht="15.75" customHeight="1">
      <c r="A5" s="548" t="s">
        <v>737</v>
      </c>
      <c r="B5" s="909"/>
      <c r="C5" s="909"/>
      <c r="D5" s="909"/>
      <c r="E5" s="909"/>
      <c r="F5" s="909"/>
      <c r="G5" s="909"/>
      <c r="H5" s="909"/>
      <c r="I5" s="909"/>
      <c r="J5" s="909"/>
      <c r="K5" s="909"/>
      <c r="L5" s="235"/>
      <c r="M5" s="235"/>
      <c r="N5" s="235"/>
      <c r="O5" s="235"/>
      <c r="P5" s="235"/>
      <c r="Q5" s="235"/>
      <c r="R5" s="235"/>
      <c r="S5" s="235"/>
      <c r="T5" s="235"/>
      <c r="U5" s="235"/>
      <c r="V5" s="235"/>
      <c r="W5" s="910"/>
      <c r="X5" s="235"/>
      <c r="Y5" s="910"/>
      <c r="Z5" s="235"/>
      <c r="AA5" s="235"/>
      <c r="AB5" s="235"/>
      <c r="AC5" s="2472" t="s">
        <v>738</v>
      </c>
      <c r="AD5" s="2473"/>
      <c r="AE5" s="2474"/>
    </row>
    <row r="6" spans="1:36" ht="16.5" customHeight="1">
      <c r="A6" s="598" t="s">
        <v>2614</v>
      </c>
      <c r="B6" s="909"/>
      <c r="C6" s="909"/>
      <c r="D6" s="909"/>
      <c r="E6" s="909"/>
      <c r="F6" s="909"/>
      <c r="G6" s="909"/>
      <c r="H6" s="909"/>
      <c r="I6" s="909"/>
      <c r="J6" s="909"/>
      <c r="K6" s="909"/>
      <c r="L6" s="235"/>
      <c r="M6" s="235"/>
      <c r="N6" s="235"/>
      <c r="O6" s="235"/>
      <c r="P6" s="235"/>
      <c r="Q6" s="235"/>
      <c r="R6" s="235"/>
      <c r="S6" s="235"/>
      <c r="T6" s="235"/>
      <c r="U6" s="235"/>
      <c r="V6" s="235"/>
      <c r="W6" s="910"/>
      <c r="X6" s="235"/>
      <c r="Y6" s="910"/>
      <c r="Z6" s="235"/>
      <c r="AA6" s="235"/>
      <c r="AB6" s="235"/>
      <c r="AC6" s="235"/>
      <c r="AD6" s="235"/>
      <c r="AE6" s="235"/>
    </row>
    <row r="7" spans="1:36" ht="15.75" customHeight="1">
      <c r="A7" s="548" t="s">
        <v>4</v>
      </c>
      <c r="B7" s="909"/>
      <c r="C7" s="909"/>
      <c r="D7" s="909"/>
      <c r="E7" s="909"/>
      <c r="F7" s="909"/>
      <c r="G7" s="909"/>
      <c r="H7" s="909"/>
      <c r="I7" s="909"/>
      <c r="J7" s="909"/>
      <c r="K7" s="909"/>
      <c r="L7" s="235"/>
      <c r="M7" s="235"/>
      <c r="N7" s="235"/>
      <c r="O7" s="235"/>
      <c r="P7" s="235"/>
      <c r="Q7" s="235"/>
      <c r="R7" s="235"/>
      <c r="S7" s="235"/>
      <c r="T7" s="235"/>
      <c r="U7" s="235"/>
      <c r="V7" s="235"/>
      <c r="W7" s="910"/>
      <c r="X7" s="235"/>
      <c r="Y7" s="910"/>
      <c r="Z7" s="235"/>
      <c r="AA7" s="235"/>
      <c r="AB7" s="235"/>
      <c r="AC7" s="235"/>
      <c r="AD7" s="235"/>
      <c r="AE7" s="235"/>
    </row>
    <row r="8" spans="1:36" ht="4.5" customHeight="1">
      <c r="A8" s="235" t="s">
        <v>6</v>
      </c>
      <c r="B8" s="235"/>
      <c r="C8" s="235"/>
      <c r="D8" s="235"/>
      <c r="E8" s="235"/>
      <c r="F8" s="235"/>
      <c r="G8" s="235"/>
      <c r="H8" s="235"/>
      <c r="I8" s="235"/>
      <c r="J8" s="235"/>
      <c r="K8" s="235"/>
      <c r="L8" s="235"/>
      <c r="M8" s="235"/>
      <c r="N8" s="235"/>
      <c r="O8" s="235"/>
      <c r="P8" s="235"/>
      <c r="Q8" s="235"/>
      <c r="R8" s="235"/>
      <c r="S8" s="235"/>
      <c r="T8" s="235"/>
      <c r="U8" s="235"/>
      <c r="V8" s="235"/>
      <c r="W8" s="910"/>
      <c r="X8" s="235"/>
      <c r="Y8" s="910"/>
      <c r="Z8" s="235"/>
      <c r="AA8" s="235"/>
      <c r="AB8" s="235"/>
      <c r="AC8" s="235"/>
      <c r="AD8" s="235"/>
      <c r="AE8" s="235"/>
    </row>
    <row r="9" spans="1:36" ht="15.75" customHeight="1" outlineLevel="1">
      <c r="A9" s="912"/>
      <c r="B9" s="912"/>
      <c r="C9" s="913" t="s">
        <v>739</v>
      </c>
      <c r="D9" s="913"/>
      <c r="E9" s="913"/>
      <c r="F9" s="913"/>
      <c r="G9" s="913"/>
      <c r="H9" s="913"/>
      <c r="I9" s="913"/>
      <c r="J9" s="913"/>
      <c r="K9" s="914"/>
      <c r="L9" s="913"/>
      <c r="M9" s="913"/>
      <c r="N9" s="913"/>
      <c r="O9" s="913"/>
      <c r="P9" s="913"/>
      <c r="Q9" s="913"/>
      <c r="R9" s="913"/>
      <c r="S9" s="915"/>
      <c r="T9" s="913"/>
      <c r="U9" s="913"/>
      <c r="V9" s="912"/>
      <c r="W9" s="2470" t="s">
        <v>740</v>
      </c>
      <c r="X9" s="2471"/>
      <c r="Y9" s="2471"/>
      <c r="Z9" s="916"/>
      <c r="AA9" s="548"/>
      <c r="AB9" s="912"/>
      <c r="AC9" s="915" t="s">
        <v>276</v>
      </c>
      <c r="AD9" s="915"/>
      <c r="AE9" s="915"/>
    </row>
    <row r="10" spans="1:36" ht="13.5" customHeight="1">
      <c r="A10" s="909"/>
      <c r="B10" s="909"/>
      <c r="C10" s="917" t="s">
        <v>6</v>
      </c>
      <c r="D10" s="917" t="s">
        <v>6</v>
      </c>
      <c r="E10" s="917" t="s">
        <v>6</v>
      </c>
      <c r="F10" s="917" t="s">
        <v>6</v>
      </c>
      <c r="G10" s="917"/>
      <c r="H10" s="917"/>
      <c r="I10" s="917" t="s">
        <v>6</v>
      </c>
      <c r="J10" s="917" t="s">
        <v>6</v>
      </c>
      <c r="K10" s="917" t="s">
        <v>6</v>
      </c>
      <c r="L10" s="917" t="s">
        <v>6</v>
      </c>
      <c r="M10" s="917" t="s">
        <v>6</v>
      </c>
      <c r="N10" s="917" t="s">
        <v>6</v>
      </c>
      <c r="O10" s="917" t="s">
        <v>6</v>
      </c>
      <c r="P10" s="917" t="s">
        <v>6</v>
      </c>
      <c r="Q10" s="917" t="s">
        <v>6</v>
      </c>
      <c r="R10" s="917" t="s">
        <v>6</v>
      </c>
      <c r="S10" s="918" t="s">
        <v>6</v>
      </c>
      <c r="T10" s="917"/>
      <c r="U10" s="917" t="s">
        <v>6</v>
      </c>
      <c r="V10" s="909"/>
      <c r="W10" s="919" t="s">
        <v>6</v>
      </c>
      <c r="X10" s="917" t="s">
        <v>6</v>
      </c>
      <c r="Y10" s="919" t="s">
        <v>6</v>
      </c>
      <c r="Z10" s="920" t="s">
        <v>6</v>
      </c>
      <c r="AA10" s="909" t="s">
        <v>6</v>
      </c>
      <c r="AB10" s="909"/>
      <c r="AC10" s="909"/>
      <c r="AD10" s="909"/>
      <c r="AE10" s="909"/>
    </row>
    <row r="11" spans="1:36" ht="14" customHeight="1">
      <c r="A11" s="912"/>
      <c r="B11" s="912"/>
      <c r="C11" s="548"/>
      <c r="D11" s="912"/>
      <c r="E11" s="918" t="s">
        <v>741</v>
      </c>
      <c r="F11" s="912"/>
      <c r="G11" s="912"/>
      <c r="H11" s="912"/>
      <c r="I11" s="912"/>
      <c r="J11" s="912"/>
      <c r="K11" s="912"/>
      <c r="L11" s="912"/>
      <c r="M11" s="912"/>
      <c r="N11" s="912"/>
      <c r="O11" s="912" t="s">
        <v>6</v>
      </c>
      <c r="P11" s="912"/>
      <c r="Q11" s="912"/>
      <c r="R11" s="912"/>
      <c r="S11" s="918" t="s">
        <v>6</v>
      </c>
      <c r="T11" s="912"/>
      <c r="U11" s="912"/>
      <c r="V11" s="912"/>
      <c r="W11" s="921"/>
      <c r="X11" s="912"/>
      <c r="Y11" s="921"/>
      <c r="Z11" s="912"/>
      <c r="AA11" s="918" t="s">
        <v>742</v>
      </c>
      <c r="AB11" s="912"/>
      <c r="AC11" s="922"/>
      <c r="AD11" s="922"/>
      <c r="AE11" s="922"/>
    </row>
    <row r="12" spans="1:36" ht="14" customHeight="1">
      <c r="A12" s="912"/>
      <c r="B12" s="912"/>
      <c r="C12" s="918" t="s">
        <v>6</v>
      </c>
      <c r="D12" s="912"/>
      <c r="E12" s="918" t="s">
        <v>743</v>
      </c>
      <c r="F12" s="912"/>
      <c r="G12" s="918" t="s">
        <v>744</v>
      </c>
      <c r="H12" s="912"/>
      <c r="I12" s="918" t="s">
        <v>6</v>
      </c>
      <c r="J12" s="912"/>
      <c r="K12" s="918" t="s">
        <v>745</v>
      </c>
      <c r="L12" s="912"/>
      <c r="M12" s="918" t="s">
        <v>746</v>
      </c>
      <c r="N12" s="912"/>
      <c r="O12" s="918" t="s">
        <v>746</v>
      </c>
      <c r="P12" s="912"/>
      <c r="Q12" s="918" t="s">
        <v>747</v>
      </c>
      <c r="R12" s="912"/>
      <c r="S12" s="918" t="s">
        <v>6</v>
      </c>
      <c r="T12" s="912"/>
      <c r="U12" s="918" t="s">
        <v>748</v>
      </c>
      <c r="V12" s="912"/>
      <c r="W12" s="918" t="s">
        <v>749</v>
      </c>
      <c r="X12" s="912"/>
      <c r="Y12" s="918" t="s">
        <v>750</v>
      </c>
      <c r="Z12" s="912"/>
      <c r="AA12" s="918" t="s">
        <v>751</v>
      </c>
      <c r="AB12" s="912"/>
      <c r="AC12" s="916" t="s">
        <v>6</v>
      </c>
      <c r="AD12" s="916"/>
      <c r="AE12" s="916" t="s">
        <v>6</v>
      </c>
      <c r="AF12" s="2475"/>
      <c r="AG12" s="2475"/>
      <c r="AH12" s="2475"/>
      <c r="AI12" s="2475"/>
    </row>
    <row r="13" spans="1:36" ht="14" customHeight="1">
      <c r="A13" s="918" t="s">
        <v>752</v>
      </c>
      <c r="B13" s="912"/>
      <c r="C13" s="918" t="s">
        <v>512</v>
      </c>
      <c r="D13" s="912"/>
      <c r="E13" s="918" t="s">
        <v>753</v>
      </c>
      <c r="F13" s="912"/>
      <c r="G13" s="923" t="s">
        <v>2679</v>
      </c>
      <c r="H13" s="912"/>
      <c r="I13" s="918" t="s">
        <v>754</v>
      </c>
      <c r="J13" s="912"/>
      <c r="K13" s="912" t="s">
        <v>755</v>
      </c>
      <c r="L13" s="912"/>
      <c r="M13" s="918" t="s">
        <v>2678</v>
      </c>
      <c r="N13" s="912"/>
      <c r="O13" s="918" t="s">
        <v>756</v>
      </c>
      <c r="P13" s="912"/>
      <c r="Q13" s="918" t="s">
        <v>757</v>
      </c>
      <c r="R13" s="912"/>
      <c r="S13" s="923" t="s">
        <v>525</v>
      </c>
      <c r="T13" s="912"/>
      <c r="U13" s="918" t="s">
        <v>758</v>
      </c>
      <c r="V13" s="912"/>
      <c r="W13" s="918" t="s">
        <v>759</v>
      </c>
      <c r="X13" s="912"/>
      <c r="Y13" s="918" t="s">
        <v>759</v>
      </c>
      <c r="Z13" s="912"/>
      <c r="AA13" s="918" t="s">
        <v>760</v>
      </c>
      <c r="AB13" s="912"/>
      <c r="AC13" s="924" t="s">
        <v>2586</v>
      </c>
      <c r="AD13" s="925"/>
      <c r="AE13" s="924" t="s">
        <v>1916</v>
      </c>
    </row>
    <row r="14" spans="1:36" ht="4" customHeight="1">
      <c r="A14" s="926"/>
      <c r="B14" s="235"/>
      <c r="C14" s="926"/>
      <c r="D14" s="235"/>
      <c r="E14" s="926"/>
      <c r="F14" s="235"/>
      <c r="G14" s="235"/>
      <c r="H14" s="235"/>
      <c r="I14" s="926"/>
      <c r="J14" s="235"/>
      <c r="K14" s="926"/>
      <c r="L14" s="235"/>
      <c r="M14" s="926"/>
      <c r="N14" s="235"/>
      <c r="O14" s="926"/>
      <c r="P14" s="235"/>
      <c r="Q14" s="926"/>
      <c r="R14" s="235"/>
      <c r="S14" s="235"/>
      <c r="T14" s="235"/>
      <c r="U14" s="926"/>
      <c r="V14" s="235"/>
      <c r="W14" s="927"/>
      <c r="X14" s="235"/>
      <c r="Y14" s="927"/>
      <c r="Z14" s="235"/>
      <c r="AA14" s="926"/>
      <c r="AB14" s="235"/>
      <c r="AC14" s="926"/>
      <c r="AD14" s="242"/>
      <c r="AE14" s="926"/>
    </row>
    <row r="15" spans="1:36" s="934" customFormat="1" ht="15" customHeight="1">
      <c r="A15" s="929" t="s">
        <v>761</v>
      </c>
      <c r="B15" s="930" t="s">
        <v>6</v>
      </c>
      <c r="C15" s="931">
        <v>0</v>
      </c>
      <c r="D15" s="932" t="s">
        <v>6</v>
      </c>
      <c r="E15" s="931">
        <v>0</v>
      </c>
      <c r="F15" s="932" t="s">
        <v>6</v>
      </c>
      <c r="G15" s="931">
        <v>0</v>
      </c>
      <c r="H15" s="932" t="s">
        <v>6</v>
      </c>
      <c r="I15" s="931">
        <v>0</v>
      </c>
      <c r="J15" s="932" t="s">
        <v>6</v>
      </c>
      <c r="K15" s="931">
        <v>0</v>
      </c>
      <c r="L15" s="932" t="s">
        <v>6</v>
      </c>
      <c r="M15" s="931">
        <v>0</v>
      </c>
      <c r="N15" s="932" t="s">
        <v>6</v>
      </c>
      <c r="O15" s="931">
        <v>0</v>
      </c>
      <c r="P15" s="932" t="s">
        <v>6</v>
      </c>
      <c r="Q15" s="931">
        <v>0</v>
      </c>
      <c r="R15" s="932" t="s">
        <v>6</v>
      </c>
      <c r="S15" s="931">
        <v>0</v>
      </c>
      <c r="T15" s="932" t="s">
        <v>6</v>
      </c>
      <c r="U15" s="932">
        <f>ROUND(SUM(C15:S15),1)</f>
        <v>0</v>
      </c>
      <c r="V15" s="932" t="s">
        <v>6</v>
      </c>
      <c r="W15" s="931">
        <v>4036</v>
      </c>
      <c r="X15" s="932" t="s">
        <v>6</v>
      </c>
      <c r="Y15" s="931">
        <v>259</v>
      </c>
      <c r="Z15" s="932"/>
      <c r="AA15" s="931">
        <v>0</v>
      </c>
      <c r="AB15" s="932" t="s">
        <v>6</v>
      </c>
      <c r="AC15" s="932">
        <f>ROUND(SUM(U15:AB15),1)</f>
        <v>4295</v>
      </c>
      <c r="AD15" s="932" t="s">
        <v>6</v>
      </c>
      <c r="AE15" s="932">
        <v>4276</v>
      </c>
      <c r="AF15" s="928"/>
      <c r="AG15" s="928"/>
      <c r="AH15" s="928"/>
      <c r="AI15" s="928"/>
      <c r="AJ15" s="928"/>
    </row>
    <row r="16" spans="1:36" ht="15" customHeight="1">
      <c r="A16" s="935" t="s">
        <v>762</v>
      </c>
      <c r="B16" s="935" t="s">
        <v>6</v>
      </c>
      <c r="C16" s="936">
        <v>0</v>
      </c>
      <c r="D16" s="935"/>
      <c r="E16" s="936">
        <v>0</v>
      </c>
      <c r="F16" s="935"/>
      <c r="G16" s="936">
        <v>93</v>
      </c>
      <c r="H16" s="935"/>
      <c r="I16" s="936">
        <v>0</v>
      </c>
      <c r="J16" s="935"/>
      <c r="K16" s="936">
        <v>0</v>
      </c>
      <c r="L16" s="935"/>
      <c r="M16" s="936">
        <v>0</v>
      </c>
      <c r="N16" s="935"/>
      <c r="O16" s="936">
        <v>0</v>
      </c>
      <c r="P16" s="935"/>
      <c r="Q16" s="936">
        <v>0</v>
      </c>
      <c r="R16" s="935"/>
      <c r="S16" s="936">
        <v>0</v>
      </c>
      <c r="T16" s="935"/>
      <c r="U16" s="938">
        <f t="shared" ref="U16:U57" si="0">ROUND(SUM(C16:S16),1)</f>
        <v>93</v>
      </c>
      <c r="V16" s="935"/>
      <c r="W16" s="936">
        <v>5639</v>
      </c>
      <c r="X16" s="935"/>
      <c r="Y16" s="936">
        <v>1964</v>
      </c>
      <c r="Z16" s="935"/>
      <c r="AA16" s="936">
        <v>0</v>
      </c>
      <c r="AB16" s="935"/>
      <c r="AC16" s="938">
        <f t="shared" ref="AC16:AC57" si="1">ROUND(SUM(U16:AA16),1)</f>
        <v>7696</v>
      </c>
      <c r="AD16" s="930"/>
      <c r="AE16" s="938">
        <v>5963</v>
      </c>
    </row>
    <row r="17" spans="1:31" ht="15" customHeight="1">
      <c r="A17" s="935" t="s">
        <v>763</v>
      </c>
      <c r="B17" s="935" t="s">
        <v>6</v>
      </c>
      <c r="C17" s="937">
        <v>1430198</v>
      </c>
      <c r="D17" s="935"/>
      <c r="E17" s="937">
        <v>0</v>
      </c>
      <c r="F17" s="935"/>
      <c r="G17" s="937">
        <v>0</v>
      </c>
      <c r="H17" s="935"/>
      <c r="I17" s="937">
        <v>0</v>
      </c>
      <c r="J17" s="935"/>
      <c r="K17" s="937">
        <v>0</v>
      </c>
      <c r="L17" s="935"/>
      <c r="M17" s="937">
        <v>0</v>
      </c>
      <c r="N17" s="935"/>
      <c r="O17" s="937">
        <v>0</v>
      </c>
      <c r="P17" s="935"/>
      <c r="Q17" s="937">
        <v>0</v>
      </c>
      <c r="R17" s="935"/>
      <c r="S17" s="937">
        <v>0</v>
      </c>
      <c r="T17" s="935"/>
      <c r="U17" s="938">
        <f t="shared" si="0"/>
        <v>1430198</v>
      </c>
      <c r="V17" s="935"/>
      <c r="W17" s="937">
        <v>0</v>
      </c>
      <c r="X17" s="935"/>
      <c r="Y17" s="937">
        <v>777</v>
      </c>
      <c r="Z17" s="935"/>
      <c r="AA17" s="937">
        <v>0</v>
      </c>
      <c r="AB17" s="935"/>
      <c r="AC17" s="938">
        <f t="shared" si="1"/>
        <v>1430975</v>
      </c>
      <c r="AD17" s="930"/>
      <c r="AE17" s="938">
        <v>1395047</v>
      </c>
    </row>
    <row r="18" spans="1:31" ht="15" customHeight="1">
      <c r="A18" s="935" t="s">
        <v>1446</v>
      </c>
      <c r="B18" s="935" t="s">
        <v>6</v>
      </c>
      <c r="C18" s="936">
        <v>0</v>
      </c>
      <c r="D18" s="935"/>
      <c r="E18" s="936">
        <v>0</v>
      </c>
      <c r="F18" s="935"/>
      <c r="G18" s="936">
        <v>0</v>
      </c>
      <c r="H18" s="935"/>
      <c r="I18" s="936">
        <v>0</v>
      </c>
      <c r="J18" s="935"/>
      <c r="K18" s="936">
        <v>0</v>
      </c>
      <c r="L18" s="935"/>
      <c r="M18" s="936">
        <v>0</v>
      </c>
      <c r="N18" s="935"/>
      <c r="O18" s="936">
        <v>0</v>
      </c>
      <c r="P18" s="935"/>
      <c r="Q18" s="936">
        <v>0</v>
      </c>
      <c r="R18" s="935"/>
      <c r="S18" s="936">
        <v>0</v>
      </c>
      <c r="T18" s="935"/>
      <c r="U18" s="938">
        <f t="shared" si="0"/>
        <v>0</v>
      </c>
      <c r="V18" s="935"/>
      <c r="W18" s="936">
        <v>0</v>
      </c>
      <c r="X18" s="935"/>
      <c r="Y18" s="936">
        <v>0</v>
      </c>
      <c r="Z18" s="935"/>
      <c r="AA18" s="936">
        <v>0</v>
      </c>
      <c r="AB18" s="935"/>
      <c r="AC18" s="938">
        <f t="shared" si="1"/>
        <v>0</v>
      </c>
      <c r="AD18" s="930"/>
      <c r="AE18" s="938">
        <v>0</v>
      </c>
    </row>
    <row r="19" spans="1:31" ht="15" customHeight="1">
      <c r="A19" s="935" t="s">
        <v>764</v>
      </c>
      <c r="B19" s="935" t="s">
        <v>6</v>
      </c>
      <c r="C19" s="937">
        <v>38332</v>
      </c>
      <c r="D19" s="935"/>
      <c r="E19" s="937">
        <v>0</v>
      </c>
      <c r="F19" s="935"/>
      <c r="G19" s="937">
        <v>0</v>
      </c>
      <c r="H19" s="935"/>
      <c r="I19" s="937">
        <v>0</v>
      </c>
      <c r="J19" s="935"/>
      <c r="K19" s="937">
        <v>0</v>
      </c>
      <c r="L19" s="935"/>
      <c r="M19" s="937">
        <v>0</v>
      </c>
      <c r="N19" s="935"/>
      <c r="O19" s="937">
        <v>0</v>
      </c>
      <c r="P19" s="935"/>
      <c r="Q19" s="937">
        <v>0</v>
      </c>
      <c r="R19" s="935"/>
      <c r="S19" s="937">
        <v>0</v>
      </c>
      <c r="T19" s="935" t="s">
        <v>6</v>
      </c>
      <c r="U19" s="938">
        <f t="shared" si="0"/>
        <v>38332</v>
      </c>
      <c r="V19" s="935"/>
      <c r="W19" s="937">
        <v>2253</v>
      </c>
      <c r="X19" s="930"/>
      <c r="Y19" s="937">
        <v>1232</v>
      </c>
      <c r="Z19" s="935"/>
      <c r="AA19" s="937">
        <v>0</v>
      </c>
      <c r="AB19" s="935"/>
      <c r="AC19" s="938">
        <f t="shared" si="1"/>
        <v>41817</v>
      </c>
      <c r="AD19" s="930"/>
      <c r="AE19" s="938">
        <v>66103</v>
      </c>
    </row>
    <row r="20" spans="1:31" ht="15" customHeight="1">
      <c r="A20" s="935" t="s">
        <v>2702</v>
      </c>
      <c r="B20" s="911" t="s">
        <v>6</v>
      </c>
      <c r="C20" s="936">
        <v>0</v>
      </c>
      <c r="E20" s="936">
        <v>0</v>
      </c>
      <c r="G20" s="936">
        <v>61</v>
      </c>
      <c r="I20" s="936">
        <v>0</v>
      </c>
      <c r="K20" s="936">
        <v>597</v>
      </c>
      <c r="M20" s="936">
        <v>0</v>
      </c>
      <c r="O20" s="936">
        <v>3003</v>
      </c>
      <c r="Q20" s="936">
        <v>26621</v>
      </c>
      <c r="S20" s="936">
        <v>0</v>
      </c>
      <c r="U20" s="938">
        <f>ROUND(SUM(C20:S20),1)</f>
        <v>30282</v>
      </c>
      <c r="W20" s="936">
        <v>25269</v>
      </c>
      <c r="X20" s="939"/>
      <c r="Y20" s="936">
        <v>7404</v>
      </c>
      <c r="AA20" s="936">
        <v>0</v>
      </c>
      <c r="AC20" s="938">
        <f>ROUND(SUM(U20:AA20),1)</f>
        <v>62955</v>
      </c>
      <c r="AD20" s="939"/>
      <c r="AE20" s="938">
        <v>60250</v>
      </c>
    </row>
    <row r="21" spans="1:31" ht="15" customHeight="1">
      <c r="A21" s="935" t="s">
        <v>765</v>
      </c>
      <c r="B21" s="935" t="s">
        <v>6</v>
      </c>
      <c r="C21" s="936">
        <v>0</v>
      </c>
      <c r="D21" s="935"/>
      <c r="E21" s="936">
        <v>0</v>
      </c>
      <c r="F21" s="935"/>
      <c r="G21" s="936">
        <v>0</v>
      </c>
      <c r="H21" s="935"/>
      <c r="I21" s="936">
        <v>0</v>
      </c>
      <c r="J21" s="935"/>
      <c r="K21" s="936">
        <v>0</v>
      </c>
      <c r="L21" s="935"/>
      <c r="M21" s="936">
        <v>0</v>
      </c>
      <c r="N21" s="935"/>
      <c r="O21" s="936">
        <v>0</v>
      </c>
      <c r="P21" s="935"/>
      <c r="Q21" s="936">
        <v>0</v>
      </c>
      <c r="R21" s="935"/>
      <c r="S21" s="936">
        <v>0</v>
      </c>
      <c r="T21" s="935"/>
      <c r="U21" s="938">
        <f t="shared" si="0"/>
        <v>0</v>
      </c>
      <c r="V21" s="935"/>
      <c r="W21" s="936">
        <v>11407</v>
      </c>
      <c r="X21" s="930"/>
      <c r="Y21" s="936">
        <v>1543</v>
      </c>
      <c r="Z21" s="935"/>
      <c r="AA21" s="936">
        <v>0</v>
      </c>
      <c r="AB21" s="935"/>
      <c r="AC21" s="938">
        <f t="shared" si="1"/>
        <v>12950</v>
      </c>
      <c r="AD21" s="930"/>
      <c r="AE21" s="938">
        <v>12277</v>
      </c>
    </row>
    <row r="22" spans="1:31" ht="15" customHeight="1">
      <c r="A22" s="935" t="s">
        <v>766</v>
      </c>
      <c r="B22" s="935" t="s">
        <v>6</v>
      </c>
      <c r="C22" s="936">
        <v>0</v>
      </c>
      <c r="D22" s="935"/>
      <c r="E22" s="936">
        <v>0</v>
      </c>
      <c r="F22" s="935"/>
      <c r="G22" s="936">
        <v>0</v>
      </c>
      <c r="H22" s="935"/>
      <c r="I22" s="936">
        <v>0</v>
      </c>
      <c r="J22" s="935"/>
      <c r="K22" s="936">
        <v>0</v>
      </c>
      <c r="L22" s="935"/>
      <c r="M22" s="936">
        <v>4251</v>
      </c>
      <c r="N22" s="935"/>
      <c r="O22" s="936">
        <v>0</v>
      </c>
      <c r="P22" s="935"/>
      <c r="Q22" s="936">
        <v>0</v>
      </c>
      <c r="R22" s="935"/>
      <c r="S22" s="936">
        <v>0</v>
      </c>
      <c r="T22" s="935"/>
      <c r="U22" s="938">
        <f t="shared" si="0"/>
        <v>4251</v>
      </c>
      <c r="V22" s="935"/>
      <c r="W22" s="936">
        <v>2166585</v>
      </c>
      <c r="X22" s="930"/>
      <c r="Y22" s="936">
        <v>524572</v>
      </c>
      <c r="Z22" s="935"/>
      <c r="AA22" s="936">
        <v>71</v>
      </c>
      <c r="AB22" s="935"/>
      <c r="AC22" s="938">
        <f t="shared" si="1"/>
        <v>2695479</v>
      </c>
      <c r="AD22" s="930"/>
      <c r="AE22" s="938">
        <v>2645133</v>
      </c>
    </row>
    <row r="23" spans="1:31" ht="15" customHeight="1">
      <c r="A23" s="935" t="s">
        <v>767</v>
      </c>
      <c r="B23" s="935" t="s">
        <v>6</v>
      </c>
      <c r="C23" s="936">
        <v>0</v>
      </c>
      <c r="D23" s="935"/>
      <c r="E23" s="936">
        <v>0</v>
      </c>
      <c r="F23" s="935"/>
      <c r="G23" s="936">
        <v>141</v>
      </c>
      <c r="H23" s="935"/>
      <c r="I23" s="936">
        <v>0</v>
      </c>
      <c r="J23" s="935"/>
      <c r="K23" s="936">
        <v>667</v>
      </c>
      <c r="L23" s="935"/>
      <c r="M23" s="936">
        <v>0</v>
      </c>
      <c r="N23" s="935"/>
      <c r="O23" s="936">
        <v>0</v>
      </c>
      <c r="P23" s="935"/>
      <c r="Q23" s="936">
        <v>44155</v>
      </c>
      <c r="R23" s="935"/>
      <c r="S23" s="936">
        <v>0</v>
      </c>
      <c r="T23" s="935"/>
      <c r="U23" s="938">
        <f t="shared" si="0"/>
        <v>44963</v>
      </c>
      <c r="V23" s="935"/>
      <c r="W23" s="936">
        <v>11974</v>
      </c>
      <c r="X23" s="935"/>
      <c r="Y23" s="936">
        <v>6804</v>
      </c>
      <c r="Z23" s="935"/>
      <c r="AA23" s="936">
        <v>0</v>
      </c>
      <c r="AB23" s="935"/>
      <c r="AC23" s="938">
        <f t="shared" si="1"/>
        <v>63741</v>
      </c>
      <c r="AD23" s="930"/>
      <c r="AE23" s="938">
        <v>54507</v>
      </c>
    </row>
    <row r="24" spans="1:31" ht="15" customHeight="1">
      <c r="A24" s="935" t="s">
        <v>768</v>
      </c>
      <c r="B24" s="935" t="s">
        <v>6</v>
      </c>
      <c r="C24" s="936">
        <v>0</v>
      </c>
      <c r="D24" s="935"/>
      <c r="E24" s="936">
        <v>4153</v>
      </c>
      <c r="F24" s="935"/>
      <c r="G24" s="936">
        <v>109</v>
      </c>
      <c r="H24" s="935"/>
      <c r="I24" s="936">
        <v>0</v>
      </c>
      <c r="J24" s="935"/>
      <c r="K24" s="936">
        <v>0</v>
      </c>
      <c r="L24" s="935"/>
      <c r="M24" s="936">
        <v>0</v>
      </c>
      <c r="N24" s="935"/>
      <c r="O24" s="936">
        <v>0</v>
      </c>
      <c r="P24" s="935"/>
      <c r="Q24" s="936">
        <v>0</v>
      </c>
      <c r="R24" s="935"/>
      <c r="S24" s="936">
        <v>0</v>
      </c>
      <c r="T24" s="935"/>
      <c r="U24" s="938">
        <f t="shared" si="0"/>
        <v>4262</v>
      </c>
      <c r="V24" s="935"/>
      <c r="W24" s="936">
        <v>85641</v>
      </c>
      <c r="X24" s="930"/>
      <c r="Y24" s="936">
        <v>8773</v>
      </c>
      <c r="Z24" s="935"/>
      <c r="AA24" s="936">
        <v>0</v>
      </c>
      <c r="AB24" s="935"/>
      <c r="AC24" s="938">
        <f t="shared" si="1"/>
        <v>98676</v>
      </c>
      <c r="AD24" s="930"/>
      <c r="AE24" s="938">
        <v>94817</v>
      </c>
    </row>
    <row r="25" spans="1:31" ht="15" customHeight="1">
      <c r="A25" s="935" t="s">
        <v>769</v>
      </c>
      <c r="B25" s="490" t="s">
        <v>6</v>
      </c>
      <c r="C25" s="936">
        <v>0</v>
      </c>
      <c r="D25" s="935"/>
      <c r="E25" s="936">
        <v>0</v>
      </c>
      <c r="F25" s="935"/>
      <c r="G25" s="936">
        <v>501</v>
      </c>
      <c r="H25" s="935"/>
      <c r="I25" s="936">
        <v>11221723</v>
      </c>
      <c r="J25" s="930"/>
      <c r="K25" s="936">
        <v>719380</v>
      </c>
      <c r="L25" s="935"/>
      <c r="M25" s="936">
        <v>0</v>
      </c>
      <c r="N25" s="935"/>
      <c r="O25" s="936">
        <v>738</v>
      </c>
      <c r="P25" s="935"/>
      <c r="Q25" s="936">
        <v>0</v>
      </c>
      <c r="R25" s="935"/>
      <c r="S25" s="936">
        <v>0</v>
      </c>
      <c r="T25" s="935"/>
      <c r="U25" s="938">
        <f t="shared" si="0"/>
        <v>11942342</v>
      </c>
      <c r="V25" s="935"/>
      <c r="W25" s="936">
        <v>119089</v>
      </c>
      <c r="X25" s="930"/>
      <c r="Y25" s="936">
        <v>302473</v>
      </c>
      <c r="Z25" s="935"/>
      <c r="AA25" s="936">
        <v>0</v>
      </c>
      <c r="AB25" s="935"/>
      <c r="AC25" s="938">
        <f t="shared" si="1"/>
        <v>12363904</v>
      </c>
      <c r="AD25" s="930"/>
      <c r="AE25" s="938">
        <v>12024574</v>
      </c>
    </row>
    <row r="26" spans="1:31" ht="15" customHeight="1">
      <c r="A26" s="935" t="s">
        <v>770</v>
      </c>
      <c r="B26" s="935" t="s">
        <v>6</v>
      </c>
      <c r="C26" s="936">
        <v>0</v>
      </c>
      <c r="D26" s="935"/>
      <c r="E26" s="936">
        <v>0</v>
      </c>
      <c r="F26" s="935"/>
      <c r="G26" s="936">
        <v>347</v>
      </c>
      <c r="H26" s="935"/>
      <c r="I26" s="936">
        <v>0</v>
      </c>
      <c r="J26" s="935"/>
      <c r="K26" s="936">
        <v>0</v>
      </c>
      <c r="L26" s="935"/>
      <c r="M26" s="936">
        <v>0</v>
      </c>
      <c r="N26" s="935"/>
      <c r="O26" s="936">
        <v>11802</v>
      </c>
      <c r="P26" s="935"/>
      <c r="Q26" s="936">
        <v>0</v>
      </c>
      <c r="R26" s="935"/>
      <c r="S26" s="936">
        <v>0</v>
      </c>
      <c r="T26" s="935"/>
      <c r="U26" s="938">
        <f t="shared" si="0"/>
        <v>12149</v>
      </c>
      <c r="V26" s="935"/>
      <c r="W26" s="936">
        <v>38</v>
      </c>
      <c r="X26" s="940"/>
      <c r="Y26" s="936">
        <v>168</v>
      </c>
      <c r="Z26" s="940"/>
      <c r="AA26" s="936">
        <v>0</v>
      </c>
      <c r="AB26" s="935"/>
      <c r="AC26" s="938">
        <f t="shared" si="1"/>
        <v>12355</v>
      </c>
      <c r="AD26" s="930"/>
      <c r="AE26" s="938">
        <v>7927</v>
      </c>
    </row>
    <row r="27" spans="1:31" ht="15" customHeight="1">
      <c r="A27" s="935" t="s">
        <v>771</v>
      </c>
      <c r="B27" s="935" t="s">
        <v>6</v>
      </c>
      <c r="C27" s="936">
        <v>0</v>
      </c>
      <c r="D27" s="935"/>
      <c r="E27" s="936">
        <v>0</v>
      </c>
      <c r="F27" s="935"/>
      <c r="G27" s="936">
        <v>0</v>
      </c>
      <c r="H27" s="935"/>
      <c r="I27" s="936">
        <v>0</v>
      </c>
      <c r="J27" s="935"/>
      <c r="K27" s="936">
        <v>0</v>
      </c>
      <c r="L27" s="935"/>
      <c r="M27" s="936">
        <v>0</v>
      </c>
      <c r="N27" s="935"/>
      <c r="O27" s="936">
        <v>0</v>
      </c>
      <c r="P27" s="935"/>
      <c r="Q27" s="936">
        <v>0</v>
      </c>
      <c r="R27" s="935"/>
      <c r="S27" s="936">
        <v>0</v>
      </c>
      <c r="T27" s="935"/>
      <c r="U27" s="938">
        <f t="shared" si="0"/>
        <v>0</v>
      </c>
      <c r="V27" s="935"/>
      <c r="W27" s="936">
        <v>89952</v>
      </c>
      <c r="X27" s="930"/>
      <c r="Y27" s="936">
        <v>12127</v>
      </c>
      <c r="Z27" s="935"/>
      <c r="AA27" s="936">
        <v>0</v>
      </c>
      <c r="AB27" s="935"/>
      <c r="AC27" s="938">
        <f t="shared" si="1"/>
        <v>102079</v>
      </c>
      <c r="AD27" s="930"/>
      <c r="AE27" s="938">
        <v>101833</v>
      </c>
    </row>
    <row r="28" spans="1:31" ht="15" customHeight="1">
      <c r="A28" s="935" t="s">
        <v>772</v>
      </c>
      <c r="B28" s="935" t="s">
        <v>6</v>
      </c>
      <c r="C28" s="936">
        <v>0</v>
      </c>
      <c r="D28" s="935"/>
      <c r="E28" s="936">
        <v>0</v>
      </c>
      <c r="F28" s="935"/>
      <c r="G28" s="936">
        <v>15065</v>
      </c>
      <c r="H28" s="935"/>
      <c r="I28" s="936">
        <v>0</v>
      </c>
      <c r="J28" s="935"/>
      <c r="K28" s="936">
        <v>0</v>
      </c>
      <c r="L28" s="935"/>
      <c r="M28" s="936">
        <v>0</v>
      </c>
      <c r="N28" s="935"/>
      <c r="O28" s="936">
        <v>0</v>
      </c>
      <c r="P28" s="935"/>
      <c r="Q28" s="936">
        <v>0</v>
      </c>
      <c r="R28" s="935"/>
      <c r="S28" s="936">
        <v>0</v>
      </c>
      <c r="T28" s="935"/>
      <c r="U28" s="938">
        <f t="shared" si="0"/>
        <v>15065</v>
      </c>
      <c r="V28" s="935"/>
      <c r="W28" s="936">
        <v>11756</v>
      </c>
      <c r="X28" s="930"/>
      <c r="Y28" s="936">
        <v>421</v>
      </c>
      <c r="Z28" s="935"/>
      <c r="AA28" s="936">
        <v>0</v>
      </c>
      <c r="AB28" s="935"/>
      <c r="AC28" s="938">
        <f t="shared" si="1"/>
        <v>27242</v>
      </c>
      <c r="AD28" s="935"/>
      <c r="AE28" s="938">
        <v>19364</v>
      </c>
    </row>
    <row r="29" spans="1:31" ht="15" customHeight="1">
      <c r="A29" s="935" t="s">
        <v>773</v>
      </c>
      <c r="B29" s="935" t="s">
        <v>6</v>
      </c>
      <c r="C29" s="936">
        <v>0</v>
      </c>
      <c r="D29" s="935"/>
      <c r="E29" s="936">
        <v>0</v>
      </c>
      <c r="F29" s="935"/>
      <c r="G29" s="936">
        <v>914</v>
      </c>
      <c r="H29" s="935"/>
      <c r="I29" s="936">
        <v>0</v>
      </c>
      <c r="J29" s="935"/>
      <c r="K29" s="936">
        <v>0</v>
      </c>
      <c r="L29" s="935"/>
      <c r="M29" s="936">
        <v>0</v>
      </c>
      <c r="N29" s="935"/>
      <c r="O29" s="936">
        <v>0</v>
      </c>
      <c r="P29" s="935"/>
      <c r="Q29" s="936">
        <v>0</v>
      </c>
      <c r="R29" s="935"/>
      <c r="S29" s="936">
        <v>0</v>
      </c>
      <c r="T29" s="935"/>
      <c r="U29" s="938">
        <f t="shared" si="0"/>
        <v>914</v>
      </c>
      <c r="V29" s="935"/>
      <c r="W29" s="936">
        <v>247131</v>
      </c>
      <c r="X29" s="930"/>
      <c r="Y29" s="936">
        <v>16540</v>
      </c>
      <c r="Z29" s="935"/>
      <c r="AA29" s="936">
        <v>11</v>
      </c>
      <c r="AB29" s="935"/>
      <c r="AC29" s="938">
        <f t="shared" si="1"/>
        <v>264596</v>
      </c>
      <c r="AD29" s="940"/>
      <c r="AE29" s="938">
        <v>273803</v>
      </c>
    </row>
    <row r="30" spans="1:31" ht="15" customHeight="1">
      <c r="A30" s="935" t="s">
        <v>774</v>
      </c>
      <c r="B30" s="935" t="s">
        <v>6</v>
      </c>
      <c r="C30" s="936">
        <v>0</v>
      </c>
      <c r="D30" s="935"/>
      <c r="E30" s="936">
        <v>0</v>
      </c>
      <c r="F30" s="935"/>
      <c r="G30" s="936">
        <v>0</v>
      </c>
      <c r="H30" s="935"/>
      <c r="I30" s="936">
        <v>0</v>
      </c>
      <c r="J30" s="935"/>
      <c r="K30" s="936">
        <v>0</v>
      </c>
      <c r="L30" s="935"/>
      <c r="M30" s="936">
        <v>0</v>
      </c>
      <c r="N30" s="935"/>
      <c r="O30" s="936">
        <v>0</v>
      </c>
      <c r="P30" s="935"/>
      <c r="Q30" s="936">
        <v>0</v>
      </c>
      <c r="R30" s="935"/>
      <c r="S30" s="936">
        <v>111351</v>
      </c>
      <c r="T30" s="935"/>
      <c r="U30" s="938">
        <f t="shared" si="0"/>
        <v>111351</v>
      </c>
      <c r="V30" s="935"/>
      <c r="W30" s="936">
        <v>0</v>
      </c>
      <c r="X30" s="935"/>
      <c r="Y30" s="936">
        <v>1152</v>
      </c>
      <c r="Z30" s="935"/>
      <c r="AA30" s="936">
        <v>0</v>
      </c>
      <c r="AB30" s="935"/>
      <c r="AC30" s="938">
        <f t="shared" si="1"/>
        <v>112503</v>
      </c>
      <c r="AD30" s="930"/>
      <c r="AE30" s="938">
        <v>98753</v>
      </c>
    </row>
    <row r="31" spans="1:31" ht="15" customHeight="1">
      <c r="A31" s="935" t="s">
        <v>775</v>
      </c>
      <c r="B31" s="935" t="s">
        <v>6</v>
      </c>
      <c r="C31" s="936">
        <v>0</v>
      </c>
      <c r="D31" s="935"/>
      <c r="E31" s="936">
        <v>0</v>
      </c>
      <c r="F31" s="935"/>
      <c r="G31" s="936">
        <v>0</v>
      </c>
      <c r="H31" s="935"/>
      <c r="I31" s="936">
        <v>0</v>
      </c>
      <c r="J31" s="935"/>
      <c r="K31" s="936">
        <v>0</v>
      </c>
      <c r="L31" s="935"/>
      <c r="M31" s="936">
        <v>0</v>
      </c>
      <c r="N31" s="935"/>
      <c r="O31" s="936">
        <v>0</v>
      </c>
      <c r="P31" s="935"/>
      <c r="Q31" s="936">
        <v>0</v>
      </c>
      <c r="R31" s="935"/>
      <c r="S31" s="936">
        <v>0</v>
      </c>
      <c r="T31" s="490"/>
      <c r="U31" s="938">
        <f t="shared" si="0"/>
        <v>0</v>
      </c>
      <c r="V31" s="935"/>
      <c r="W31" s="936">
        <v>18945</v>
      </c>
      <c r="X31" s="930"/>
      <c r="Y31" s="936">
        <v>2133</v>
      </c>
      <c r="Z31" s="935"/>
      <c r="AA31" s="936">
        <v>0</v>
      </c>
      <c r="AB31" s="935"/>
      <c r="AC31" s="938">
        <f t="shared" si="1"/>
        <v>21078</v>
      </c>
      <c r="AD31" s="930"/>
      <c r="AE31" s="938">
        <v>20322</v>
      </c>
    </row>
    <row r="32" spans="1:31" ht="15" customHeight="1">
      <c r="A32" s="935" t="s">
        <v>776</v>
      </c>
      <c r="B32" s="935" t="s">
        <v>6</v>
      </c>
      <c r="C32" s="936">
        <v>0</v>
      </c>
      <c r="D32" s="935"/>
      <c r="E32" s="936">
        <v>0</v>
      </c>
      <c r="F32" s="935"/>
      <c r="G32" s="936">
        <v>245</v>
      </c>
      <c r="H32" s="935"/>
      <c r="I32" s="936">
        <v>0</v>
      </c>
      <c r="J32" s="935"/>
      <c r="K32" s="936">
        <v>0</v>
      </c>
      <c r="L32" s="935"/>
      <c r="M32" s="936">
        <v>127652</v>
      </c>
      <c r="N32" s="935"/>
      <c r="O32" s="936">
        <v>80</v>
      </c>
      <c r="P32" s="935"/>
      <c r="Q32" s="936">
        <v>0</v>
      </c>
      <c r="R32" s="935"/>
      <c r="S32" s="936">
        <v>0</v>
      </c>
      <c r="T32" s="935"/>
      <c r="U32" s="938">
        <f t="shared" si="0"/>
        <v>127977</v>
      </c>
      <c r="V32" s="935"/>
      <c r="W32" s="936">
        <v>24246</v>
      </c>
      <c r="X32" s="930"/>
      <c r="Y32" s="936">
        <v>10275</v>
      </c>
      <c r="Z32" s="930"/>
      <c r="AA32" s="936">
        <v>0</v>
      </c>
      <c r="AB32" s="935"/>
      <c r="AC32" s="938">
        <f t="shared" si="1"/>
        <v>162498</v>
      </c>
      <c r="AD32" s="940"/>
      <c r="AE32" s="938">
        <v>161783</v>
      </c>
    </row>
    <row r="33" spans="1:31" ht="15" customHeight="1">
      <c r="A33" s="935" t="s">
        <v>777</v>
      </c>
      <c r="B33" s="490" t="s">
        <v>6</v>
      </c>
      <c r="C33" s="936">
        <v>0</v>
      </c>
      <c r="D33" s="935"/>
      <c r="E33" s="936">
        <v>0</v>
      </c>
      <c r="F33" s="935"/>
      <c r="G33" s="936">
        <v>273</v>
      </c>
      <c r="H33" s="935"/>
      <c r="I33" s="936">
        <v>0</v>
      </c>
      <c r="J33" s="935"/>
      <c r="K33" s="936">
        <v>0</v>
      </c>
      <c r="L33" s="935"/>
      <c r="M33" s="936">
        <v>-15806</v>
      </c>
      <c r="N33" s="935"/>
      <c r="O33" s="936">
        <v>0</v>
      </c>
      <c r="P33" s="935"/>
      <c r="Q33" s="936">
        <v>0</v>
      </c>
      <c r="R33" s="935"/>
      <c r="S33" s="936">
        <v>0</v>
      </c>
      <c r="T33" s="935"/>
      <c r="U33" s="938">
        <f t="shared" si="0"/>
        <v>-15533</v>
      </c>
      <c r="V33" s="935"/>
      <c r="W33" s="936">
        <v>281</v>
      </c>
      <c r="X33" s="930"/>
      <c r="Y33" s="936">
        <v>-47842</v>
      </c>
      <c r="Z33" s="935"/>
      <c r="AA33" s="936">
        <v>0</v>
      </c>
      <c r="AB33" s="935"/>
      <c r="AC33" s="938">
        <f t="shared" si="1"/>
        <v>-63094</v>
      </c>
      <c r="AD33" s="930"/>
      <c r="AE33" s="938">
        <v>31176</v>
      </c>
    </row>
    <row r="34" spans="1:31" ht="15" customHeight="1">
      <c r="A34" s="935" t="s">
        <v>778</v>
      </c>
      <c r="B34" s="935" t="s">
        <v>6</v>
      </c>
      <c r="C34" s="936">
        <v>0</v>
      </c>
      <c r="D34" s="935"/>
      <c r="E34" s="936">
        <v>0</v>
      </c>
      <c r="F34" s="935"/>
      <c r="G34" s="936">
        <v>181</v>
      </c>
      <c r="H34" s="935"/>
      <c r="I34" s="936">
        <v>0</v>
      </c>
      <c r="J34" s="935"/>
      <c r="K34" s="936">
        <v>2303</v>
      </c>
      <c r="L34" s="935"/>
      <c r="M34" s="936">
        <v>0</v>
      </c>
      <c r="N34" s="935"/>
      <c r="O34" s="936">
        <v>4583</v>
      </c>
      <c r="P34" s="935"/>
      <c r="Q34" s="936">
        <v>0</v>
      </c>
      <c r="R34" s="935"/>
      <c r="S34" s="936">
        <v>0</v>
      </c>
      <c r="T34" s="935"/>
      <c r="U34" s="938">
        <f t="shared" si="0"/>
        <v>7067</v>
      </c>
      <c r="V34" s="935"/>
      <c r="W34" s="936">
        <v>4919</v>
      </c>
      <c r="X34" s="930"/>
      <c r="Y34" s="936">
        <v>2268</v>
      </c>
      <c r="Z34" s="935"/>
      <c r="AA34" s="936">
        <v>0</v>
      </c>
      <c r="AB34" s="935"/>
      <c r="AC34" s="938">
        <f t="shared" si="1"/>
        <v>14254</v>
      </c>
      <c r="AD34" s="930"/>
      <c r="AE34" s="938">
        <v>19066</v>
      </c>
    </row>
    <row r="35" spans="1:31" ht="15" customHeight="1">
      <c r="A35" s="935" t="s">
        <v>779</v>
      </c>
      <c r="B35" s="935" t="s">
        <v>6</v>
      </c>
      <c r="C35" s="936">
        <v>0</v>
      </c>
      <c r="D35" s="935"/>
      <c r="E35" s="936">
        <v>0</v>
      </c>
      <c r="F35" s="935"/>
      <c r="G35" s="936">
        <v>0</v>
      </c>
      <c r="H35" s="935"/>
      <c r="I35" s="936">
        <v>0</v>
      </c>
      <c r="J35" s="935"/>
      <c r="K35" s="936">
        <v>0</v>
      </c>
      <c r="L35" s="935"/>
      <c r="M35" s="936">
        <v>0</v>
      </c>
      <c r="N35" s="935"/>
      <c r="O35" s="936">
        <v>0</v>
      </c>
      <c r="P35" s="935"/>
      <c r="Q35" s="936">
        <v>0</v>
      </c>
      <c r="R35" s="935"/>
      <c r="S35" s="936">
        <v>0</v>
      </c>
      <c r="T35" s="935"/>
      <c r="U35" s="938">
        <f t="shared" si="0"/>
        <v>0</v>
      </c>
      <c r="V35" s="935"/>
      <c r="W35" s="936">
        <v>9397</v>
      </c>
      <c r="X35" s="930"/>
      <c r="Y35" s="936">
        <v>864</v>
      </c>
      <c r="Z35" s="935"/>
      <c r="AA35" s="936">
        <v>0</v>
      </c>
      <c r="AB35" s="935"/>
      <c r="AC35" s="938">
        <f t="shared" si="1"/>
        <v>10261</v>
      </c>
      <c r="AD35" s="930"/>
      <c r="AE35" s="938">
        <v>10583</v>
      </c>
    </row>
    <row r="36" spans="1:31" ht="15" customHeight="1">
      <c r="A36" s="935" t="s">
        <v>780</v>
      </c>
      <c r="B36" s="935" t="s">
        <v>6</v>
      </c>
      <c r="C36" s="936">
        <v>0</v>
      </c>
      <c r="D36" s="935"/>
      <c r="E36" s="936">
        <v>0</v>
      </c>
      <c r="F36" s="935"/>
      <c r="G36" s="936">
        <v>4</v>
      </c>
      <c r="H36" s="935"/>
      <c r="I36" s="936">
        <v>0</v>
      </c>
      <c r="J36" s="935"/>
      <c r="K36" s="936">
        <v>0</v>
      </c>
      <c r="L36" s="935"/>
      <c r="M36" s="936">
        <v>801</v>
      </c>
      <c r="N36" s="935"/>
      <c r="O36" s="936">
        <v>0</v>
      </c>
      <c r="P36" s="935"/>
      <c r="Q36" s="936">
        <v>0</v>
      </c>
      <c r="R36" s="935"/>
      <c r="S36" s="936">
        <v>0</v>
      </c>
      <c r="T36" s="935"/>
      <c r="U36" s="938">
        <f t="shared" si="0"/>
        <v>805</v>
      </c>
      <c r="V36" s="935"/>
      <c r="W36" s="936">
        <v>16694</v>
      </c>
      <c r="X36" s="935"/>
      <c r="Y36" s="936">
        <v>5868</v>
      </c>
      <c r="Z36" s="935"/>
      <c r="AA36" s="936">
        <v>0</v>
      </c>
      <c r="AB36" s="935"/>
      <c r="AC36" s="938">
        <f t="shared" si="1"/>
        <v>23367</v>
      </c>
      <c r="AD36" s="930"/>
      <c r="AE36" s="938">
        <v>21640</v>
      </c>
    </row>
    <row r="37" spans="1:31" ht="14.25" customHeight="1">
      <c r="A37" s="935" t="s">
        <v>781</v>
      </c>
      <c r="B37" s="935" t="s">
        <v>6</v>
      </c>
      <c r="C37" s="936">
        <v>0</v>
      </c>
      <c r="D37" s="935"/>
      <c r="E37" s="936">
        <v>0</v>
      </c>
      <c r="F37" s="935"/>
      <c r="G37" s="936">
        <v>0</v>
      </c>
      <c r="H37" s="935"/>
      <c r="I37" s="936">
        <v>0</v>
      </c>
      <c r="J37" s="935"/>
      <c r="K37" s="936">
        <v>0</v>
      </c>
      <c r="L37" s="935"/>
      <c r="M37" s="936">
        <v>0</v>
      </c>
      <c r="N37" s="935"/>
      <c r="O37" s="936">
        <v>0</v>
      </c>
      <c r="P37" s="935"/>
      <c r="Q37" s="936">
        <v>0</v>
      </c>
      <c r="R37" s="935"/>
      <c r="S37" s="936">
        <v>0</v>
      </c>
      <c r="T37" s="935"/>
      <c r="U37" s="938">
        <f t="shared" si="0"/>
        <v>0</v>
      </c>
      <c r="V37" s="935"/>
      <c r="W37" s="936">
        <v>607552</v>
      </c>
      <c r="X37" s="930"/>
      <c r="Y37" s="936">
        <v>44715</v>
      </c>
      <c r="Z37" s="935"/>
      <c r="AA37" s="936">
        <v>0</v>
      </c>
      <c r="AB37" s="935"/>
      <c r="AC37" s="938">
        <f t="shared" si="1"/>
        <v>652267</v>
      </c>
      <c r="AD37" s="930"/>
      <c r="AE37" s="938">
        <v>608613</v>
      </c>
    </row>
    <row r="38" spans="1:31" ht="15" customHeight="1">
      <c r="A38" s="935" t="s">
        <v>782</v>
      </c>
      <c r="B38" s="935" t="s">
        <v>6</v>
      </c>
      <c r="C38" s="936">
        <v>0</v>
      </c>
      <c r="D38" s="935"/>
      <c r="E38" s="936">
        <v>0</v>
      </c>
      <c r="F38" s="935"/>
      <c r="G38" s="936">
        <v>0</v>
      </c>
      <c r="H38" s="935"/>
      <c r="I38" s="936">
        <v>0</v>
      </c>
      <c r="J38" s="935"/>
      <c r="K38" s="936">
        <v>0</v>
      </c>
      <c r="L38" s="935"/>
      <c r="M38" s="936">
        <v>0</v>
      </c>
      <c r="N38" s="935"/>
      <c r="O38" s="936">
        <v>0</v>
      </c>
      <c r="P38" s="935"/>
      <c r="Q38" s="936">
        <v>0</v>
      </c>
      <c r="R38" s="935"/>
      <c r="S38" s="936">
        <v>0</v>
      </c>
      <c r="T38" s="935"/>
      <c r="U38" s="938">
        <f t="shared" si="0"/>
        <v>0</v>
      </c>
      <c r="V38" s="935"/>
      <c r="W38" s="936">
        <v>2763</v>
      </c>
      <c r="X38" s="930"/>
      <c r="Y38" s="936">
        <v>272</v>
      </c>
      <c r="Z38" s="935"/>
      <c r="AA38" s="936">
        <v>0</v>
      </c>
      <c r="AB38" s="935"/>
      <c r="AC38" s="938">
        <f t="shared" si="1"/>
        <v>3035</v>
      </c>
      <c r="AD38" s="935"/>
      <c r="AE38" s="938">
        <v>2854</v>
      </c>
    </row>
    <row r="39" spans="1:31" ht="15" customHeight="1">
      <c r="A39" s="935" t="s">
        <v>783</v>
      </c>
      <c r="B39" s="935" t="s">
        <v>6</v>
      </c>
      <c r="C39" s="936">
        <v>0</v>
      </c>
      <c r="D39" s="935"/>
      <c r="E39" s="936">
        <v>0</v>
      </c>
      <c r="F39" s="935"/>
      <c r="G39" s="936">
        <v>51</v>
      </c>
      <c r="H39" s="935"/>
      <c r="I39" s="936">
        <v>0</v>
      </c>
      <c r="J39" s="935"/>
      <c r="K39" s="936">
        <v>0</v>
      </c>
      <c r="L39" s="935"/>
      <c r="M39" s="936">
        <v>0</v>
      </c>
      <c r="N39" s="935"/>
      <c r="O39" s="936">
        <v>7804</v>
      </c>
      <c r="P39" s="935"/>
      <c r="Q39" s="936">
        <v>0</v>
      </c>
      <c r="R39" s="935"/>
      <c r="S39" s="936">
        <v>0</v>
      </c>
      <c r="T39" s="935"/>
      <c r="U39" s="938">
        <f t="shared" si="0"/>
        <v>7855</v>
      </c>
      <c r="V39" s="935"/>
      <c r="W39" s="936">
        <v>4731</v>
      </c>
      <c r="X39" s="935"/>
      <c r="Y39" s="936">
        <v>334</v>
      </c>
      <c r="Z39" s="935"/>
      <c r="AA39" s="936">
        <v>0</v>
      </c>
      <c r="AB39" s="935"/>
      <c r="AC39" s="938">
        <f t="shared" si="1"/>
        <v>12920</v>
      </c>
      <c r="AD39" s="930"/>
      <c r="AE39" s="938">
        <v>12831</v>
      </c>
    </row>
    <row r="40" spans="1:31" ht="15" customHeight="1">
      <c r="A40" s="935" t="s">
        <v>784</v>
      </c>
      <c r="B40" s="911" t="s">
        <v>6</v>
      </c>
      <c r="C40" s="936">
        <v>0</v>
      </c>
      <c r="D40" s="935"/>
      <c r="E40" s="936">
        <v>0</v>
      </c>
      <c r="F40" s="935"/>
      <c r="G40" s="936">
        <v>0</v>
      </c>
      <c r="H40" s="935"/>
      <c r="I40" s="936">
        <v>0</v>
      </c>
      <c r="J40" s="935"/>
      <c r="K40" s="936">
        <v>0</v>
      </c>
      <c r="L40" s="935"/>
      <c r="M40" s="936">
        <v>0</v>
      </c>
      <c r="N40" s="935"/>
      <c r="O40" s="936">
        <v>0</v>
      </c>
      <c r="P40" s="935"/>
      <c r="Q40" s="936">
        <v>0</v>
      </c>
      <c r="R40" s="935"/>
      <c r="S40" s="936">
        <v>0</v>
      </c>
      <c r="T40" s="935"/>
      <c r="U40" s="938">
        <f t="shared" si="0"/>
        <v>0</v>
      </c>
      <c r="V40" s="935"/>
      <c r="W40" s="936">
        <v>10669</v>
      </c>
      <c r="X40" s="930"/>
      <c r="Y40" s="936">
        <v>3000</v>
      </c>
      <c r="Z40" s="935"/>
      <c r="AA40" s="936">
        <v>0</v>
      </c>
      <c r="AB40" s="935"/>
      <c r="AC40" s="938">
        <f t="shared" si="1"/>
        <v>13669</v>
      </c>
      <c r="AD40" s="935"/>
      <c r="AE40" s="938">
        <v>13979</v>
      </c>
    </row>
    <row r="41" spans="1:31" ht="15" customHeight="1">
      <c r="A41" s="941" t="s">
        <v>785</v>
      </c>
      <c r="B41" s="935" t="s">
        <v>6</v>
      </c>
      <c r="C41" s="936">
        <v>0</v>
      </c>
      <c r="D41" s="935"/>
      <c r="E41" s="936">
        <v>0</v>
      </c>
      <c r="F41" s="935"/>
      <c r="G41" s="936">
        <v>0</v>
      </c>
      <c r="H41" s="935"/>
      <c r="I41" s="936">
        <v>0</v>
      </c>
      <c r="J41" s="935"/>
      <c r="K41" s="936">
        <v>0</v>
      </c>
      <c r="L41" s="935"/>
      <c r="M41" s="936">
        <v>0</v>
      </c>
      <c r="N41" s="935"/>
      <c r="O41" s="936">
        <v>0</v>
      </c>
      <c r="P41" s="935"/>
      <c r="Q41" s="936">
        <v>0</v>
      </c>
      <c r="R41" s="935"/>
      <c r="S41" s="936">
        <v>0</v>
      </c>
      <c r="T41" s="935"/>
      <c r="U41" s="938">
        <f t="shared" si="0"/>
        <v>0</v>
      </c>
      <c r="V41" s="935"/>
      <c r="W41" s="936">
        <v>0</v>
      </c>
      <c r="X41" s="935"/>
      <c r="Y41" s="936">
        <v>166</v>
      </c>
      <c r="Z41" s="935"/>
      <c r="AA41" s="936">
        <v>0</v>
      </c>
      <c r="AB41" s="935"/>
      <c r="AC41" s="938">
        <f t="shared" si="1"/>
        <v>166</v>
      </c>
      <c r="AD41" s="930"/>
      <c r="AE41" s="938">
        <v>166</v>
      </c>
    </row>
    <row r="42" spans="1:31" ht="15" customHeight="1">
      <c r="A42" s="935" t="s">
        <v>786</v>
      </c>
      <c r="B42" s="490" t="s">
        <v>6</v>
      </c>
      <c r="C42" s="937">
        <v>1009146</v>
      </c>
      <c r="D42" s="935"/>
      <c r="E42" s="937">
        <v>0</v>
      </c>
      <c r="F42" s="935"/>
      <c r="G42" s="937">
        <v>0</v>
      </c>
      <c r="H42" s="935"/>
      <c r="I42" s="937">
        <v>0</v>
      </c>
      <c r="J42" s="935"/>
      <c r="K42" s="937">
        <v>0</v>
      </c>
      <c r="L42" s="935"/>
      <c r="M42" s="937">
        <v>0</v>
      </c>
      <c r="N42" s="935"/>
      <c r="O42" s="937">
        <v>0</v>
      </c>
      <c r="P42" s="935"/>
      <c r="Q42" s="937">
        <v>0</v>
      </c>
      <c r="R42" s="935"/>
      <c r="S42" s="937">
        <v>0</v>
      </c>
      <c r="T42" s="935"/>
      <c r="U42" s="938">
        <f t="shared" si="0"/>
        <v>1009146</v>
      </c>
      <c r="V42" s="935"/>
      <c r="W42" s="937">
        <v>0</v>
      </c>
      <c r="X42" s="935"/>
      <c r="Y42" s="937">
        <v>0</v>
      </c>
      <c r="Z42" s="935"/>
      <c r="AA42" s="937">
        <v>0</v>
      </c>
      <c r="AB42" s="935"/>
      <c r="AC42" s="938">
        <f t="shared" si="1"/>
        <v>1009146</v>
      </c>
      <c r="AD42" s="930"/>
      <c r="AE42" s="938">
        <v>1177916</v>
      </c>
    </row>
    <row r="43" spans="1:31" ht="15" customHeight="1">
      <c r="A43" s="935" t="s">
        <v>787</v>
      </c>
      <c r="B43" s="935" t="s">
        <v>6</v>
      </c>
      <c r="C43" s="936">
        <v>0</v>
      </c>
      <c r="D43" s="935"/>
      <c r="E43" s="936">
        <v>101</v>
      </c>
      <c r="F43" s="935"/>
      <c r="G43" s="936">
        <v>0</v>
      </c>
      <c r="H43" s="935"/>
      <c r="I43" s="936">
        <v>0</v>
      </c>
      <c r="J43" s="935"/>
      <c r="K43" s="936">
        <v>0</v>
      </c>
      <c r="L43" s="935"/>
      <c r="M43" s="936">
        <v>0</v>
      </c>
      <c r="N43" s="935"/>
      <c r="O43" s="936">
        <v>0</v>
      </c>
      <c r="P43" s="935"/>
      <c r="Q43" s="936">
        <v>0</v>
      </c>
      <c r="R43" s="935"/>
      <c r="S43" s="936">
        <v>0</v>
      </c>
      <c r="T43" s="935"/>
      <c r="U43" s="938">
        <f t="shared" si="0"/>
        <v>101</v>
      </c>
      <c r="V43" s="935"/>
      <c r="W43" s="936">
        <v>56</v>
      </c>
      <c r="X43" s="930"/>
      <c r="Y43" s="936">
        <v>27</v>
      </c>
      <c r="Z43" s="935"/>
      <c r="AA43" s="936">
        <v>0</v>
      </c>
      <c r="AB43" s="935"/>
      <c r="AC43" s="938">
        <f t="shared" si="1"/>
        <v>184</v>
      </c>
      <c r="AD43" s="930"/>
      <c r="AE43" s="938">
        <v>222</v>
      </c>
    </row>
    <row r="44" spans="1:31" ht="15" customHeight="1">
      <c r="A44" s="935" t="s">
        <v>788</v>
      </c>
      <c r="B44" s="935" t="s">
        <v>6</v>
      </c>
      <c r="C44" s="936">
        <v>0</v>
      </c>
      <c r="D44" s="935"/>
      <c r="E44" s="936">
        <v>0</v>
      </c>
      <c r="F44" s="935"/>
      <c r="G44" s="936">
        <v>0</v>
      </c>
      <c r="H44" s="935"/>
      <c r="I44" s="936">
        <v>0</v>
      </c>
      <c r="J44" s="935"/>
      <c r="K44" s="936">
        <v>0</v>
      </c>
      <c r="L44" s="935"/>
      <c r="M44" s="936">
        <v>12910</v>
      </c>
      <c r="N44" s="935"/>
      <c r="O44" s="936">
        <v>0</v>
      </c>
      <c r="P44" s="935"/>
      <c r="Q44" s="936">
        <v>0</v>
      </c>
      <c r="R44" s="935"/>
      <c r="S44" s="936">
        <v>0</v>
      </c>
      <c r="T44" s="935"/>
      <c r="U44" s="938">
        <f t="shared" si="0"/>
        <v>12910</v>
      </c>
      <c r="V44" s="935"/>
      <c r="W44" s="936">
        <v>0</v>
      </c>
      <c r="X44" s="930"/>
      <c r="Y44" s="936">
        <v>0</v>
      </c>
      <c r="Z44" s="935"/>
      <c r="AA44" s="936">
        <v>0</v>
      </c>
      <c r="AB44" s="935"/>
      <c r="AC44" s="938">
        <f t="shared" si="1"/>
        <v>12910</v>
      </c>
      <c r="AD44" s="930"/>
      <c r="AE44" s="938">
        <v>14761</v>
      </c>
    </row>
    <row r="45" spans="1:31" ht="15" customHeight="1">
      <c r="A45" s="935" t="s">
        <v>789</v>
      </c>
      <c r="B45" s="935" t="s">
        <v>6</v>
      </c>
      <c r="C45" s="936">
        <v>0</v>
      </c>
      <c r="D45" s="935"/>
      <c r="E45" s="936">
        <v>0</v>
      </c>
      <c r="F45" s="935"/>
      <c r="G45" s="936">
        <v>0</v>
      </c>
      <c r="H45" s="935"/>
      <c r="I45" s="936">
        <v>0</v>
      </c>
      <c r="J45" s="935"/>
      <c r="K45" s="936">
        <v>0</v>
      </c>
      <c r="L45" s="935"/>
      <c r="M45" s="936">
        <v>0</v>
      </c>
      <c r="N45" s="935"/>
      <c r="O45" s="936">
        <v>0</v>
      </c>
      <c r="P45" s="935"/>
      <c r="Q45" s="936">
        <v>0</v>
      </c>
      <c r="R45" s="935"/>
      <c r="S45" s="936">
        <v>0</v>
      </c>
      <c r="T45" s="935"/>
      <c r="U45" s="938">
        <f t="shared" si="0"/>
        <v>0</v>
      </c>
      <c r="V45" s="935"/>
      <c r="W45" s="936">
        <v>4208</v>
      </c>
      <c r="X45" s="935"/>
      <c r="Y45" s="936">
        <v>1364</v>
      </c>
      <c r="Z45" s="935"/>
      <c r="AA45" s="936">
        <v>0</v>
      </c>
      <c r="AB45" s="935"/>
      <c r="AC45" s="938">
        <f t="shared" si="1"/>
        <v>5572</v>
      </c>
      <c r="AD45" s="935"/>
      <c r="AE45" s="942">
        <v>5380</v>
      </c>
    </row>
    <row r="46" spans="1:31" ht="15" customHeight="1">
      <c r="A46" s="935" t="s">
        <v>2276</v>
      </c>
      <c r="B46" s="935" t="s">
        <v>6</v>
      </c>
      <c r="C46" s="936">
        <v>0</v>
      </c>
      <c r="D46" s="935"/>
      <c r="E46" s="936">
        <v>0</v>
      </c>
      <c r="F46" s="935"/>
      <c r="G46" s="936">
        <v>0</v>
      </c>
      <c r="H46" s="935"/>
      <c r="I46" s="936">
        <v>0</v>
      </c>
      <c r="J46" s="935"/>
      <c r="K46" s="936">
        <v>0</v>
      </c>
      <c r="L46" s="935"/>
      <c r="M46" s="936">
        <v>0</v>
      </c>
      <c r="N46" s="935"/>
      <c r="O46" s="936">
        <v>0</v>
      </c>
      <c r="P46" s="935"/>
      <c r="Q46" s="936">
        <v>0</v>
      </c>
      <c r="R46" s="935"/>
      <c r="S46" s="936">
        <v>0</v>
      </c>
      <c r="T46" s="935"/>
      <c r="U46" s="938">
        <f t="shared" si="0"/>
        <v>0</v>
      </c>
      <c r="V46" s="935"/>
      <c r="W46" s="936">
        <v>0</v>
      </c>
      <c r="X46" s="935"/>
      <c r="Y46" s="936">
        <v>14</v>
      </c>
      <c r="Z46" s="935"/>
      <c r="AA46" s="936">
        <v>0</v>
      </c>
      <c r="AB46" s="935"/>
      <c r="AC46" s="938">
        <f t="shared" si="1"/>
        <v>14</v>
      </c>
      <c r="AD46" s="935"/>
      <c r="AE46" s="942">
        <v>15</v>
      </c>
    </row>
    <row r="47" spans="1:31" ht="15" customHeight="1">
      <c r="A47" s="935" t="s">
        <v>790</v>
      </c>
      <c r="B47" s="935" t="s">
        <v>6</v>
      </c>
      <c r="C47" s="936">
        <v>0</v>
      </c>
      <c r="D47" s="935"/>
      <c r="E47" s="936">
        <v>0</v>
      </c>
      <c r="F47" s="935"/>
      <c r="G47" s="936">
        <v>0</v>
      </c>
      <c r="H47" s="935"/>
      <c r="I47" s="936">
        <v>0</v>
      </c>
      <c r="J47" s="935"/>
      <c r="K47" s="936">
        <v>0</v>
      </c>
      <c r="L47" s="935"/>
      <c r="M47" s="936">
        <v>0</v>
      </c>
      <c r="N47" s="935"/>
      <c r="O47" s="936">
        <v>0</v>
      </c>
      <c r="P47" s="935"/>
      <c r="Q47" s="936">
        <v>0</v>
      </c>
      <c r="R47" s="935"/>
      <c r="S47" s="936">
        <v>0</v>
      </c>
      <c r="T47" s="935"/>
      <c r="U47" s="938">
        <f t="shared" si="0"/>
        <v>0</v>
      </c>
      <c r="V47" s="935"/>
      <c r="W47" s="936">
        <v>0</v>
      </c>
      <c r="X47" s="940"/>
      <c r="Y47" s="936">
        <v>20</v>
      </c>
      <c r="Z47" s="935"/>
      <c r="AA47" s="936">
        <v>0</v>
      </c>
      <c r="AB47" s="935"/>
      <c r="AC47" s="938">
        <f t="shared" si="1"/>
        <v>20</v>
      </c>
      <c r="AD47" s="930"/>
      <c r="AE47" s="938">
        <v>24</v>
      </c>
    </row>
    <row r="48" spans="1:31" ht="15" customHeight="1">
      <c r="A48" s="935" t="s">
        <v>1956</v>
      </c>
      <c r="B48" s="935" t="s">
        <v>6</v>
      </c>
      <c r="C48" s="936">
        <v>0</v>
      </c>
      <c r="D48" s="935"/>
      <c r="E48" s="936">
        <v>0</v>
      </c>
      <c r="F48" s="935" t="s">
        <v>6</v>
      </c>
      <c r="G48" s="936">
        <v>0</v>
      </c>
      <c r="H48" s="935"/>
      <c r="I48" s="936">
        <v>0</v>
      </c>
      <c r="J48" s="935"/>
      <c r="K48" s="936">
        <v>114</v>
      </c>
      <c r="L48" s="935"/>
      <c r="M48" s="936">
        <v>0</v>
      </c>
      <c r="N48" s="935"/>
      <c r="O48" s="936">
        <v>0</v>
      </c>
      <c r="P48" s="935"/>
      <c r="Q48" s="936">
        <v>0</v>
      </c>
      <c r="R48" s="935"/>
      <c r="S48" s="936">
        <v>0</v>
      </c>
      <c r="T48" s="935"/>
      <c r="U48" s="938">
        <f t="shared" si="0"/>
        <v>114</v>
      </c>
      <c r="V48" s="935"/>
      <c r="W48" s="936">
        <v>25430</v>
      </c>
      <c r="X48" s="940"/>
      <c r="Y48" s="936">
        <v>11660</v>
      </c>
      <c r="Z48" s="935"/>
      <c r="AA48" s="936">
        <v>0</v>
      </c>
      <c r="AB48" s="935"/>
      <c r="AC48" s="938">
        <f t="shared" si="1"/>
        <v>37204</v>
      </c>
      <c r="AD48" s="930"/>
      <c r="AE48" s="938">
        <v>29560</v>
      </c>
    </row>
    <row r="49" spans="1:31" ht="15" customHeight="1">
      <c r="A49" s="935" t="s">
        <v>791</v>
      </c>
      <c r="B49" s="935" t="s">
        <v>6</v>
      </c>
      <c r="C49" s="936">
        <v>0</v>
      </c>
      <c r="D49" s="935"/>
      <c r="E49" s="936">
        <v>0</v>
      </c>
      <c r="F49" s="935"/>
      <c r="G49" s="936">
        <v>0</v>
      </c>
      <c r="H49" s="935"/>
      <c r="I49" s="936">
        <v>0</v>
      </c>
      <c r="J49" s="935"/>
      <c r="K49" s="936">
        <v>0</v>
      </c>
      <c r="L49" s="935"/>
      <c r="M49" s="936">
        <v>0</v>
      </c>
      <c r="N49" s="935"/>
      <c r="O49" s="936">
        <v>0</v>
      </c>
      <c r="P49" s="935"/>
      <c r="Q49" s="936">
        <v>0</v>
      </c>
      <c r="R49" s="935"/>
      <c r="S49" s="936">
        <v>0</v>
      </c>
      <c r="T49" s="935"/>
      <c r="U49" s="938">
        <f t="shared" si="0"/>
        <v>0</v>
      </c>
      <c r="V49" s="935"/>
      <c r="W49" s="936">
        <v>167184</v>
      </c>
      <c r="X49" s="930"/>
      <c r="Y49" s="936">
        <v>46667</v>
      </c>
      <c r="Z49" s="935"/>
      <c r="AA49" s="936">
        <v>0</v>
      </c>
      <c r="AB49" s="935"/>
      <c r="AC49" s="938">
        <f t="shared" si="1"/>
        <v>213851</v>
      </c>
      <c r="AD49" s="930"/>
      <c r="AE49" s="938">
        <v>205577</v>
      </c>
    </row>
    <row r="50" spans="1:31" ht="15" customHeight="1">
      <c r="A50" s="935" t="s">
        <v>2572</v>
      </c>
      <c r="B50" s="935" t="s">
        <v>6</v>
      </c>
      <c r="C50" s="936">
        <v>0</v>
      </c>
      <c r="D50" s="935"/>
      <c r="E50" s="936">
        <v>0</v>
      </c>
      <c r="F50" s="935"/>
      <c r="G50" s="936">
        <v>0</v>
      </c>
      <c r="H50" s="935"/>
      <c r="I50" s="936">
        <v>0</v>
      </c>
      <c r="J50" s="935"/>
      <c r="K50" s="936">
        <v>0</v>
      </c>
      <c r="L50" s="935"/>
      <c r="M50" s="936">
        <v>0</v>
      </c>
      <c r="N50" s="935"/>
      <c r="O50" s="936">
        <v>0</v>
      </c>
      <c r="P50" s="935"/>
      <c r="Q50" s="936">
        <v>0</v>
      </c>
      <c r="R50" s="935"/>
      <c r="S50" s="936">
        <v>0</v>
      </c>
      <c r="T50" s="935"/>
      <c r="U50" s="938">
        <f t="shared" si="0"/>
        <v>0</v>
      </c>
      <c r="V50" s="935"/>
      <c r="W50" s="936">
        <v>597</v>
      </c>
      <c r="X50" s="930"/>
      <c r="Y50" s="936">
        <v>157</v>
      </c>
      <c r="Z50" s="935"/>
      <c r="AA50" s="936">
        <v>0</v>
      </c>
      <c r="AB50" s="935"/>
      <c r="AC50" s="938">
        <f t="shared" si="1"/>
        <v>754</v>
      </c>
      <c r="AD50" s="930"/>
      <c r="AE50" s="937">
        <v>547</v>
      </c>
    </row>
    <row r="51" spans="1:31" ht="15" customHeight="1">
      <c r="A51" s="935" t="s">
        <v>792</v>
      </c>
      <c r="B51" s="935" t="s">
        <v>6</v>
      </c>
      <c r="C51" s="936">
        <v>0</v>
      </c>
      <c r="D51" s="935"/>
      <c r="E51" s="936">
        <v>0</v>
      </c>
      <c r="F51" s="935"/>
      <c r="G51" s="936">
        <v>0</v>
      </c>
      <c r="H51" s="935"/>
      <c r="I51" s="936">
        <v>0</v>
      </c>
      <c r="J51" s="935"/>
      <c r="K51" s="936">
        <v>0</v>
      </c>
      <c r="L51" s="935"/>
      <c r="M51" s="936">
        <v>0</v>
      </c>
      <c r="N51" s="935"/>
      <c r="O51" s="936">
        <v>142</v>
      </c>
      <c r="P51" s="935"/>
      <c r="Q51" s="936">
        <v>0</v>
      </c>
      <c r="R51" s="935"/>
      <c r="S51" s="936">
        <v>0</v>
      </c>
      <c r="T51" s="935"/>
      <c r="U51" s="938">
        <f>ROUND(SUM(C51:S51),1)</f>
        <v>142</v>
      </c>
      <c r="V51" s="935"/>
      <c r="W51" s="936">
        <v>312</v>
      </c>
      <c r="X51" s="930"/>
      <c r="Y51" s="936">
        <v>5</v>
      </c>
      <c r="Z51" s="935"/>
      <c r="AA51" s="936">
        <v>0</v>
      </c>
      <c r="AB51" s="935"/>
      <c r="AC51" s="938">
        <f>ROUND(SUM(U51:AA51),1)</f>
        <v>459</v>
      </c>
      <c r="AD51" s="930"/>
      <c r="AE51" s="937">
        <v>687</v>
      </c>
    </row>
    <row r="52" spans="1:31" ht="15" customHeight="1">
      <c r="A52" s="935" t="s">
        <v>2624</v>
      </c>
      <c r="B52" s="935" t="s">
        <v>6</v>
      </c>
      <c r="C52" s="936">
        <v>0</v>
      </c>
      <c r="D52" s="935"/>
      <c r="E52" s="936">
        <v>0</v>
      </c>
      <c r="F52" s="935"/>
      <c r="G52" s="936">
        <v>0</v>
      </c>
      <c r="H52" s="935"/>
      <c r="I52" s="936">
        <v>0</v>
      </c>
      <c r="J52" s="935"/>
      <c r="K52" s="936">
        <v>0</v>
      </c>
      <c r="L52" s="935"/>
      <c r="M52" s="936">
        <v>0</v>
      </c>
      <c r="N52" s="935"/>
      <c r="O52" s="936">
        <v>0</v>
      </c>
      <c r="P52" s="935"/>
      <c r="Q52" s="936">
        <v>0</v>
      </c>
      <c r="R52" s="935"/>
      <c r="S52" s="936">
        <v>0</v>
      </c>
      <c r="T52" s="935"/>
      <c r="U52" s="938">
        <f>ROUND(SUM(C52:S52),1)</f>
        <v>0</v>
      </c>
      <c r="V52" s="935"/>
      <c r="W52" s="936">
        <v>3362</v>
      </c>
      <c r="X52" s="930"/>
      <c r="Y52" s="936">
        <v>2245</v>
      </c>
      <c r="Z52" s="935"/>
      <c r="AA52" s="936">
        <v>0</v>
      </c>
      <c r="AB52" s="935"/>
      <c r="AC52" s="938">
        <f>ROUND(SUM(U52:AA52),1)</f>
        <v>5607</v>
      </c>
      <c r="AD52" s="930"/>
      <c r="AE52" s="937">
        <v>0</v>
      </c>
    </row>
    <row r="53" spans="1:31" ht="15" customHeight="1">
      <c r="A53" s="935" t="s">
        <v>793</v>
      </c>
      <c r="B53" s="935" t="s">
        <v>6</v>
      </c>
      <c r="C53" s="936">
        <v>0</v>
      </c>
      <c r="D53" s="935"/>
      <c r="E53" s="936">
        <v>0</v>
      </c>
      <c r="F53" s="935"/>
      <c r="G53" s="936">
        <v>0</v>
      </c>
      <c r="H53" s="935"/>
      <c r="I53" s="936">
        <v>0</v>
      </c>
      <c r="J53" s="935"/>
      <c r="K53" s="936">
        <v>0</v>
      </c>
      <c r="L53" s="935"/>
      <c r="M53" s="936">
        <v>0</v>
      </c>
      <c r="N53" s="935"/>
      <c r="O53" s="936">
        <v>0</v>
      </c>
      <c r="P53" s="935"/>
      <c r="Q53" s="936">
        <v>0</v>
      </c>
      <c r="R53" s="935"/>
      <c r="S53" s="936">
        <v>0</v>
      </c>
      <c r="T53" s="935"/>
      <c r="U53" s="938">
        <f t="shared" si="0"/>
        <v>0</v>
      </c>
      <c r="V53" s="935"/>
      <c r="W53" s="936">
        <v>3480</v>
      </c>
      <c r="X53" s="940"/>
      <c r="Y53" s="936">
        <v>853</v>
      </c>
      <c r="Z53" s="935"/>
      <c r="AA53" s="936">
        <v>0</v>
      </c>
      <c r="AB53" s="935"/>
      <c r="AC53" s="938">
        <f t="shared" si="1"/>
        <v>4333</v>
      </c>
      <c r="AD53" s="930"/>
      <c r="AE53" s="938">
        <v>3627</v>
      </c>
    </row>
    <row r="54" spans="1:31" ht="15" customHeight="1">
      <c r="A54" s="935" t="s">
        <v>794</v>
      </c>
      <c r="B54" s="935" t="s">
        <v>6</v>
      </c>
      <c r="C54" s="936">
        <v>0</v>
      </c>
      <c r="D54" s="935"/>
      <c r="E54" s="936">
        <v>0</v>
      </c>
      <c r="F54" s="935"/>
      <c r="G54" s="936">
        <v>84</v>
      </c>
      <c r="H54" s="935"/>
      <c r="I54" s="936">
        <v>863373</v>
      </c>
      <c r="J54" s="935"/>
      <c r="K54" s="936">
        <v>0</v>
      </c>
      <c r="L54" s="935"/>
      <c r="M54" s="936">
        <v>0</v>
      </c>
      <c r="N54" s="935"/>
      <c r="O54" s="936">
        <v>0</v>
      </c>
      <c r="P54" s="935"/>
      <c r="Q54" s="936">
        <v>0</v>
      </c>
      <c r="R54" s="935"/>
      <c r="S54" s="936">
        <v>0</v>
      </c>
      <c r="T54" s="935"/>
      <c r="U54" s="938">
        <f t="shared" si="0"/>
        <v>863457</v>
      </c>
      <c r="V54" s="935"/>
      <c r="W54" s="936">
        <v>0</v>
      </c>
      <c r="X54" s="940"/>
      <c r="Y54" s="936">
        <v>0</v>
      </c>
      <c r="Z54" s="935"/>
      <c r="AA54" s="936">
        <v>0</v>
      </c>
      <c r="AB54" s="935"/>
      <c r="AC54" s="938">
        <f t="shared" si="1"/>
        <v>863457</v>
      </c>
      <c r="AD54" s="930"/>
      <c r="AE54" s="938">
        <v>1026763</v>
      </c>
    </row>
    <row r="55" spans="1:31" ht="15" customHeight="1">
      <c r="A55" s="935" t="s">
        <v>795</v>
      </c>
      <c r="B55" s="935" t="s">
        <v>6</v>
      </c>
      <c r="C55" s="936">
        <v>239</v>
      </c>
      <c r="D55" s="935"/>
      <c r="E55" s="936">
        <v>0</v>
      </c>
      <c r="F55" s="935"/>
      <c r="G55" s="936">
        <v>3</v>
      </c>
      <c r="H55" s="935"/>
      <c r="I55" s="936">
        <v>25529</v>
      </c>
      <c r="J55" s="935"/>
      <c r="K55" s="936">
        <v>4709</v>
      </c>
      <c r="L55" s="935"/>
      <c r="M55" s="936">
        <v>0</v>
      </c>
      <c r="N55" s="935"/>
      <c r="O55" s="936">
        <v>0</v>
      </c>
      <c r="P55" s="935"/>
      <c r="Q55" s="936">
        <v>0</v>
      </c>
      <c r="R55" s="935"/>
      <c r="S55" s="936">
        <v>0</v>
      </c>
      <c r="T55" s="490"/>
      <c r="U55" s="938">
        <f t="shared" si="0"/>
        <v>30480</v>
      </c>
      <c r="V55" s="935"/>
      <c r="W55" s="936">
        <v>0</v>
      </c>
      <c r="X55" s="940"/>
      <c r="Y55" s="936">
        <v>0</v>
      </c>
      <c r="Z55" s="935"/>
      <c r="AA55" s="936">
        <v>0</v>
      </c>
      <c r="AB55" s="935"/>
      <c r="AC55" s="938">
        <f t="shared" si="1"/>
        <v>30480</v>
      </c>
      <c r="AD55" s="930"/>
      <c r="AE55" s="938">
        <v>29403</v>
      </c>
    </row>
    <row r="56" spans="1:31" ht="15" customHeight="1">
      <c r="A56" s="943" t="s">
        <v>796</v>
      </c>
      <c r="B56" s="935" t="s">
        <v>6</v>
      </c>
      <c r="C56" s="937">
        <v>2922</v>
      </c>
      <c r="D56" s="935"/>
      <c r="E56" s="937">
        <v>0</v>
      </c>
      <c r="F56" s="935"/>
      <c r="G56" s="937">
        <v>4001</v>
      </c>
      <c r="H56" s="935"/>
      <c r="I56" s="937">
        <v>32912</v>
      </c>
      <c r="J56" s="935"/>
      <c r="K56" s="937">
        <v>0</v>
      </c>
      <c r="L56" s="935"/>
      <c r="M56" s="937">
        <v>0</v>
      </c>
      <c r="N56" s="935"/>
      <c r="O56" s="937">
        <v>1684283</v>
      </c>
      <c r="P56" s="935"/>
      <c r="Q56" s="937">
        <v>0</v>
      </c>
      <c r="R56" s="935"/>
      <c r="S56" s="937">
        <v>0</v>
      </c>
      <c r="T56" s="935"/>
      <c r="U56" s="938">
        <f t="shared" si="0"/>
        <v>1724118</v>
      </c>
      <c r="V56" s="935"/>
      <c r="W56" s="937">
        <v>164764</v>
      </c>
      <c r="X56" s="930"/>
      <c r="Y56" s="937">
        <v>67865</v>
      </c>
      <c r="Z56" s="935"/>
      <c r="AA56" s="937">
        <v>4055</v>
      </c>
      <c r="AB56" s="935"/>
      <c r="AC56" s="938">
        <f t="shared" si="1"/>
        <v>1960802</v>
      </c>
      <c r="AD56" s="935"/>
      <c r="AE56" s="938">
        <v>1822646</v>
      </c>
    </row>
    <row r="57" spans="1:31" ht="15" customHeight="1">
      <c r="A57" s="935" t="s">
        <v>797</v>
      </c>
      <c r="B57" s="944" t="s">
        <v>6</v>
      </c>
      <c r="C57" s="936">
        <v>0</v>
      </c>
      <c r="D57" s="944" t="s">
        <v>6</v>
      </c>
      <c r="E57" s="936">
        <v>0</v>
      </c>
      <c r="F57" s="944" t="s">
        <v>6</v>
      </c>
      <c r="G57" s="936">
        <v>0</v>
      </c>
      <c r="H57" s="944" t="s">
        <v>6</v>
      </c>
      <c r="I57" s="936">
        <v>0</v>
      </c>
      <c r="J57" s="944" t="s">
        <v>6</v>
      </c>
      <c r="K57" s="936">
        <v>0</v>
      </c>
      <c r="L57" s="944" t="s">
        <v>6</v>
      </c>
      <c r="M57" s="936">
        <v>0</v>
      </c>
      <c r="N57" s="944" t="s">
        <v>6</v>
      </c>
      <c r="O57" s="936">
        <v>0</v>
      </c>
      <c r="P57" s="944" t="s">
        <v>6</v>
      </c>
      <c r="Q57" s="936">
        <v>0</v>
      </c>
      <c r="R57" s="944" t="s">
        <v>6</v>
      </c>
      <c r="S57" s="936">
        <v>0</v>
      </c>
      <c r="T57" s="944" t="s">
        <v>6</v>
      </c>
      <c r="U57" s="938">
        <f t="shared" si="0"/>
        <v>0</v>
      </c>
      <c r="V57" s="944" t="s">
        <v>6</v>
      </c>
      <c r="W57" s="936">
        <v>8844</v>
      </c>
      <c r="X57" s="945" t="s">
        <v>6</v>
      </c>
      <c r="Y57" s="936">
        <v>18341</v>
      </c>
      <c r="Z57" s="945" t="s">
        <v>6</v>
      </c>
      <c r="AA57" s="936">
        <v>678</v>
      </c>
      <c r="AB57" s="945" t="s">
        <v>6</v>
      </c>
      <c r="AC57" s="938">
        <f t="shared" si="1"/>
        <v>27863</v>
      </c>
      <c r="AD57" s="938" t="s">
        <v>6</v>
      </c>
      <c r="AE57" s="938">
        <v>26468</v>
      </c>
    </row>
    <row r="58" spans="1:31" ht="15" customHeight="1">
      <c r="W58" s="911"/>
      <c r="Y58" s="911"/>
    </row>
    <row r="59" spans="1:31" ht="15" customHeight="1">
      <c r="W59" s="911"/>
      <c r="Y59" s="911"/>
    </row>
    <row r="60" spans="1:31" ht="15" customHeight="1">
      <c r="W60" s="911"/>
      <c r="Y60" s="911"/>
    </row>
    <row r="61" spans="1:31" ht="15" customHeight="1">
      <c r="A61" s="548" t="s">
        <v>0</v>
      </c>
      <c r="B61" s="909"/>
      <c r="C61" s="909"/>
      <c r="D61" s="909"/>
      <c r="E61" s="909"/>
      <c r="F61" s="909"/>
      <c r="G61" s="909"/>
      <c r="H61" s="909"/>
      <c r="I61" s="909"/>
      <c r="J61" s="909"/>
      <c r="K61" s="909"/>
      <c r="L61" s="235"/>
      <c r="M61" s="235"/>
      <c r="N61" s="235"/>
      <c r="O61" s="235"/>
      <c r="P61" s="235"/>
      <c r="Q61" s="235"/>
      <c r="R61" s="235"/>
      <c r="S61" s="235"/>
      <c r="T61" s="235"/>
      <c r="U61" s="235"/>
      <c r="V61" s="235"/>
      <c r="W61" s="910"/>
      <c r="X61" s="235"/>
      <c r="Y61" s="910"/>
      <c r="Z61" s="235"/>
      <c r="AA61" s="235"/>
      <c r="AB61" s="235"/>
      <c r="AC61" s="235"/>
      <c r="AD61" s="235"/>
      <c r="AE61" s="909"/>
    </row>
    <row r="62" spans="1:31" ht="15" customHeight="1">
      <c r="A62" s="548" t="s">
        <v>542</v>
      </c>
      <c r="B62" s="909"/>
      <c r="C62" s="909"/>
      <c r="D62" s="909"/>
      <c r="E62" s="909"/>
      <c r="F62" s="909"/>
      <c r="G62" s="909"/>
      <c r="H62" s="909"/>
      <c r="I62" s="909"/>
      <c r="J62" s="909"/>
      <c r="K62" s="909"/>
      <c r="L62" s="235"/>
      <c r="M62" s="235"/>
      <c r="N62" s="235"/>
      <c r="O62" s="235"/>
      <c r="P62" s="235"/>
      <c r="Q62" s="235"/>
      <c r="R62" s="235"/>
      <c r="S62" s="235"/>
      <c r="T62" s="235"/>
      <c r="U62" s="235"/>
      <c r="V62" s="235"/>
      <c r="W62" s="910"/>
      <c r="X62" s="235"/>
      <c r="Y62" s="910"/>
      <c r="Z62" s="235"/>
      <c r="AA62" s="235"/>
      <c r="AB62" s="235"/>
      <c r="AC62" s="490" t="s">
        <v>6</v>
      </c>
      <c r="AD62" s="490"/>
      <c r="AE62" s="490"/>
    </row>
    <row r="63" spans="1:31" ht="15" customHeight="1">
      <c r="A63" s="548" t="s">
        <v>737</v>
      </c>
      <c r="B63" s="909"/>
      <c r="C63" s="909"/>
      <c r="D63" s="909"/>
      <c r="E63" s="909"/>
      <c r="F63" s="909"/>
      <c r="G63" s="909"/>
      <c r="H63" s="909"/>
      <c r="I63" s="909"/>
      <c r="J63" s="909"/>
      <c r="K63" s="909"/>
      <c r="L63" s="235"/>
      <c r="M63" s="235"/>
      <c r="N63" s="235"/>
      <c r="O63" s="235"/>
      <c r="P63" s="235"/>
      <c r="Q63" s="235"/>
      <c r="R63" s="235"/>
      <c r="S63" s="235"/>
      <c r="T63" s="235"/>
      <c r="U63" s="235"/>
      <c r="V63" s="235"/>
      <c r="W63" s="910"/>
      <c r="X63" s="235"/>
      <c r="Y63" s="910"/>
      <c r="Z63" s="235"/>
      <c r="AA63" s="235"/>
      <c r="AB63" s="235"/>
      <c r="AC63" s="2472" t="s">
        <v>738</v>
      </c>
      <c r="AD63" s="2473"/>
      <c r="AE63" s="2474"/>
    </row>
    <row r="64" spans="1:31" ht="15" customHeight="1">
      <c r="A64" s="598" t="s">
        <v>2615</v>
      </c>
      <c r="B64" s="909"/>
      <c r="C64" s="909"/>
      <c r="D64" s="909"/>
      <c r="E64" s="909"/>
      <c r="F64" s="909"/>
      <c r="G64" s="909"/>
      <c r="H64" s="909"/>
      <c r="I64" s="909"/>
      <c r="J64" s="909"/>
      <c r="K64" s="909"/>
      <c r="L64" s="235"/>
      <c r="M64" s="235"/>
      <c r="N64" s="235"/>
      <c r="O64" s="235"/>
      <c r="P64" s="235"/>
      <c r="Q64" s="235"/>
      <c r="R64" s="235"/>
      <c r="S64" s="235"/>
      <c r="T64" s="235"/>
      <c r="U64" s="235"/>
      <c r="V64" s="235"/>
      <c r="W64" s="910"/>
      <c r="X64" s="235"/>
      <c r="Y64" s="910"/>
      <c r="Z64" s="235"/>
      <c r="AA64" s="235"/>
      <c r="AB64" s="235"/>
      <c r="AC64" s="235"/>
      <c r="AD64" s="235"/>
      <c r="AE64" s="946" t="s">
        <v>131</v>
      </c>
    </row>
    <row r="65" spans="1:31" ht="15" customHeight="1">
      <c r="A65" s="548" t="s">
        <v>4</v>
      </c>
      <c r="B65" s="909"/>
      <c r="C65" s="909"/>
      <c r="D65" s="909"/>
      <c r="E65" s="909"/>
      <c r="F65" s="909"/>
      <c r="G65" s="909"/>
      <c r="H65" s="909"/>
      <c r="I65" s="909"/>
      <c r="J65" s="909"/>
      <c r="K65" s="909"/>
      <c r="L65" s="235"/>
      <c r="M65" s="235"/>
      <c r="N65" s="235"/>
      <c r="O65" s="235"/>
      <c r="P65" s="235"/>
      <c r="Q65" s="235"/>
      <c r="R65" s="235"/>
      <c r="S65" s="235"/>
      <c r="T65" s="235"/>
      <c r="U65" s="235"/>
      <c r="V65" s="235"/>
      <c r="W65" s="910"/>
      <c r="X65" s="235"/>
      <c r="Y65" s="910"/>
      <c r="Z65" s="235"/>
      <c r="AA65" s="235"/>
      <c r="AB65" s="235"/>
      <c r="AC65" s="235"/>
      <c r="AD65" s="235"/>
      <c r="AE65" s="235"/>
    </row>
    <row r="66" spans="1:31" ht="15" customHeight="1">
      <c r="A66" s="235" t="s">
        <v>6</v>
      </c>
      <c r="B66" s="235"/>
      <c r="C66" s="235"/>
      <c r="D66" s="235"/>
      <c r="E66" s="235"/>
      <c r="F66" s="235"/>
      <c r="G66" s="235"/>
      <c r="H66" s="235"/>
      <c r="I66" s="235"/>
      <c r="J66" s="235"/>
      <c r="K66" s="235"/>
      <c r="L66" s="235"/>
      <c r="M66" s="235"/>
      <c r="N66" s="235"/>
      <c r="O66" s="235"/>
      <c r="P66" s="235"/>
      <c r="Q66" s="235"/>
      <c r="R66" s="235"/>
      <c r="S66" s="235"/>
      <c r="T66" s="235"/>
      <c r="U66" s="235"/>
      <c r="V66" s="235"/>
      <c r="W66" s="910"/>
      <c r="X66" s="235"/>
      <c r="Y66" s="910"/>
      <c r="Z66" s="235"/>
      <c r="AA66" s="235"/>
      <c r="AB66" s="235"/>
      <c r="AC66" s="235"/>
      <c r="AD66" s="235"/>
      <c r="AE66" s="235"/>
    </row>
    <row r="67" spans="1:31" ht="15" customHeight="1">
      <c r="A67" s="912"/>
      <c r="B67" s="912"/>
      <c r="C67" s="913" t="s">
        <v>739</v>
      </c>
      <c r="D67" s="913"/>
      <c r="E67" s="913"/>
      <c r="F67" s="913"/>
      <c r="G67" s="913"/>
      <c r="H67" s="913"/>
      <c r="I67" s="913"/>
      <c r="J67" s="913"/>
      <c r="K67" s="914"/>
      <c r="L67" s="913"/>
      <c r="M67" s="913"/>
      <c r="N67" s="913"/>
      <c r="O67" s="913"/>
      <c r="P67" s="913"/>
      <c r="Q67" s="913"/>
      <c r="R67" s="913"/>
      <c r="S67" s="915"/>
      <c r="T67" s="913"/>
      <c r="U67" s="913"/>
      <c r="V67" s="912"/>
      <c r="W67" s="2470" t="s">
        <v>740</v>
      </c>
      <c r="X67" s="2471"/>
      <c r="Y67" s="2471"/>
      <c r="Z67" s="916"/>
      <c r="AA67" s="548"/>
      <c r="AB67" s="912"/>
      <c r="AC67" s="915" t="s">
        <v>276</v>
      </c>
      <c r="AD67" s="915"/>
      <c r="AE67" s="915"/>
    </row>
    <row r="68" spans="1:31" ht="15" customHeight="1">
      <c r="A68" s="909"/>
      <c r="B68" s="909"/>
      <c r="C68" s="917" t="s">
        <v>6</v>
      </c>
      <c r="D68" s="917" t="s">
        <v>6</v>
      </c>
      <c r="E68" s="917" t="s">
        <v>6</v>
      </c>
      <c r="F68" s="917" t="s">
        <v>6</v>
      </c>
      <c r="G68" s="917"/>
      <c r="H68" s="917"/>
      <c r="I68" s="917" t="s">
        <v>6</v>
      </c>
      <c r="J68" s="917" t="s">
        <v>6</v>
      </c>
      <c r="K68" s="917" t="s">
        <v>6</v>
      </c>
      <c r="L68" s="917" t="s">
        <v>6</v>
      </c>
      <c r="M68" s="917" t="s">
        <v>6</v>
      </c>
      <c r="N68" s="917" t="s">
        <v>6</v>
      </c>
      <c r="O68" s="917" t="s">
        <v>6</v>
      </c>
      <c r="P68" s="917" t="s">
        <v>6</v>
      </c>
      <c r="Q68" s="917" t="s">
        <v>6</v>
      </c>
      <c r="R68" s="917" t="s">
        <v>6</v>
      </c>
      <c r="S68" s="918" t="s">
        <v>6</v>
      </c>
      <c r="T68" s="917"/>
      <c r="U68" s="917" t="s">
        <v>6</v>
      </c>
      <c r="V68" s="909"/>
      <c r="W68" s="919" t="s">
        <v>6</v>
      </c>
      <c r="X68" s="917" t="s">
        <v>6</v>
      </c>
      <c r="Y68" s="919" t="s">
        <v>6</v>
      </c>
      <c r="Z68" s="920" t="s">
        <v>6</v>
      </c>
      <c r="AA68" s="909" t="s">
        <v>6</v>
      </c>
      <c r="AB68" s="909"/>
      <c r="AC68" s="909"/>
      <c r="AD68" s="909"/>
      <c r="AE68" s="909"/>
    </row>
    <row r="69" spans="1:31" ht="15" customHeight="1">
      <c r="A69" s="912"/>
      <c r="B69" s="912"/>
      <c r="C69" s="548"/>
      <c r="D69" s="912"/>
      <c r="E69" s="912"/>
      <c r="F69" s="912"/>
      <c r="G69" s="912"/>
      <c r="H69" s="912"/>
      <c r="I69" s="912"/>
      <c r="J69" s="912"/>
      <c r="K69" s="912"/>
      <c r="L69" s="912"/>
      <c r="M69" s="912"/>
      <c r="N69" s="912"/>
      <c r="O69" s="912" t="s">
        <v>6</v>
      </c>
      <c r="P69" s="912"/>
      <c r="Q69" s="912"/>
      <c r="R69" s="912"/>
      <c r="S69" s="918" t="s">
        <v>6</v>
      </c>
      <c r="T69" s="912"/>
      <c r="U69" s="912"/>
      <c r="V69" s="912"/>
      <c r="W69" s="921"/>
      <c r="X69" s="912"/>
      <c r="Y69" s="921"/>
      <c r="Z69" s="912"/>
      <c r="AA69" s="918" t="s">
        <v>742</v>
      </c>
      <c r="AB69" s="912"/>
      <c r="AC69" s="922"/>
      <c r="AD69" s="922"/>
      <c r="AE69" s="922"/>
    </row>
    <row r="70" spans="1:31" ht="15" customHeight="1">
      <c r="A70" s="912"/>
      <c r="B70" s="912"/>
      <c r="C70" s="918" t="s">
        <v>6</v>
      </c>
      <c r="D70" s="912"/>
      <c r="E70" s="918" t="s">
        <v>798</v>
      </c>
      <c r="F70" s="912"/>
      <c r="G70" s="918" t="s">
        <v>744</v>
      </c>
      <c r="H70" s="912"/>
      <c r="I70" s="918" t="s">
        <v>6</v>
      </c>
      <c r="J70" s="912"/>
      <c r="K70" s="918" t="s">
        <v>745</v>
      </c>
      <c r="L70" s="912"/>
      <c r="M70" s="918" t="s">
        <v>746</v>
      </c>
      <c r="N70" s="912"/>
      <c r="O70" s="918" t="s">
        <v>746</v>
      </c>
      <c r="P70" s="912"/>
      <c r="Q70" s="918" t="s">
        <v>747</v>
      </c>
      <c r="R70" s="912"/>
      <c r="S70" s="918" t="s">
        <v>6</v>
      </c>
      <c r="T70" s="912"/>
      <c r="U70" s="918" t="s">
        <v>748</v>
      </c>
      <c r="V70" s="912"/>
      <c r="W70" s="918" t="s">
        <v>749</v>
      </c>
      <c r="X70" s="912"/>
      <c r="Y70" s="918" t="s">
        <v>750</v>
      </c>
      <c r="Z70" s="912"/>
      <c r="AA70" s="918" t="s">
        <v>751</v>
      </c>
      <c r="AB70" s="912"/>
      <c r="AC70" s="916" t="s">
        <v>6</v>
      </c>
      <c r="AD70" s="916"/>
      <c r="AE70" s="916" t="s">
        <v>6</v>
      </c>
    </row>
    <row r="71" spans="1:31" ht="15" customHeight="1">
      <c r="A71" s="923" t="s">
        <v>752</v>
      </c>
      <c r="B71" s="912"/>
      <c r="C71" s="918" t="s">
        <v>512</v>
      </c>
      <c r="D71" s="912"/>
      <c r="E71" s="918" t="s">
        <v>753</v>
      </c>
      <c r="F71" s="912"/>
      <c r="G71" s="923" t="s">
        <v>2679</v>
      </c>
      <c r="H71" s="912"/>
      <c r="I71" s="918" t="s">
        <v>754</v>
      </c>
      <c r="J71" s="912"/>
      <c r="K71" s="912" t="s">
        <v>755</v>
      </c>
      <c r="L71" s="912"/>
      <c r="M71" s="918" t="s">
        <v>2678</v>
      </c>
      <c r="N71" s="912"/>
      <c r="O71" s="918" t="s">
        <v>756</v>
      </c>
      <c r="P71" s="912"/>
      <c r="Q71" s="918" t="s">
        <v>757</v>
      </c>
      <c r="R71" s="912"/>
      <c r="S71" s="923" t="s">
        <v>525</v>
      </c>
      <c r="T71" s="912"/>
      <c r="U71" s="923" t="s">
        <v>758</v>
      </c>
      <c r="V71" s="912"/>
      <c r="W71" s="923" t="s">
        <v>759</v>
      </c>
      <c r="X71" s="912"/>
      <c r="Y71" s="923" t="s">
        <v>759</v>
      </c>
      <c r="Z71" s="912"/>
      <c r="AA71" s="923" t="s">
        <v>760</v>
      </c>
      <c r="AB71" s="912"/>
      <c r="AC71" s="947" t="s">
        <v>2586</v>
      </c>
      <c r="AD71" s="925"/>
      <c r="AE71" s="947" t="s">
        <v>1916</v>
      </c>
    </row>
    <row r="72" spans="1:31" ht="4.5" customHeight="1">
      <c r="A72" s="918"/>
      <c r="B72" s="912"/>
      <c r="C72" s="948"/>
      <c r="D72" s="912"/>
      <c r="E72" s="948"/>
      <c r="F72" s="912"/>
      <c r="G72" s="925"/>
      <c r="H72" s="912"/>
      <c r="I72" s="948"/>
      <c r="J72" s="912"/>
      <c r="K72" s="949"/>
      <c r="L72" s="912"/>
      <c r="M72" s="948"/>
      <c r="N72" s="912"/>
      <c r="O72" s="948"/>
      <c r="P72" s="912"/>
      <c r="Q72" s="948"/>
      <c r="R72" s="912"/>
      <c r="S72" s="925"/>
      <c r="T72" s="912"/>
      <c r="U72" s="918"/>
      <c r="V72" s="912"/>
      <c r="W72" s="918"/>
      <c r="X72" s="912"/>
      <c r="Y72" s="918"/>
      <c r="Z72" s="912"/>
      <c r="AA72" s="918"/>
      <c r="AB72" s="912"/>
      <c r="AC72" s="924"/>
      <c r="AD72" s="925"/>
      <c r="AE72" s="924"/>
    </row>
    <row r="73" spans="1:31" ht="15" customHeight="1">
      <c r="A73" s="935" t="s">
        <v>799</v>
      </c>
      <c r="B73" s="935" t="s">
        <v>6</v>
      </c>
      <c r="C73" s="931">
        <v>0</v>
      </c>
      <c r="D73" s="944" t="s">
        <v>6</v>
      </c>
      <c r="E73" s="931">
        <v>0</v>
      </c>
      <c r="F73" s="944" t="s">
        <v>6</v>
      </c>
      <c r="G73" s="931">
        <v>0</v>
      </c>
      <c r="H73" s="944" t="s">
        <v>6</v>
      </c>
      <c r="I73" s="931">
        <v>0</v>
      </c>
      <c r="J73" s="944" t="s">
        <v>6</v>
      </c>
      <c r="K73" s="931">
        <v>0</v>
      </c>
      <c r="L73" s="944" t="s">
        <v>6</v>
      </c>
      <c r="M73" s="931">
        <v>0</v>
      </c>
      <c r="N73" s="944" t="s">
        <v>6</v>
      </c>
      <c r="O73" s="931">
        <v>0</v>
      </c>
      <c r="P73" s="944" t="s">
        <v>6</v>
      </c>
      <c r="Q73" s="931">
        <v>0</v>
      </c>
      <c r="R73" s="944" t="s">
        <v>6</v>
      </c>
      <c r="S73" s="931">
        <v>0</v>
      </c>
      <c r="T73" s="944" t="s">
        <v>6</v>
      </c>
      <c r="U73" s="932">
        <f>ROUND(SUM(C73:S73),1)</f>
        <v>0</v>
      </c>
      <c r="V73" s="935"/>
      <c r="W73" s="931">
        <v>66839</v>
      </c>
      <c r="X73" s="935"/>
      <c r="Y73" s="931">
        <v>79359</v>
      </c>
      <c r="Z73" s="935"/>
      <c r="AA73" s="931">
        <v>0</v>
      </c>
      <c r="AB73" s="935"/>
      <c r="AC73" s="932">
        <f>ROUND(SUM(U73:AA73),1)</f>
        <v>146198</v>
      </c>
      <c r="AD73" s="930"/>
      <c r="AE73" s="932">
        <v>142300</v>
      </c>
    </row>
    <row r="74" spans="1:31" ht="15" customHeight="1">
      <c r="A74" s="935" t="s">
        <v>800</v>
      </c>
      <c r="B74" s="935" t="s">
        <v>6</v>
      </c>
      <c r="C74" s="936">
        <v>0</v>
      </c>
      <c r="D74" s="935"/>
      <c r="E74" s="936">
        <v>0</v>
      </c>
      <c r="F74" s="935"/>
      <c r="G74" s="936">
        <v>0</v>
      </c>
      <c r="H74" s="935"/>
      <c r="I74" s="936">
        <v>0</v>
      </c>
      <c r="J74" s="935"/>
      <c r="K74" s="936">
        <v>0</v>
      </c>
      <c r="L74" s="935"/>
      <c r="M74" s="936">
        <v>0</v>
      </c>
      <c r="N74" s="935"/>
      <c r="O74" s="936">
        <v>0</v>
      </c>
      <c r="P74" s="935"/>
      <c r="Q74" s="936">
        <v>0</v>
      </c>
      <c r="R74" s="935"/>
      <c r="S74" s="936">
        <v>0</v>
      </c>
      <c r="T74" s="935"/>
      <c r="U74" s="938">
        <f>ROUND(SUM(C74:S74),1)</f>
        <v>0</v>
      </c>
      <c r="V74" s="935"/>
      <c r="W74" s="936">
        <v>283573</v>
      </c>
      <c r="X74" s="930"/>
      <c r="Y74" s="936">
        <v>222371</v>
      </c>
      <c r="Z74" s="935"/>
      <c r="AA74" s="936">
        <v>0</v>
      </c>
      <c r="AB74" s="935"/>
      <c r="AC74" s="938">
        <f>ROUND(SUM(U74:AA74),1)</f>
        <v>505944</v>
      </c>
      <c r="AD74" s="935"/>
      <c r="AE74" s="938">
        <v>426422</v>
      </c>
    </row>
    <row r="75" spans="1:31" ht="15" customHeight="1">
      <c r="A75" s="935" t="s">
        <v>801</v>
      </c>
      <c r="B75" s="935" t="s">
        <v>6</v>
      </c>
      <c r="C75" s="936">
        <v>0</v>
      </c>
      <c r="D75" s="935"/>
      <c r="E75" s="936">
        <v>0</v>
      </c>
      <c r="F75" s="935"/>
      <c r="G75" s="936">
        <v>0</v>
      </c>
      <c r="H75" s="935"/>
      <c r="I75" s="936">
        <v>0</v>
      </c>
      <c r="J75" s="935"/>
      <c r="K75" s="936">
        <v>0</v>
      </c>
      <c r="L75" s="935"/>
      <c r="M75" s="936">
        <v>0</v>
      </c>
      <c r="N75" s="935"/>
      <c r="O75" s="936">
        <v>0</v>
      </c>
      <c r="P75" s="935"/>
      <c r="Q75" s="936">
        <v>0</v>
      </c>
      <c r="R75" s="935"/>
      <c r="S75" s="936">
        <v>0</v>
      </c>
      <c r="T75" s="935"/>
      <c r="U75" s="938">
        <f t="shared" ref="U75:U97" si="2">ROUND(SUM(C75:S75),1)</f>
        <v>0</v>
      </c>
      <c r="V75" s="935"/>
      <c r="W75" s="936">
        <v>16622</v>
      </c>
      <c r="X75" s="930"/>
      <c r="Y75" s="936">
        <v>3991</v>
      </c>
      <c r="Z75" s="935"/>
      <c r="AA75" s="936">
        <v>0</v>
      </c>
      <c r="AB75" s="935"/>
      <c r="AC75" s="938">
        <f t="shared" ref="AC75:AC97" si="3">ROUND(SUM(U75:AA75),1)</f>
        <v>20613</v>
      </c>
      <c r="AD75" s="930"/>
      <c r="AE75" s="938">
        <v>20832</v>
      </c>
    </row>
    <row r="76" spans="1:31" ht="15" customHeight="1">
      <c r="A76" s="935" t="s">
        <v>802</v>
      </c>
      <c r="B76" s="935" t="s">
        <v>6</v>
      </c>
      <c r="C76" s="937">
        <v>4075</v>
      </c>
      <c r="D76" s="935"/>
      <c r="E76" s="937">
        <v>0</v>
      </c>
      <c r="F76" s="930"/>
      <c r="G76" s="937">
        <v>24</v>
      </c>
      <c r="H76" s="930"/>
      <c r="I76" s="937">
        <v>293637</v>
      </c>
      <c r="J76" s="930"/>
      <c r="K76" s="937">
        <v>200</v>
      </c>
      <c r="L76" s="935"/>
      <c r="M76" s="937">
        <v>0</v>
      </c>
      <c r="N76" s="935"/>
      <c r="O76" s="937">
        <v>6320</v>
      </c>
      <c r="P76" s="935"/>
      <c r="Q76" s="937">
        <v>0</v>
      </c>
      <c r="R76" s="935"/>
      <c r="S76" s="936">
        <v>0</v>
      </c>
      <c r="T76" s="935"/>
      <c r="U76" s="938">
        <f t="shared" si="2"/>
        <v>304256</v>
      </c>
      <c r="V76" s="935"/>
      <c r="W76" s="937">
        <v>0</v>
      </c>
      <c r="X76" s="930"/>
      <c r="Y76" s="937">
        <v>479</v>
      </c>
      <c r="Z76" s="935"/>
      <c r="AA76" s="937">
        <v>0</v>
      </c>
      <c r="AB76" s="935"/>
      <c r="AC76" s="938">
        <f t="shared" si="3"/>
        <v>304735</v>
      </c>
      <c r="AD76" s="930"/>
      <c r="AE76" s="938">
        <v>373272</v>
      </c>
    </row>
    <row r="77" spans="1:31" ht="15" customHeight="1">
      <c r="A77" s="935" t="s">
        <v>803</v>
      </c>
      <c r="B77" s="935" t="s">
        <v>6</v>
      </c>
      <c r="C77" s="936">
        <v>0</v>
      </c>
      <c r="D77" s="935"/>
      <c r="E77" s="936">
        <v>3166</v>
      </c>
      <c r="F77" s="935"/>
      <c r="G77" s="936">
        <v>1725</v>
      </c>
      <c r="H77" s="935"/>
      <c r="I77" s="936">
        <v>0</v>
      </c>
      <c r="J77" s="935"/>
      <c r="K77" s="936">
        <v>0</v>
      </c>
      <c r="L77" s="935"/>
      <c r="M77" s="936">
        <v>0</v>
      </c>
      <c r="N77" s="935"/>
      <c r="O77" s="936">
        <v>0</v>
      </c>
      <c r="P77" s="935"/>
      <c r="Q77" s="936">
        <v>0</v>
      </c>
      <c r="R77" s="935"/>
      <c r="S77" s="936">
        <v>0</v>
      </c>
      <c r="T77" s="935"/>
      <c r="U77" s="938">
        <f t="shared" si="2"/>
        <v>4891</v>
      </c>
      <c r="V77" s="935"/>
      <c r="W77" s="936">
        <v>105937</v>
      </c>
      <c r="X77" s="935"/>
      <c r="Y77" s="936">
        <v>5015</v>
      </c>
      <c r="Z77" s="935"/>
      <c r="AA77" s="936">
        <v>0</v>
      </c>
      <c r="AB77" s="935"/>
      <c r="AC77" s="938">
        <f t="shared" si="3"/>
        <v>115843</v>
      </c>
      <c r="AD77" s="930"/>
      <c r="AE77" s="938">
        <v>113997</v>
      </c>
    </row>
    <row r="78" spans="1:31" ht="15" customHeight="1">
      <c r="A78" s="935" t="s">
        <v>804</v>
      </c>
      <c r="B78" s="935" t="s">
        <v>6</v>
      </c>
      <c r="C78" s="936">
        <v>0</v>
      </c>
      <c r="D78" s="935"/>
      <c r="E78" s="936">
        <v>0</v>
      </c>
      <c r="F78" s="935"/>
      <c r="G78" s="936">
        <v>0</v>
      </c>
      <c r="H78" s="935"/>
      <c r="I78" s="936">
        <v>0</v>
      </c>
      <c r="J78" s="935"/>
      <c r="K78" s="936">
        <v>0</v>
      </c>
      <c r="L78" s="935"/>
      <c r="M78" s="936">
        <v>0</v>
      </c>
      <c r="N78" s="935"/>
      <c r="O78" s="936">
        <v>575</v>
      </c>
      <c r="P78" s="935"/>
      <c r="Q78" s="936">
        <v>0</v>
      </c>
      <c r="R78" s="935"/>
      <c r="S78" s="936">
        <v>0</v>
      </c>
      <c r="T78" s="935"/>
      <c r="U78" s="938">
        <f t="shared" si="2"/>
        <v>575</v>
      </c>
      <c r="V78" s="935"/>
      <c r="W78" s="936">
        <v>1351</v>
      </c>
      <c r="X78" s="935"/>
      <c r="Y78" s="936">
        <v>113</v>
      </c>
      <c r="Z78" s="935"/>
      <c r="AA78" s="936">
        <v>9</v>
      </c>
      <c r="AB78" s="935"/>
      <c r="AC78" s="938">
        <f t="shared" si="3"/>
        <v>2048</v>
      </c>
      <c r="AD78" s="930"/>
      <c r="AE78" s="938">
        <v>1896</v>
      </c>
    </row>
    <row r="79" spans="1:31" ht="15" customHeight="1">
      <c r="A79" s="935" t="s">
        <v>805</v>
      </c>
      <c r="B79" s="935" t="s">
        <v>6</v>
      </c>
      <c r="C79" s="936">
        <v>0</v>
      </c>
      <c r="D79" s="935"/>
      <c r="E79" s="936">
        <v>0</v>
      </c>
      <c r="F79" s="935"/>
      <c r="G79" s="936">
        <v>0</v>
      </c>
      <c r="H79" s="935"/>
      <c r="I79" s="936">
        <v>0</v>
      </c>
      <c r="J79" s="935"/>
      <c r="K79" s="936">
        <v>0</v>
      </c>
      <c r="L79" s="935"/>
      <c r="M79" s="936">
        <v>0</v>
      </c>
      <c r="N79" s="935"/>
      <c r="O79" s="936">
        <v>0</v>
      </c>
      <c r="P79" s="935"/>
      <c r="Q79" s="936">
        <v>0</v>
      </c>
      <c r="R79" s="935"/>
      <c r="S79" s="936">
        <v>0</v>
      </c>
      <c r="T79" s="935"/>
      <c r="U79" s="938">
        <f t="shared" si="2"/>
        <v>0</v>
      </c>
      <c r="V79" s="935"/>
      <c r="W79" s="936">
        <v>6230</v>
      </c>
      <c r="X79" s="930"/>
      <c r="Y79" s="936">
        <v>831</v>
      </c>
      <c r="Z79" s="935"/>
      <c r="AA79" s="936">
        <v>0</v>
      </c>
      <c r="AB79" s="935"/>
      <c r="AC79" s="938">
        <f t="shared" si="3"/>
        <v>7061</v>
      </c>
      <c r="AD79" s="930"/>
      <c r="AE79" s="938">
        <v>7073</v>
      </c>
    </row>
    <row r="80" spans="1:31" ht="16.5" customHeight="1">
      <c r="A80" s="935" t="s">
        <v>806</v>
      </c>
      <c r="B80" s="935" t="s">
        <v>6</v>
      </c>
      <c r="C80" s="936">
        <v>0</v>
      </c>
      <c r="D80" s="935"/>
      <c r="E80" s="936">
        <v>0</v>
      </c>
      <c r="F80" s="935"/>
      <c r="G80" s="936">
        <v>0</v>
      </c>
      <c r="H80" s="935"/>
      <c r="I80" s="936">
        <v>568541</v>
      </c>
      <c r="J80" s="930"/>
      <c r="K80" s="936">
        <v>6226</v>
      </c>
      <c r="L80" s="935"/>
      <c r="M80" s="936">
        <v>0</v>
      </c>
      <c r="N80" s="935"/>
      <c r="O80" s="936">
        <v>1213432</v>
      </c>
      <c r="P80" s="935"/>
      <c r="Q80" s="936">
        <v>0</v>
      </c>
      <c r="R80" s="935"/>
      <c r="S80" s="936">
        <v>0</v>
      </c>
      <c r="T80" s="935"/>
      <c r="U80" s="938">
        <f t="shared" si="2"/>
        <v>1788199</v>
      </c>
      <c r="V80" s="935"/>
      <c r="W80" s="936">
        <v>70029</v>
      </c>
      <c r="X80" s="930"/>
      <c r="Y80" s="936">
        <v>77008</v>
      </c>
      <c r="Z80" s="935"/>
      <c r="AA80" s="936">
        <v>44</v>
      </c>
      <c r="AB80" s="935"/>
      <c r="AC80" s="938">
        <f t="shared" si="3"/>
        <v>1935280</v>
      </c>
      <c r="AD80" s="935"/>
      <c r="AE80" s="938">
        <v>1884618</v>
      </c>
    </row>
    <row r="81" spans="1:31" ht="15" customHeight="1">
      <c r="A81" s="935" t="s">
        <v>807</v>
      </c>
      <c r="B81" s="935" t="s">
        <v>6</v>
      </c>
      <c r="C81" s="936">
        <v>0</v>
      </c>
      <c r="D81" s="935"/>
      <c r="E81" s="936">
        <v>0</v>
      </c>
      <c r="F81" s="935"/>
      <c r="G81" s="936">
        <v>32025</v>
      </c>
      <c r="H81" s="935"/>
      <c r="I81" s="936">
        <v>0</v>
      </c>
      <c r="J81" s="935"/>
      <c r="K81" s="936">
        <v>0</v>
      </c>
      <c r="L81" s="935"/>
      <c r="M81" s="936">
        <v>0</v>
      </c>
      <c r="N81" s="935"/>
      <c r="O81" s="936">
        <v>0</v>
      </c>
      <c r="P81" s="935"/>
      <c r="Q81" s="936">
        <v>0</v>
      </c>
      <c r="R81" s="935"/>
      <c r="S81" s="936">
        <v>0</v>
      </c>
      <c r="T81" s="935"/>
      <c r="U81" s="938">
        <f t="shared" si="2"/>
        <v>32025</v>
      </c>
      <c r="V81" s="935"/>
      <c r="W81" s="936">
        <v>101199</v>
      </c>
      <c r="X81" s="935"/>
      <c r="Y81" s="936">
        <v>25652</v>
      </c>
      <c r="Z81" s="935"/>
      <c r="AA81" s="936">
        <v>0</v>
      </c>
      <c r="AB81" s="935"/>
      <c r="AC81" s="938">
        <f t="shared" si="3"/>
        <v>158876</v>
      </c>
      <c r="AD81" s="930"/>
      <c r="AE81" s="938">
        <v>157306</v>
      </c>
    </row>
    <row r="82" spans="1:31" ht="15" customHeight="1">
      <c r="A82" s="935" t="s">
        <v>808</v>
      </c>
      <c r="B82" s="935" t="s">
        <v>6</v>
      </c>
      <c r="C82" s="936">
        <v>0</v>
      </c>
      <c r="D82" s="935"/>
      <c r="E82" s="936">
        <v>0</v>
      </c>
      <c r="F82" s="935"/>
      <c r="G82" s="936">
        <v>0</v>
      </c>
      <c r="H82" s="935"/>
      <c r="I82" s="936">
        <v>0</v>
      </c>
      <c r="J82" s="935"/>
      <c r="K82" s="936">
        <v>1</v>
      </c>
      <c r="L82" s="935"/>
      <c r="M82" s="936">
        <v>1869</v>
      </c>
      <c r="N82" s="935" t="s">
        <v>6</v>
      </c>
      <c r="O82" s="936">
        <v>0</v>
      </c>
      <c r="P82" s="935"/>
      <c r="Q82" s="936">
        <v>0</v>
      </c>
      <c r="R82" s="935"/>
      <c r="S82" s="936">
        <v>0</v>
      </c>
      <c r="T82" s="935"/>
      <c r="U82" s="938">
        <f t="shared" si="2"/>
        <v>1870</v>
      </c>
      <c r="V82" s="935"/>
      <c r="W82" s="936">
        <v>0</v>
      </c>
      <c r="X82" s="935"/>
      <c r="Y82" s="936">
        <v>0</v>
      </c>
      <c r="Z82" s="935"/>
      <c r="AA82" s="936">
        <v>0</v>
      </c>
      <c r="AB82" s="935"/>
      <c r="AC82" s="938">
        <f t="shared" si="3"/>
        <v>1870</v>
      </c>
      <c r="AD82" s="930"/>
      <c r="AE82" s="936">
        <v>947</v>
      </c>
    </row>
    <row r="83" spans="1:31" ht="15" customHeight="1">
      <c r="A83" s="935" t="s">
        <v>809</v>
      </c>
      <c r="B83" s="935" t="s">
        <v>6</v>
      </c>
      <c r="C83" s="936">
        <v>0</v>
      </c>
      <c r="D83" s="935"/>
      <c r="E83" s="936">
        <v>0</v>
      </c>
      <c r="F83" s="935"/>
      <c r="G83" s="936">
        <v>0</v>
      </c>
      <c r="H83" s="935"/>
      <c r="I83" s="936">
        <v>0</v>
      </c>
      <c r="J83" s="935"/>
      <c r="K83" s="936">
        <v>0</v>
      </c>
      <c r="L83" s="935"/>
      <c r="M83" s="936">
        <v>0</v>
      </c>
      <c r="N83" s="935"/>
      <c r="O83" s="936">
        <v>0</v>
      </c>
      <c r="P83" s="935"/>
      <c r="Q83" s="936">
        <v>0</v>
      </c>
      <c r="R83" s="935"/>
      <c r="S83" s="936">
        <v>0</v>
      </c>
      <c r="T83" s="935"/>
      <c r="U83" s="938">
        <f t="shared" si="2"/>
        <v>0</v>
      </c>
      <c r="V83" s="935"/>
      <c r="W83" s="936">
        <v>512</v>
      </c>
      <c r="X83" s="935"/>
      <c r="Y83" s="936">
        <v>58</v>
      </c>
      <c r="Z83" s="935"/>
      <c r="AA83" s="936">
        <v>0</v>
      </c>
      <c r="AB83" s="935"/>
      <c r="AC83" s="938">
        <f t="shared" si="3"/>
        <v>570</v>
      </c>
      <c r="AD83" s="930"/>
      <c r="AE83" s="938">
        <v>573</v>
      </c>
    </row>
    <row r="84" spans="1:31" ht="15" customHeight="1">
      <c r="A84" s="935" t="s">
        <v>810</v>
      </c>
      <c r="B84" s="935" t="s">
        <v>6</v>
      </c>
      <c r="C84" s="950" t="s">
        <v>6</v>
      </c>
      <c r="D84" s="935"/>
      <c r="E84" s="950" t="s">
        <v>6</v>
      </c>
      <c r="F84" s="935"/>
      <c r="G84" s="950" t="s">
        <v>6</v>
      </c>
      <c r="H84" s="935"/>
      <c r="I84" s="950" t="s">
        <v>6</v>
      </c>
      <c r="J84" s="935"/>
      <c r="K84" s="950" t="s">
        <v>6</v>
      </c>
      <c r="L84" s="935"/>
      <c r="M84" s="950" t="s">
        <v>6</v>
      </c>
      <c r="N84" s="935"/>
      <c r="O84" s="950" t="s">
        <v>6</v>
      </c>
      <c r="P84" s="935"/>
      <c r="Q84" s="950" t="s">
        <v>6</v>
      </c>
      <c r="R84" s="935"/>
      <c r="S84" s="936"/>
      <c r="T84" s="935"/>
      <c r="U84" s="938"/>
      <c r="V84" s="935"/>
      <c r="W84" s="950" t="s">
        <v>6</v>
      </c>
      <c r="X84" s="935"/>
      <c r="Y84" s="950" t="s">
        <v>6</v>
      </c>
      <c r="Z84" s="935"/>
      <c r="AA84" s="950" t="s">
        <v>6</v>
      </c>
      <c r="AB84" s="935"/>
      <c r="AC84" s="938"/>
      <c r="AD84" s="930"/>
      <c r="AE84" s="938"/>
    </row>
    <row r="85" spans="1:31" ht="15" customHeight="1">
      <c r="A85" s="935" t="s">
        <v>811</v>
      </c>
      <c r="B85" s="935" t="s">
        <v>6</v>
      </c>
      <c r="C85" s="936">
        <v>0</v>
      </c>
      <c r="D85" s="935"/>
      <c r="E85" s="936">
        <v>0</v>
      </c>
      <c r="F85" s="935"/>
      <c r="G85" s="936">
        <v>0</v>
      </c>
      <c r="H85" s="935"/>
      <c r="I85" s="936">
        <v>0</v>
      </c>
      <c r="J85" s="935"/>
      <c r="K85" s="936">
        <v>0</v>
      </c>
      <c r="L85" s="935"/>
      <c r="M85" s="936">
        <v>0</v>
      </c>
      <c r="N85" s="935"/>
      <c r="O85" s="936">
        <v>0</v>
      </c>
      <c r="P85" s="935"/>
      <c r="Q85" s="936">
        <v>0</v>
      </c>
      <c r="R85" s="935"/>
      <c r="S85" s="936">
        <v>0</v>
      </c>
      <c r="T85" s="935"/>
      <c r="U85" s="938">
        <f t="shared" si="2"/>
        <v>0</v>
      </c>
      <c r="V85" s="935"/>
      <c r="W85" s="936">
        <v>0</v>
      </c>
      <c r="X85" s="935"/>
      <c r="Y85" s="936">
        <v>0</v>
      </c>
      <c r="Z85" s="935"/>
      <c r="AA85" s="936">
        <v>0</v>
      </c>
      <c r="AB85" s="935"/>
      <c r="AC85" s="938">
        <f t="shared" si="3"/>
        <v>0</v>
      </c>
      <c r="AD85" s="935"/>
      <c r="AE85" s="936">
        <v>0</v>
      </c>
    </row>
    <row r="86" spans="1:31" ht="15" customHeight="1">
      <c r="A86" s="935" t="s">
        <v>812</v>
      </c>
      <c r="B86" s="935" t="s">
        <v>6</v>
      </c>
      <c r="C86" s="936">
        <v>0</v>
      </c>
      <c r="D86" s="935"/>
      <c r="E86" s="936">
        <v>0</v>
      </c>
      <c r="F86" s="935"/>
      <c r="G86" s="936">
        <v>0</v>
      </c>
      <c r="H86" s="935"/>
      <c r="I86" s="936">
        <v>0</v>
      </c>
      <c r="J86" s="935"/>
      <c r="K86" s="936">
        <v>0</v>
      </c>
      <c r="L86" s="935"/>
      <c r="M86" s="936">
        <v>0</v>
      </c>
      <c r="N86" s="935"/>
      <c r="O86" s="936">
        <v>0</v>
      </c>
      <c r="P86" s="935"/>
      <c r="Q86" s="936">
        <v>0</v>
      </c>
      <c r="R86" s="935"/>
      <c r="S86" s="936">
        <v>0</v>
      </c>
      <c r="T86" s="935"/>
      <c r="U86" s="938">
        <f t="shared" si="2"/>
        <v>0</v>
      </c>
      <c r="V86" s="935"/>
      <c r="W86" s="936">
        <v>0</v>
      </c>
      <c r="X86" s="935"/>
      <c r="Y86" s="936">
        <v>0</v>
      </c>
      <c r="Z86" s="935"/>
      <c r="AA86" s="936">
        <v>0</v>
      </c>
      <c r="AB86" s="935"/>
      <c r="AC86" s="938">
        <f t="shared" si="3"/>
        <v>0</v>
      </c>
      <c r="AD86" s="935"/>
      <c r="AE86" s="936">
        <v>0</v>
      </c>
    </row>
    <row r="87" spans="1:31" ht="15" customHeight="1">
      <c r="A87" s="935" t="s">
        <v>813</v>
      </c>
      <c r="B87" s="935" t="s">
        <v>6</v>
      </c>
      <c r="C87" s="936">
        <v>0</v>
      </c>
      <c r="D87" s="935"/>
      <c r="E87" s="936">
        <v>0</v>
      </c>
      <c r="F87" s="935"/>
      <c r="G87" s="936">
        <v>0</v>
      </c>
      <c r="H87" s="935"/>
      <c r="I87" s="936">
        <v>0</v>
      </c>
      <c r="J87" s="935"/>
      <c r="K87" s="936">
        <v>0</v>
      </c>
      <c r="L87" s="935"/>
      <c r="M87" s="936">
        <v>0</v>
      </c>
      <c r="N87" s="935"/>
      <c r="O87" s="936">
        <v>0</v>
      </c>
      <c r="P87" s="935"/>
      <c r="Q87" s="936">
        <v>0</v>
      </c>
      <c r="R87" s="935"/>
      <c r="S87" s="936">
        <v>0</v>
      </c>
      <c r="T87" s="935"/>
      <c r="U87" s="938">
        <f t="shared" si="2"/>
        <v>0</v>
      </c>
      <c r="V87" s="935"/>
      <c r="W87" s="936">
        <v>0</v>
      </c>
      <c r="X87" s="935"/>
      <c r="Y87" s="936">
        <v>16569</v>
      </c>
      <c r="Z87" s="935"/>
      <c r="AA87" s="936">
        <v>4931</v>
      </c>
      <c r="AB87" s="935"/>
      <c r="AC87" s="938">
        <f t="shared" si="3"/>
        <v>21500</v>
      </c>
      <c r="AD87" s="935"/>
      <c r="AE87" s="936">
        <v>24000</v>
      </c>
    </row>
    <row r="88" spans="1:31" ht="15" customHeight="1">
      <c r="A88" s="935" t="s">
        <v>814</v>
      </c>
      <c r="B88" s="935" t="s">
        <v>6</v>
      </c>
      <c r="C88" s="936">
        <v>0</v>
      </c>
      <c r="D88" s="935"/>
      <c r="E88" s="936">
        <v>0</v>
      </c>
      <c r="F88" s="935"/>
      <c r="G88" s="936">
        <v>0</v>
      </c>
      <c r="H88" s="935"/>
      <c r="I88" s="936">
        <v>0</v>
      </c>
      <c r="J88" s="935"/>
      <c r="K88" s="936">
        <v>0</v>
      </c>
      <c r="L88" s="935"/>
      <c r="M88" s="936">
        <v>0</v>
      </c>
      <c r="N88" s="935"/>
      <c r="O88" s="936">
        <v>0</v>
      </c>
      <c r="P88" s="935"/>
      <c r="Q88" s="936">
        <v>0</v>
      </c>
      <c r="R88" s="935"/>
      <c r="S88" s="936">
        <v>0</v>
      </c>
      <c r="T88" s="935"/>
      <c r="U88" s="938">
        <f t="shared" si="2"/>
        <v>0</v>
      </c>
      <c r="V88" s="935"/>
      <c r="W88" s="936">
        <v>2548</v>
      </c>
      <c r="X88" s="935"/>
      <c r="Y88" s="936">
        <v>463</v>
      </c>
      <c r="Z88" s="935"/>
      <c r="AA88" s="936">
        <v>1157</v>
      </c>
      <c r="AB88" s="935"/>
      <c r="AC88" s="938">
        <f t="shared" si="3"/>
        <v>4168</v>
      </c>
      <c r="AD88" s="930"/>
      <c r="AE88" s="938">
        <v>4168</v>
      </c>
    </row>
    <row r="89" spans="1:31" ht="15" customHeight="1">
      <c r="A89" s="935" t="s">
        <v>815</v>
      </c>
      <c r="B89" s="935" t="s">
        <v>6</v>
      </c>
      <c r="C89" s="936">
        <v>0</v>
      </c>
      <c r="D89" s="929"/>
      <c r="E89" s="936">
        <v>0</v>
      </c>
      <c r="F89" s="929"/>
      <c r="G89" s="936">
        <v>8758</v>
      </c>
      <c r="H89" s="929"/>
      <c r="I89" s="936">
        <v>0</v>
      </c>
      <c r="J89" s="929"/>
      <c r="K89" s="936">
        <v>0</v>
      </c>
      <c r="L89" s="929"/>
      <c r="M89" s="936">
        <v>1207</v>
      </c>
      <c r="N89" s="929"/>
      <c r="O89" s="936">
        <v>0</v>
      </c>
      <c r="P89" s="929"/>
      <c r="Q89" s="936">
        <v>48791</v>
      </c>
      <c r="R89" s="929"/>
      <c r="S89" s="936">
        <v>0</v>
      </c>
      <c r="T89" s="929"/>
      <c r="U89" s="938">
        <f t="shared" si="2"/>
        <v>58756</v>
      </c>
      <c r="V89" s="929"/>
      <c r="W89" s="936">
        <v>0</v>
      </c>
      <c r="X89" s="929"/>
      <c r="Y89" s="936">
        <v>0</v>
      </c>
      <c r="Z89" s="929"/>
      <c r="AA89" s="936">
        <v>0</v>
      </c>
      <c r="AB89" s="929"/>
      <c r="AC89" s="938">
        <f t="shared" si="3"/>
        <v>58756</v>
      </c>
      <c r="AD89" s="951"/>
      <c r="AE89" s="952">
        <v>85283</v>
      </c>
    </row>
    <row r="90" spans="1:31" ht="15" customHeight="1">
      <c r="A90" s="935" t="s">
        <v>816</v>
      </c>
      <c r="B90" s="935" t="s">
        <v>6</v>
      </c>
      <c r="C90" s="936">
        <v>0</v>
      </c>
      <c r="D90" s="935"/>
      <c r="E90" s="936">
        <v>0</v>
      </c>
      <c r="F90" s="935"/>
      <c r="G90" s="936">
        <v>0</v>
      </c>
      <c r="H90" s="935"/>
      <c r="I90" s="936">
        <v>0</v>
      </c>
      <c r="J90" s="935"/>
      <c r="K90" s="936">
        <v>0</v>
      </c>
      <c r="L90" s="935"/>
      <c r="M90" s="936">
        <v>0</v>
      </c>
      <c r="N90" s="935"/>
      <c r="O90" s="936">
        <v>0</v>
      </c>
      <c r="P90" s="935"/>
      <c r="Q90" s="936">
        <v>0</v>
      </c>
      <c r="R90" s="935"/>
      <c r="S90" s="936">
        <v>0</v>
      </c>
      <c r="T90" s="935"/>
      <c r="U90" s="938">
        <f t="shared" si="2"/>
        <v>0</v>
      </c>
      <c r="V90" s="935"/>
      <c r="W90" s="936">
        <v>3207</v>
      </c>
      <c r="X90" s="935"/>
      <c r="Y90" s="936">
        <v>192</v>
      </c>
      <c r="Z90" s="935"/>
      <c r="AA90" s="936">
        <v>0</v>
      </c>
      <c r="AB90" s="935"/>
      <c r="AC90" s="938">
        <f t="shared" si="3"/>
        <v>3399</v>
      </c>
      <c r="AD90" s="930"/>
      <c r="AE90" s="938">
        <v>3097</v>
      </c>
    </row>
    <row r="91" spans="1:31" ht="15" customHeight="1">
      <c r="A91" s="935" t="s">
        <v>817</v>
      </c>
      <c r="B91" s="935" t="s">
        <v>6</v>
      </c>
      <c r="C91" s="936">
        <v>0</v>
      </c>
      <c r="D91" s="935"/>
      <c r="E91" s="936">
        <v>0</v>
      </c>
      <c r="F91" s="935"/>
      <c r="G91" s="936">
        <v>0</v>
      </c>
      <c r="H91" s="935"/>
      <c r="I91" s="936">
        <v>0</v>
      </c>
      <c r="J91" s="935"/>
      <c r="K91" s="936">
        <v>0</v>
      </c>
      <c r="L91" s="935"/>
      <c r="M91" s="936">
        <v>0</v>
      </c>
      <c r="N91" s="935"/>
      <c r="O91" s="936">
        <v>0</v>
      </c>
      <c r="P91" s="935"/>
      <c r="Q91" s="936">
        <v>0</v>
      </c>
      <c r="R91" s="935"/>
      <c r="S91" s="936">
        <v>0</v>
      </c>
      <c r="T91" s="935"/>
      <c r="U91" s="938">
        <f t="shared" si="2"/>
        <v>0</v>
      </c>
      <c r="V91" s="935"/>
      <c r="W91" s="936">
        <v>2042</v>
      </c>
      <c r="X91" s="930"/>
      <c r="Y91" s="936">
        <v>255</v>
      </c>
      <c r="Z91" s="935"/>
      <c r="AA91" s="936">
        <v>0</v>
      </c>
      <c r="AB91" s="935"/>
      <c r="AC91" s="938">
        <f t="shared" si="3"/>
        <v>2297</v>
      </c>
      <c r="AD91" s="930"/>
      <c r="AE91" s="938">
        <v>2222</v>
      </c>
    </row>
    <row r="92" spans="1:31" ht="15" customHeight="1">
      <c r="A92" s="935" t="s">
        <v>818</v>
      </c>
      <c r="B92" s="935" t="s">
        <v>6</v>
      </c>
      <c r="C92" s="937">
        <v>22139076</v>
      </c>
      <c r="D92" s="935"/>
      <c r="E92" s="937">
        <v>0</v>
      </c>
      <c r="F92" s="935"/>
      <c r="G92" s="937">
        <v>1355</v>
      </c>
      <c r="H92" s="935"/>
      <c r="I92" s="937">
        <v>0</v>
      </c>
      <c r="J92" s="935"/>
      <c r="K92" s="937">
        <v>0</v>
      </c>
      <c r="L92" s="935"/>
      <c r="M92" s="937">
        <v>0</v>
      </c>
      <c r="N92" s="935"/>
      <c r="O92" s="937">
        <v>0</v>
      </c>
      <c r="P92" s="935"/>
      <c r="Q92" s="937">
        <v>0</v>
      </c>
      <c r="R92" s="935"/>
      <c r="S92" s="936">
        <v>0</v>
      </c>
      <c r="T92" s="935"/>
      <c r="U92" s="938">
        <f t="shared" si="2"/>
        <v>22140431</v>
      </c>
      <c r="V92" s="935"/>
      <c r="W92" s="937">
        <v>27610</v>
      </c>
      <c r="X92" s="935"/>
      <c r="Y92" s="937">
        <v>17386</v>
      </c>
      <c r="Z92" s="935"/>
      <c r="AA92" s="937">
        <v>0</v>
      </c>
      <c r="AB92" s="935"/>
      <c r="AC92" s="938">
        <f t="shared" si="3"/>
        <v>22185427</v>
      </c>
      <c r="AD92" s="930"/>
      <c r="AE92" s="938">
        <v>20488928</v>
      </c>
    </row>
    <row r="93" spans="1:31" ht="15" customHeight="1">
      <c r="A93" s="935" t="s">
        <v>819</v>
      </c>
      <c r="B93" s="935" t="s">
        <v>6</v>
      </c>
      <c r="C93" s="936">
        <v>0</v>
      </c>
      <c r="D93" s="935"/>
      <c r="E93" s="936">
        <v>0</v>
      </c>
      <c r="F93" s="935"/>
      <c r="G93" s="936">
        <v>1253</v>
      </c>
      <c r="H93" s="935"/>
      <c r="I93" s="936">
        <v>0</v>
      </c>
      <c r="J93" s="935"/>
      <c r="K93" s="936">
        <v>125881</v>
      </c>
      <c r="L93" s="935"/>
      <c r="M93" s="936">
        <v>0</v>
      </c>
      <c r="N93" s="935"/>
      <c r="O93" s="936">
        <v>0</v>
      </c>
      <c r="P93" s="935"/>
      <c r="Q93" s="936">
        <v>0</v>
      </c>
      <c r="R93" s="935"/>
      <c r="S93" s="936">
        <v>0</v>
      </c>
      <c r="T93" s="935"/>
      <c r="U93" s="938">
        <f t="shared" si="2"/>
        <v>127134</v>
      </c>
      <c r="V93" s="935"/>
      <c r="W93" s="936">
        <v>1110</v>
      </c>
      <c r="X93" s="935"/>
      <c r="Y93" s="936">
        <v>167</v>
      </c>
      <c r="Z93" s="935"/>
      <c r="AA93" s="936">
        <v>0</v>
      </c>
      <c r="AB93" s="935"/>
      <c r="AC93" s="938">
        <f t="shared" si="3"/>
        <v>128411</v>
      </c>
      <c r="AD93" s="930"/>
      <c r="AE93" s="938">
        <v>129307</v>
      </c>
    </row>
    <row r="94" spans="1:31" ht="15" customHeight="1">
      <c r="A94" s="935" t="s">
        <v>820</v>
      </c>
      <c r="B94" s="935" t="s">
        <v>6</v>
      </c>
      <c r="C94" s="937">
        <v>509668</v>
      </c>
      <c r="D94" s="935"/>
      <c r="E94" s="937">
        <v>0</v>
      </c>
      <c r="F94" s="935"/>
      <c r="G94" s="937">
        <v>21</v>
      </c>
      <c r="H94" s="935"/>
      <c r="I94" s="937">
        <v>0</v>
      </c>
      <c r="J94" s="935"/>
      <c r="K94" s="937">
        <v>241</v>
      </c>
      <c r="L94" s="935"/>
      <c r="M94" s="937">
        <v>0</v>
      </c>
      <c r="N94" s="935"/>
      <c r="O94" s="937">
        <v>0</v>
      </c>
      <c r="P94" s="935"/>
      <c r="Q94" s="937">
        <v>0</v>
      </c>
      <c r="R94" s="935"/>
      <c r="S94" s="936">
        <v>0</v>
      </c>
      <c r="T94" s="935"/>
      <c r="U94" s="938">
        <f t="shared" si="2"/>
        <v>509930</v>
      </c>
      <c r="V94" s="935"/>
      <c r="W94" s="937">
        <v>1591</v>
      </c>
      <c r="X94" s="930"/>
      <c r="Y94" s="937">
        <v>8250</v>
      </c>
      <c r="Z94" s="930"/>
      <c r="AA94" s="937">
        <v>41586</v>
      </c>
      <c r="AB94" s="929"/>
      <c r="AC94" s="938">
        <f t="shared" si="3"/>
        <v>561357</v>
      </c>
      <c r="AD94" s="930"/>
      <c r="AE94" s="938">
        <v>720401</v>
      </c>
    </row>
    <row r="95" spans="1:31" ht="15" customHeight="1">
      <c r="A95" s="935" t="s">
        <v>1925</v>
      </c>
      <c r="B95" s="935" t="s">
        <v>6</v>
      </c>
      <c r="C95" s="937">
        <v>0</v>
      </c>
      <c r="D95" s="935"/>
      <c r="E95" s="937">
        <v>0</v>
      </c>
      <c r="F95" s="935"/>
      <c r="G95" s="937">
        <v>0</v>
      </c>
      <c r="H95" s="935"/>
      <c r="I95" s="937">
        <v>0</v>
      </c>
      <c r="J95" s="935"/>
      <c r="K95" s="937">
        <v>0</v>
      </c>
      <c r="L95" s="935"/>
      <c r="M95" s="937">
        <v>0</v>
      </c>
      <c r="N95" s="935"/>
      <c r="O95" s="937">
        <v>0</v>
      </c>
      <c r="P95" s="935"/>
      <c r="Q95" s="937">
        <v>0</v>
      </c>
      <c r="R95" s="935"/>
      <c r="S95" s="936">
        <v>0</v>
      </c>
      <c r="T95" s="935"/>
      <c r="U95" s="938">
        <f t="shared" si="2"/>
        <v>0</v>
      </c>
      <c r="V95" s="935"/>
      <c r="W95" s="937">
        <v>10234</v>
      </c>
      <c r="X95" s="930"/>
      <c r="Y95" s="937">
        <v>19836</v>
      </c>
      <c r="Z95" s="930"/>
      <c r="AA95" s="937">
        <v>0</v>
      </c>
      <c r="AB95" s="929"/>
      <c r="AC95" s="938">
        <f t="shared" si="3"/>
        <v>30070</v>
      </c>
      <c r="AD95" s="930"/>
      <c r="AE95" s="938">
        <v>29264</v>
      </c>
    </row>
    <row r="96" spans="1:31" ht="15" customHeight="1">
      <c r="A96" s="935" t="s">
        <v>821</v>
      </c>
      <c r="B96" s="935" t="s">
        <v>6</v>
      </c>
      <c r="C96" s="936">
        <v>0</v>
      </c>
      <c r="D96" s="935"/>
      <c r="E96" s="936">
        <v>0</v>
      </c>
      <c r="F96" s="935"/>
      <c r="G96" s="936">
        <v>2451</v>
      </c>
      <c r="H96" s="935"/>
      <c r="I96" s="936">
        <v>0</v>
      </c>
      <c r="J96" s="935"/>
      <c r="K96" s="936">
        <v>0</v>
      </c>
      <c r="L96" s="935"/>
      <c r="M96" s="936">
        <v>0</v>
      </c>
      <c r="N96" s="935"/>
      <c r="O96" s="936">
        <v>0</v>
      </c>
      <c r="P96" s="935"/>
      <c r="Q96" s="936">
        <v>0</v>
      </c>
      <c r="R96" s="935"/>
      <c r="S96" s="936">
        <v>0</v>
      </c>
      <c r="T96" s="935"/>
      <c r="U96" s="938">
        <f t="shared" si="2"/>
        <v>2451</v>
      </c>
      <c r="V96" s="935"/>
      <c r="W96" s="936">
        <v>1451032</v>
      </c>
      <c r="X96" s="935"/>
      <c r="Y96" s="936">
        <v>387120</v>
      </c>
      <c r="Z96" s="935" t="s">
        <v>6</v>
      </c>
      <c r="AA96" s="936">
        <v>663574</v>
      </c>
      <c r="AB96" s="935"/>
      <c r="AC96" s="938">
        <f t="shared" si="3"/>
        <v>2504177</v>
      </c>
      <c r="AD96" s="930"/>
      <c r="AE96" s="938">
        <v>2444574</v>
      </c>
    </row>
    <row r="97" spans="1:36" ht="15" customHeight="1">
      <c r="A97" s="935" t="s">
        <v>2576</v>
      </c>
      <c r="B97" s="935" t="s">
        <v>6</v>
      </c>
      <c r="C97" s="936">
        <v>0</v>
      </c>
      <c r="D97" s="935"/>
      <c r="E97" s="936">
        <v>0</v>
      </c>
      <c r="F97" s="935"/>
      <c r="G97" s="936">
        <v>940970</v>
      </c>
      <c r="H97" s="935"/>
      <c r="I97" s="936">
        <v>0</v>
      </c>
      <c r="J97" s="935"/>
      <c r="K97" s="936">
        <v>0</v>
      </c>
      <c r="L97" s="935"/>
      <c r="M97" s="936">
        <v>0</v>
      </c>
      <c r="N97" s="935"/>
      <c r="O97" s="936">
        <v>0</v>
      </c>
      <c r="P97" s="935"/>
      <c r="Q97" s="936">
        <v>0</v>
      </c>
      <c r="R97" s="935"/>
      <c r="S97" s="936">
        <v>0</v>
      </c>
      <c r="T97" s="935"/>
      <c r="U97" s="938">
        <f t="shared" si="2"/>
        <v>940970</v>
      </c>
      <c r="V97" s="935"/>
      <c r="W97" s="936">
        <v>22</v>
      </c>
      <c r="X97" s="935"/>
      <c r="Y97" s="936">
        <v>21694</v>
      </c>
      <c r="Z97" s="935" t="s">
        <v>6</v>
      </c>
      <c r="AA97" s="936">
        <v>4681114</v>
      </c>
      <c r="AB97" s="935"/>
      <c r="AC97" s="938">
        <f t="shared" si="3"/>
        <v>5643800</v>
      </c>
      <c r="AD97" s="930"/>
      <c r="AE97" s="938">
        <v>5083038</v>
      </c>
    </row>
    <row r="98" spans="1:36" ht="20.25" customHeight="1" thickBot="1">
      <c r="A98" s="912" t="s">
        <v>822</v>
      </c>
      <c r="B98" s="932" t="s">
        <v>6</v>
      </c>
      <c r="C98" s="953">
        <f>ROUND(SUM(C15:C97),1)</f>
        <v>25133656</v>
      </c>
      <c r="D98" s="954" t="s">
        <v>6</v>
      </c>
      <c r="E98" s="953">
        <f>ROUND(SUM(E15:E97),1)</f>
        <v>7420</v>
      </c>
      <c r="F98" s="954" t="s">
        <v>6</v>
      </c>
      <c r="G98" s="953">
        <f>ROUND(SUM(G15:G97),1)</f>
        <v>1010655</v>
      </c>
      <c r="H98" s="954" t="s">
        <v>6</v>
      </c>
      <c r="I98" s="953">
        <f>ROUND(SUM(I15:I97),1)</f>
        <v>13005715</v>
      </c>
      <c r="J98" s="954" t="s">
        <v>6</v>
      </c>
      <c r="K98" s="953">
        <f>ROUND(SUM(K15:K97),1)</f>
        <v>860319</v>
      </c>
      <c r="L98" s="954" t="s">
        <v>6</v>
      </c>
      <c r="M98" s="953">
        <f>ROUND(SUM(M15:M97),1)</f>
        <v>132884</v>
      </c>
      <c r="N98" s="954" t="s">
        <v>6</v>
      </c>
      <c r="O98" s="953">
        <f>ROUND(SUM(O15:O97),1)</f>
        <v>2932762</v>
      </c>
      <c r="P98" s="954" t="s">
        <v>6</v>
      </c>
      <c r="Q98" s="953">
        <f>ROUND(SUM(Q15:Q97),1)</f>
        <v>119567</v>
      </c>
      <c r="R98" s="954" t="s">
        <v>6</v>
      </c>
      <c r="S98" s="953">
        <f>ROUND(SUM(S15:S97),1)</f>
        <v>111351</v>
      </c>
      <c r="T98" s="954" t="s">
        <v>6</v>
      </c>
      <c r="U98" s="953">
        <f>ROUND(SUM(U15:U97),1)</f>
        <v>43314329</v>
      </c>
      <c r="V98" s="954" t="s">
        <v>6</v>
      </c>
      <c r="W98" s="953">
        <f>ROUND(SUM(W15:W97),1)</f>
        <v>6010892</v>
      </c>
      <c r="X98" s="954" t="s">
        <v>6</v>
      </c>
      <c r="Y98" s="953">
        <f>ROUND(SUM(Y15:Y97),1)</f>
        <v>1944289</v>
      </c>
      <c r="Z98" s="954" t="s">
        <v>6</v>
      </c>
      <c r="AA98" s="953">
        <f>ROUND(SUM(AA15:AA97),1)</f>
        <v>5397230</v>
      </c>
      <c r="AB98" s="954" t="s">
        <v>6</v>
      </c>
      <c r="AC98" s="953">
        <f>ROUND(SUM(AC15:AC97),1)</f>
        <v>56666740</v>
      </c>
      <c r="AD98" s="955"/>
      <c r="AE98" s="953">
        <f>ROUND(SUM(AE15:AE97),1)</f>
        <v>54254754</v>
      </c>
    </row>
    <row r="99" spans="1:36" ht="11.25" customHeight="1" thickTop="1">
      <c r="A99" s="935" t="s">
        <v>6</v>
      </c>
      <c r="B99" s="935"/>
      <c r="C99" s="956"/>
      <c r="D99" s="935"/>
      <c r="E99" s="956"/>
      <c r="F99" s="935"/>
      <c r="G99" s="935"/>
      <c r="H99" s="935"/>
      <c r="I99" s="957"/>
      <c r="J99" s="935"/>
      <c r="K99" s="956"/>
      <c r="L99" s="935"/>
      <c r="M99" s="956"/>
      <c r="N99" s="935"/>
      <c r="O99" s="956"/>
      <c r="P99" s="935"/>
      <c r="Q99" s="956"/>
      <c r="R99" s="935"/>
      <c r="S99" s="956"/>
      <c r="T99" s="935"/>
      <c r="U99" s="958"/>
      <c r="V99" s="935"/>
      <c r="W99" s="956"/>
      <c r="X99" s="935"/>
      <c r="Y99" s="956"/>
      <c r="Z99" s="935"/>
      <c r="AA99" s="956"/>
      <c r="AB99" s="935"/>
      <c r="AC99" s="958"/>
      <c r="AD99" s="935"/>
      <c r="AE99" s="958"/>
    </row>
    <row r="100" spans="1:36" s="242" customFormat="1" ht="5" customHeight="1">
      <c r="A100" s="929"/>
      <c r="U100" s="959"/>
      <c r="W100" s="959"/>
      <c r="Y100" s="959"/>
      <c r="AE100" s="959"/>
      <c r="AF100" s="928"/>
      <c r="AG100" s="928"/>
      <c r="AH100" s="928"/>
      <c r="AI100" s="928"/>
      <c r="AJ100" s="928"/>
    </row>
    <row r="101" spans="1:36">
      <c r="B101" s="935"/>
      <c r="C101" s="490"/>
      <c r="D101" s="490"/>
      <c r="E101" s="490"/>
      <c r="F101" s="490"/>
      <c r="G101" s="490"/>
      <c r="H101" s="490"/>
      <c r="I101" s="490"/>
      <c r="J101" s="490"/>
      <c r="K101" s="490"/>
      <c r="L101" s="490"/>
      <c r="M101" s="490"/>
      <c r="N101" s="490"/>
      <c r="O101" s="960"/>
      <c r="P101" s="490"/>
      <c r="Q101" s="490"/>
      <c r="R101" s="490"/>
      <c r="S101" s="490"/>
      <c r="T101" s="490"/>
      <c r="U101" s="486"/>
      <c r="V101" s="490"/>
      <c r="W101" s="485"/>
      <c r="X101" s="486"/>
      <c r="Y101" s="485"/>
      <c r="Z101" s="486"/>
      <c r="AA101" s="486"/>
      <c r="AB101" s="490"/>
      <c r="AC101" s="486"/>
      <c r="AD101" s="486"/>
      <c r="AE101" s="486"/>
    </row>
    <row r="102" spans="1:36" ht="15" customHeight="1">
      <c r="A102" s="935"/>
      <c r="B102" s="935"/>
      <c r="C102" s="490"/>
      <c r="D102" s="490"/>
      <c r="E102" s="490"/>
      <c r="F102" s="490"/>
      <c r="G102" s="490"/>
      <c r="H102" s="490"/>
      <c r="I102" s="490"/>
      <c r="J102" s="490"/>
      <c r="K102" s="490"/>
      <c r="L102" s="490"/>
      <c r="M102" s="490"/>
      <c r="N102" s="490"/>
      <c r="O102" s="490"/>
      <c r="P102" s="490"/>
      <c r="Q102" s="490"/>
      <c r="R102" s="490"/>
      <c r="S102" s="490"/>
      <c r="T102" s="490"/>
      <c r="U102" s="486"/>
      <c r="V102" s="490"/>
      <c r="W102" s="485"/>
      <c r="X102" s="486"/>
      <c r="Y102" s="485"/>
      <c r="Z102" s="486"/>
      <c r="AA102" s="486"/>
      <c r="AB102" s="490"/>
      <c r="AC102" s="486"/>
      <c r="AD102" s="486"/>
      <c r="AE102" s="490"/>
    </row>
    <row r="103" spans="1:36" ht="15" customHeight="1">
      <c r="A103" s="935"/>
      <c r="X103" s="486"/>
      <c r="Y103" s="485"/>
      <c r="Z103" s="486"/>
      <c r="AA103" s="486"/>
      <c r="AB103" s="490"/>
      <c r="AC103" s="486"/>
      <c r="AD103" s="486"/>
      <c r="AE103" s="490"/>
    </row>
    <row r="104" spans="1:36" ht="15" customHeight="1">
      <c r="A104" s="935"/>
      <c r="B104" s="960"/>
      <c r="T104" s="961"/>
      <c r="U104" s="962"/>
      <c r="V104" s="961"/>
      <c r="W104" s="963"/>
      <c r="X104" s="962"/>
      <c r="Y104" s="963"/>
      <c r="Z104" s="962"/>
      <c r="AA104" s="962"/>
      <c r="AC104" s="962"/>
      <c r="AD104" s="962"/>
    </row>
    <row r="105" spans="1:36" ht="15" customHeight="1">
      <c r="A105" s="935"/>
      <c r="B105" s="960"/>
      <c r="T105" s="961"/>
      <c r="U105" s="962"/>
      <c r="V105" s="961"/>
    </row>
    <row r="107" spans="1:36">
      <c r="B107" s="960"/>
      <c r="T107" s="961"/>
      <c r="U107" s="962"/>
      <c r="V107" s="961"/>
    </row>
    <row r="108" spans="1:36">
      <c r="B108" s="960"/>
      <c r="T108" s="961"/>
      <c r="U108" s="962"/>
      <c r="V108" s="961"/>
    </row>
    <row r="109" spans="1:36">
      <c r="B109" s="960"/>
      <c r="T109" s="961"/>
      <c r="U109" s="962"/>
      <c r="V109" s="961"/>
    </row>
  </sheetData>
  <mergeCells count="6">
    <mergeCell ref="W67:Y67"/>
    <mergeCell ref="AC5:AE5"/>
    <mergeCell ref="W9:Y9"/>
    <mergeCell ref="AF12:AG12"/>
    <mergeCell ref="AH12:AI12"/>
    <mergeCell ref="AC63:AE63"/>
  </mergeCells>
  <pageMargins left="0.4" right="0.5" top="1.1200000000000001" bottom="0.25" header="0.39" footer="0.25"/>
  <pageSetup scale="54" firstPageNumber="107" fitToHeight="2" orientation="landscape" useFirstPageNumber="1"/>
  <headerFooter scaleWithDoc="0">
    <oddFooter>&amp;R&amp;8&amp;P</oddFooter>
  </headerFooter>
  <rowBreaks count="1" manualBreakCount="1">
    <brk id="60" max="31"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122"/>
  <sheetViews>
    <sheetView showGridLines="0" showOutlineSymbols="0" zoomScale="70" zoomScaleNormal="70" zoomScalePageLayoutView="70" workbookViewId="0"/>
  </sheetViews>
  <sheetFormatPr baseColWidth="10" defaultColWidth="8.85546875" defaultRowHeight="13" x14ac:dyDescent="0"/>
  <cols>
    <col min="1" max="1" width="42.5703125" style="67" customWidth="1"/>
    <col min="2" max="2" width="2.42578125" style="67" customWidth="1"/>
    <col min="3" max="3" width="3.5703125" style="67" customWidth="1"/>
    <col min="4" max="4" width="15.140625" style="67" customWidth="1"/>
    <col min="5" max="5" width="2.140625" style="67" customWidth="1"/>
    <col min="6" max="6" width="15.42578125" style="67" customWidth="1"/>
    <col min="7" max="7" width="2.140625" style="67" customWidth="1"/>
    <col min="8" max="8" width="15.140625" style="67" customWidth="1"/>
    <col min="9" max="9" width="2.140625" style="67" customWidth="1"/>
    <col min="10" max="10" width="15.140625" style="67" customWidth="1"/>
    <col min="11" max="11" width="2" style="67" customWidth="1"/>
    <col min="12" max="12" width="15" style="67" customWidth="1"/>
    <col min="13" max="13" width="2.140625" style="67" customWidth="1"/>
    <col min="14" max="14" width="14.85546875" style="67" customWidth="1"/>
    <col min="15" max="15" width="2.140625" style="67" customWidth="1"/>
    <col min="16" max="16" width="14.5703125" style="67" customWidth="1"/>
    <col min="17" max="17" width="2.140625" style="67" customWidth="1"/>
    <col min="18" max="18" width="14.5703125" style="67" customWidth="1"/>
    <col min="19" max="19" width="2.140625" style="67" customWidth="1"/>
    <col min="20" max="20" width="15.85546875" style="67" bestFit="1" customWidth="1"/>
    <col min="21" max="21" width="2.140625" style="67" customWidth="1"/>
    <col min="22" max="22" width="18.140625" style="67" customWidth="1"/>
    <col min="23" max="24" width="9.5703125" style="67" customWidth="1"/>
    <col min="25" max="25" width="25.5703125" style="67" customWidth="1"/>
    <col min="26" max="16384" width="8.85546875" style="67"/>
  </cols>
  <sheetData>
    <row r="1" spans="1:256" ht="15">
      <c r="A1" s="1582" t="s">
        <v>1443</v>
      </c>
    </row>
    <row r="3" spans="1:256" ht="19.5" customHeight="1">
      <c r="A3" s="64" t="s">
        <v>0</v>
      </c>
      <c r="B3" s="65"/>
      <c r="C3" s="65"/>
      <c r="D3" s="65"/>
      <c r="E3" s="65"/>
      <c r="F3" s="65"/>
      <c r="G3" s="65"/>
      <c r="H3" s="65"/>
      <c r="I3" s="65"/>
      <c r="J3" s="65"/>
      <c r="K3" s="65"/>
      <c r="L3" s="65"/>
      <c r="M3" s="65"/>
      <c r="N3" s="65"/>
      <c r="O3" s="65"/>
      <c r="P3" s="65"/>
      <c r="Q3" s="65"/>
      <c r="R3" s="65"/>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row>
    <row r="4" spans="1:256" ht="19.5" customHeight="1">
      <c r="A4" s="64" t="s">
        <v>1</v>
      </c>
      <c r="B4" s="65"/>
      <c r="C4" s="65"/>
      <c r="D4" s="65"/>
      <c r="E4" s="65"/>
      <c r="F4" s="65"/>
      <c r="G4" s="65"/>
      <c r="H4" s="65"/>
      <c r="I4" s="65"/>
      <c r="J4" s="65"/>
      <c r="K4" s="65"/>
      <c r="L4" s="65"/>
      <c r="M4" s="65"/>
      <c r="N4" s="65"/>
      <c r="O4" s="65"/>
      <c r="P4" s="65"/>
      <c r="Q4" s="65"/>
      <c r="S4" s="65"/>
      <c r="T4" s="65"/>
      <c r="U4" s="65"/>
      <c r="V4" s="68" t="s">
        <v>38</v>
      </c>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row>
    <row r="5" spans="1:256" ht="19.5" customHeight="1">
      <c r="A5" s="69" t="s">
        <v>39</v>
      </c>
      <c r="B5" s="65"/>
      <c r="C5" s="65"/>
      <c r="D5" s="65"/>
      <c r="E5" s="65"/>
      <c r="F5" s="65"/>
      <c r="G5" s="65"/>
      <c r="H5" s="65"/>
      <c r="I5" s="65"/>
      <c r="J5" s="65"/>
      <c r="K5" s="65"/>
      <c r="L5" s="65"/>
      <c r="M5" s="65"/>
      <c r="N5" s="65"/>
      <c r="O5" s="65"/>
      <c r="P5" s="65"/>
      <c r="Q5" s="65"/>
      <c r="R5" s="65"/>
      <c r="S5" s="65"/>
      <c r="T5" s="65"/>
      <c r="U5" s="65"/>
      <c r="V5" s="65"/>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row>
    <row r="6" spans="1:256" ht="19.5" customHeight="1">
      <c r="A6" s="64" t="s">
        <v>2620</v>
      </c>
      <c r="B6" s="65"/>
      <c r="C6" s="65"/>
      <c r="D6" s="65"/>
      <c r="E6" s="65"/>
      <c r="F6" s="65"/>
      <c r="G6" s="65"/>
      <c r="H6" s="65"/>
      <c r="I6" s="65"/>
      <c r="J6" s="65"/>
      <c r="K6" s="65"/>
      <c r="L6" s="65"/>
      <c r="M6" s="65"/>
      <c r="N6" s="65"/>
      <c r="O6" s="65"/>
      <c r="P6" s="65"/>
      <c r="Q6" s="65"/>
      <c r="R6" s="65"/>
      <c r="S6" s="65"/>
      <c r="T6" s="65"/>
      <c r="U6" s="65"/>
      <c r="V6" s="65"/>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18">
      <c r="A7" s="70" t="s">
        <v>4</v>
      </c>
      <c r="B7" s="71"/>
      <c r="C7" s="71"/>
      <c r="D7" s="65"/>
      <c r="E7" s="65"/>
      <c r="F7" s="65"/>
      <c r="G7" s="65"/>
      <c r="H7" s="65"/>
      <c r="I7" s="65"/>
      <c r="J7" s="65"/>
      <c r="K7" s="65"/>
      <c r="L7" s="65"/>
      <c r="M7" s="65"/>
      <c r="N7" s="65"/>
      <c r="O7" s="65"/>
      <c r="P7" s="65"/>
      <c r="Q7" s="65"/>
      <c r="R7" s="65"/>
      <c r="S7" s="71"/>
      <c r="T7" s="65"/>
      <c r="U7" s="65"/>
      <c r="V7" s="65"/>
    </row>
    <row r="8" spans="1:256">
      <c r="A8" s="71"/>
      <c r="B8" s="71"/>
      <c r="C8" s="71"/>
      <c r="D8" s="65"/>
      <c r="E8" s="65"/>
      <c r="F8" s="65"/>
      <c r="G8" s="65"/>
      <c r="H8" s="65"/>
      <c r="I8" s="65"/>
      <c r="J8" s="65"/>
      <c r="K8" s="65"/>
      <c r="L8" s="65"/>
      <c r="M8" s="65"/>
      <c r="N8" s="65"/>
      <c r="O8" s="65"/>
      <c r="P8" s="65"/>
      <c r="Q8" s="65"/>
      <c r="R8" s="65"/>
      <c r="S8" s="71"/>
      <c r="T8" s="65"/>
      <c r="U8" s="65"/>
      <c r="V8" s="65"/>
    </row>
    <row r="9" spans="1:256">
      <c r="A9" s="71"/>
      <c r="B9" s="71"/>
      <c r="C9" s="71"/>
      <c r="D9" s="65"/>
      <c r="E9" s="65"/>
      <c r="F9" s="65"/>
      <c r="G9" s="65"/>
      <c r="H9" s="65"/>
      <c r="I9" s="65"/>
      <c r="J9" s="65"/>
      <c r="K9" s="65"/>
      <c r="L9" s="65"/>
      <c r="M9" s="65"/>
      <c r="N9" s="65"/>
      <c r="O9" s="65"/>
      <c r="P9" s="65"/>
      <c r="Q9" s="65"/>
      <c r="R9" s="65"/>
      <c r="S9" s="71"/>
      <c r="T9" s="65"/>
      <c r="U9" s="65"/>
      <c r="V9" s="65"/>
    </row>
    <row r="10" spans="1:256" ht="15.75" customHeight="1">
      <c r="A10" s="72"/>
      <c r="B10" s="72"/>
      <c r="C10" s="72"/>
      <c r="D10" s="73"/>
      <c r="E10" s="73"/>
      <c r="F10" s="73"/>
      <c r="G10" s="73"/>
      <c r="H10" s="73"/>
      <c r="I10" s="73"/>
      <c r="J10" s="73"/>
      <c r="K10" s="73"/>
      <c r="L10" s="73"/>
      <c r="M10" s="73"/>
      <c r="N10" s="73"/>
      <c r="O10" s="73"/>
      <c r="P10" s="73"/>
      <c r="Q10" s="73"/>
      <c r="R10" s="73"/>
      <c r="S10" s="72"/>
      <c r="U10" s="74"/>
      <c r="V10" s="74"/>
    </row>
    <row r="11" spans="1:256" ht="15" customHeight="1">
      <c r="A11" s="72"/>
      <c r="B11" s="72"/>
      <c r="C11" s="72"/>
      <c r="D11" s="75" t="s">
        <v>40</v>
      </c>
      <c r="E11" s="73"/>
      <c r="F11" s="73"/>
      <c r="G11" s="73"/>
      <c r="H11" s="73" t="s">
        <v>41</v>
      </c>
      <c r="I11" s="73"/>
      <c r="J11" s="73"/>
      <c r="K11" s="73"/>
      <c r="L11" s="73" t="s">
        <v>42</v>
      </c>
      <c r="M11" s="73"/>
      <c r="N11" s="73"/>
      <c r="O11" s="73"/>
      <c r="P11" s="73" t="s">
        <v>43</v>
      </c>
      <c r="Q11" s="73"/>
      <c r="R11" s="73"/>
      <c r="S11" s="72"/>
      <c r="T11" s="74" t="s">
        <v>44</v>
      </c>
      <c r="U11" s="74"/>
      <c r="V11" s="74"/>
    </row>
    <row r="12" spans="1:256" ht="21" customHeight="1">
      <c r="A12" s="72"/>
      <c r="B12" s="72"/>
      <c r="C12" s="72"/>
      <c r="D12" s="76"/>
      <c r="E12" s="76"/>
      <c r="F12" s="76"/>
      <c r="G12" s="73"/>
      <c r="H12" s="76"/>
      <c r="I12" s="76"/>
      <c r="J12" s="76"/>
      <c r="K12" s="73"/>
      <c r="L12" s="76"/>
      <c r="M12" s="76"/>
      <c r="N12" s="76"/>
      <c r="O12" s="73"/>
      <c r="P12" s="76"/>
      <c r="Q12" s="76"/>
      <c r="R12" s="76"/>
      <c r="S12" s="72"/>
      <c r="T12" s="76"/>
      <c r="U12" s="76"/>
      <c r="V12" s="76"/>
    </row>
    <row r="13" spans="1:256" ht="21" customHeight="1">
      <c r="A13" s="72"/>
      <c r="B13" s="72"/>
      <c r="C13" s="77"/>
      <c r="D13" s="78" t="s">
        <v>2587</v>
      </c>
      <c r="E13" s="79"/>
      <c r="F13" s="78" t="s">
        <v>1930</v>
      </c>
      <c r="G13" s="79"/>
      <c r="H13" s="78" t="s">
        <v>2587</v>
      </c>
      <c r="I13" s="79"/>
      <c r="J13" s="78" t="s">
        <v>1930</v>
      </c>
      <c r="K13" s="79"/>
      <c r="L13" s="78" t="s">
        <v>2587</v>
      </c>
      <c r="M13" s="79"/>
      <c r="N13" s="78" t="s">
        <v>1930</v>
      </c>
      <c r="O13" s="80"/>
      <c r="P13" s="78" t="s">
        <v>2587</v>
      </c>
      <c r="Q13" s="79"/>
      <c r="R13" s="78" t="s">
        <v>1930</v>
      </c>
      <c r="S13" s="72"/>
      <c r="T13" s="78" t="s">
        <v>2587</v>
      </c>
      <c r="U13" s="79"/>
      <c r="V13" s="78" t="s">
        <v>1930</v>
      </c>
      <c r="W13" s="71"/>
      <c r="X13" s="71"/>
      <c r="Y13" s="71"/>
      <c r="Z13" s="71"/>
    </row>
    <row r="14" spans="1:256" ht="16" customHeight="1">
      <c r="A14" s="7" t="s">
        <v>45</v>
      </c>
      <c r="B14" s="72"/>
      <c r="C14" s="77"/>
      <c r="D14" s="81"/>
      <c r="E14" s="77"/>
      <c r="F14" s="81"/>
      <c r="G14" s="77"/>
      <c r="H14" s="81"/>
      <c r="I14" s="77"/>
      <c r="J14" s="81"/>
      <c r="K14" s="77"/>
      <c r="L14" s="81"/>
      <c r="M14" s="77"/>
      <c r="N14" s="81"/>
      <c r="O14" s="77"/>
      <c r="P14" s="81"/>
      <c r="Q14" s="77"/>
      <c r="R14" s="81"/>
      <c r="S14" s="72"/>
      <c r="T14" s="82"/>
      <c r="U14" s="72"/>
      <c r="V14" s="82"/>
      <c r="W14" s="71"/>
      <c r="X14" s="71"/>
      <c r="Y14" s="71"/>
      <c r="Z14" s="71"/>
    </row>
    <row r="15" spans="1:256" s="86" customFormat="1" ht="16" customHeight="1">
      <c r="A15" s="7" t="s">
        <v>46</v>
      </c>
      <c r="B15" s="83"/>
      <c r="C15" s="84"/>
      <c r="D15" s="84"/>
      <c r="E15" s="84"/>
      <c r="F15" s="84"/>
      <c r="G15" s="84"/>
      <c r="H15" s="84"/>
      <c r="I15" s="84"/>
      <c r="J15" s="84"/>
      <c r="K15" s="84"/>
      <c r="L15" s="84"/>
      <c r="M15" s="84"/>
      <c r="N15" s="84"/>
      <c r="O15" s="84"/>
      <c r="P15" s="84"/>
      <c r="Q15" s="84"/>
      <c r="R15" s="84"/>
      <c r="S15" s="83"/>
      <c r="T15" s="83"/>
      <c r="U15" s="83"/>
      <c r="V15" s="83"/>
      <c r="W15" s="85"/>
      <c r="X15" s="85"/>
      <c r="Y15" s="85"/>
      <c r="Z15" s="85"/>
    </row>
    <row r="16" spans="1:256" s="91" customFormat="1" ht="16" customHeight="1">
      <c r="A16" s="87" t="s">
        <v>47</v>
      </c>
      <c r="B16" s="88"/>
      <c r="C16" s="84" t="s">
        <v>6</v>
      </c>
      <c r="D16" s="1272">
        <v>36549038</v>
      </c>
      <c r="E16" s="1273"/>
      <c r="F16" s="1272">
        <v>34906793</v>
      </c>
      <c r="G16" s="1273"/>
      <c r="H16" s="1272">
        <v>0</v>
      </c>
      <c r="I16" s="1274"/>
      <c r="J16" s="1272">
        <v>0</v>
      </c>
      <c r="K16" s="1274"/>
      <c r="L16" s="1272">
        <v>0</v>
      </c>
      <c r="M16" s="1274"/>
      <c r="N16" s="1272">
        <v>0</v>
      </c>
      <c r="O16" s="1274"/>
      <c r="P16" s="1272">
        <v>0</v>
      </c>
      <c r="Q16" s="1274"/>
      <c r="R16" s="1272">
        <v>0</v>
      </c>
      <c r="S16" s="1274"/>
      <c r="T16" s="1275">
        <f>ROUND(SUM(D16)+SUM(H16)+SUM(L16)+SUM(P16),0)</f>
        <v>36549038</v>
      </c>
      <c r="U16" s="1274"/>
      <c r="V16" s="1275">
        <f>ROUND(SUM(+F16+J16+N16+R16),0)</f>
        <v>34906793</v>
      </c>
      <c r="W16" s="90"/>
      <c r="X16" s="90"/>
      <c r="Y16" s="90"/>
      <c r="Z16" s="90"/>
    </row>
    <row r="17" spans="1:26" s="86" customFormat="1" ht="16" customHeight="1">
      <c r="A17" s="72" t="s">
        <v>48</v>
      </c>
      <c r="B17" s="83"/>
      <c r="C17" s="84" t="s">
        <v>6</v>
      </c>
      <c r="D17" s="1276">
        <v>16111218</v>
      </c>
      <c r="E17" s="1276"/>
      <c r="F17" s="1276">
        <v>13743147</v>
      </c>
      <c r="G17" s="1276"/>
      <c r="H17" s="1276">
        <v>0</v>
      </c>
      <c r="I17" s="1293"/>
      <c r="J17" s="1276">
        <v>0</v>
      </c>
      <c r="K17" s="1293"/>
      <c r="L17" s="1276">
        <v>0</v>
      </c>
      <c r="M17" s="1293"/>
      <c r="N17" s="1276">
        <v>0</v>
      </c>
      <c r="O17" s="1293"/>
      <c r="P17" s="1276">
        <v>0</v>
      </c>
      <c r="Q17" s="1293"/>
      <c r="R17" s="1276">
        <v>0</v>
      </c>
      <c r="S17" s="1293"/>
      <c r="T17" s="1288">
        <f>ROUND(SUM(D17)+SUM(H17)+SUM(L17)+SUM(P17),0)</f>
        <v>16111218</v>
      </c>
      <c r="U17" s="1293"/>
      <c r="V17" s="1288">
        <f>ROUND(SUM(+F17+J17+N17+R17),0)</f>
        <v>13743147</v>
      </c>
      <c r="W17" s="85"/>
      <c r="X17" s="85"/>
      <c r="Y17" s="85"/>
      <c r="Z17" s="85"/>
    </row>
    <row r="18" spans="1:26" s="86" customFormat="1" ht="16" customHeight="1">
      <c r="A18" s="103" t="s">
        <v>2525</v>
      </c>
      <c r="B18" s="83"/>
      <c r="C18" s="84" t="s">
        <v>6</v>
      </c>
      <c r="D18" s="1276">
        <v>2653707</v>
      </c>
      <c r="E18" s="1276"/>
      <c r="F18" s="1276">
        <v>2260045</v>
      </c>
      <c r="G18" s="1276"/>
      <c r="H18" s="1276">
        <v>0</v>
      </c>
      <c r="I18" s="1293"/>
      <c r="J18" s="1276">
        <v>0</v>
      </c>
      <c r="K18" s="1293"/>
      <c r="L18" s="1276">
        <v>0</v>
      </c>
      <c r="M18" s="1293"/>
      <c r="N18" s="1276">
        <v>0</v>
      </c>
      <c r="O18" s="1293"/>
      <c r="P18" s="1276">
        <v>0</v>
      </c>
      <c r="Q18" s="1293"/>
      <c r="R18" s="1276">
        <v>0</v>
      </c>
      <c r="S18" s="1293"/>
      <c r="T18" s="1288">
        <f t="shared" ref="T18:T20" si="0">ROUND(SUM(D18)+SUM(H18)+SUM(L18)+SUM(P18),0)</f>
        <v>2653707</v>
      </c>
      <c r="U18" s="1293"/>
      <c r="V18" s="1288">
        <f t="shared" ref="V18:V20" si="1">ROUND(SUM(+F18+J18+N18+R18),0)</f>
        <v>2260045</v>
      </c>
      <c r="W18" s="85"/>
      <c r="X18" s="85"/>
      <c r="Y18" s="85"/>
      <c r="Z18" s="85"/>
    </row>
    <row r="19" spans="1:26" s="86" customFormat="1" ht="16" customHeight="1">
      <c r="A19" s="72" t="s">
        <v>49</v>
      </c>
      <c r="B19" s="83"/>
      <c r="C19" s="84" t="s">
        <v>6</v>
      </c>
      <c r="D19" s="1276">
        <v>-675293</v>
      </c>
      <c r="E19" s="1276"/>
      <c r="F19" s="1276">
        <v>-590752</v>
      </c>
      <c r="G19" s="1276"/>
      <c r="H19" s="1276">
        <v>0</v>
      </c>
      <c r="I19" s="1293"/>
      <c r="J19" s="1276">
        <v>0</v>
      </c>
      <c r="K19" s="1293"/>
      <c r="L19" s="1276">
        <v>0</v>
      </c>
      <c r="M19" s="1293"/>
      <c r="N19" s="1276">
        <v>0</v>
      </c>
      <c r="O19" s="1293"/>
      <c r="P19" s="1276">
        <v>0</v>
      </c>
      <c r="Q19" s="1293"/>
      <c r="R19" s="1276">
        <v>0</v>
      </c>
      <c r="S19" s="1293"/>
      <c r="T19" s="1288">
        <f t="shared" si="0"/>
        <v>-675293</v>
      </c>
      <c r="U19" s="1293"/>
      <c r="V19" s="1288">
        <f t="shared" si="1"/>
        <v>-590752</v>
      </c>
      <c r="W19" s="85"/>
      <c r="X19" s="85"/>
      <c r="Y19" s="85"/>
      <c r="Z19" s="85"/>
    </row>
    <row r="20" spans="1:26" s="86" customFormat="1" ht="16" customHeight="1">
      <c r="A20" s="72" t="s">
        <v>50</v>
      </c>
      <c r="B20" s="83"/>
      <c r="C20" s="84" t="s">
        <v>6</v>
      </c>
      <c r="D20" s="1276">
        <v>1286154</v>
      </c>
      <c r="E20" s="1276"/>
      <c r="F20" s="1276">
        <v>1338284</v>
      </c>
      <c r="G20" s="1276"/>
      <c r="H20" s="1276">
        <v>0</v>
      </c>
      <c r="I20" s="1293"/>
      <c r="J20" s="1276">
        <v>0</v>
      </c>
      <c r="K20" s="1293"/>
      <c r="L20" s="1277">
        <v>0</v>
      </c>
      <c r="M20" s="1293"/>
      <c r="N20" s="1277">
        <v>0</v>
      </c>
      <c r="O20" s="1293"/>
      <c r="P20" s="1277">
        <v>0</v>
      </c>
      <c r="Q20" s="1293"/>
      <c r="R20" s="1277">
        <v>0</v>
      </c>
      <c r="S20" s="1293"/>
      <c r="T20" s="1288">
        <f t="shared" si="0"/>
        <v>1286154</v>
      </c>
      <c r="U20" s="1293"/>
      <c r="V20" s="1288">
        <f t="shared" si="1"/>
        <v>1338284</v>
      </c>
      <c r="W20" s="85"/>
      <c r="X20" s="85"/>
      <c r="Y20" s="85"/>
      <c r="Z20" s="85"/>
    </row>
    <row r="21" spans="1:26" s="86" customFormat="1" ht="16" customHeight="1">
      <c r="A21" s="72" t="s">
        <v>51</v>
      </c>
      <c r="B21" s="83"/>
      <c r="C21" s="84" t="s">
        <v>6</v>
      </c>
      <c r="D21" s="1278">
        <f>ROUND(SUM(D16:D20),0)</f>
        <v>55924824</v>
      </c>
      <c r="E21" s="1276"/>
      <c r="F21" s="1278">
        <f>ROUND(SUM(F16:F20),0)</f>
        <v>51657517</v>
      </c>
      <c r="G21" s="1276"/>
      <c r="H21" s="1278">
        <f>ROUND(SUM(H16:H20),0)</f>
        <v>0</v>
      </c>
      <c r="I21" s="1293"/>
      <c r="J21" s="1278">
        <f>ROUND(SUM(J16:J20),0)</f>
        <v>0</v>
      </c>
      <c r="K21" s="1293"/>
      <c r="L21" s="1278">
        <f>ROUND(SUM(L16:L20),0)</f>
        <v>0</v>
      </c>
      <c r="M21" s="1293"/>
      <c r="N21" s="1278">
        <f>ROUND(SUM(N16:N20),0)</f>
        <v>0</v>
      </c>
      <c r="O21" s="1293"/>
      <c r="P21" s="1278">
        <f>ROUND(SUM(P16:P20),0)</f>
        <v>0</v>
      </c>
      <c r="Q21" s="1293"/>
      <c r="R21" s="1278">
        <f>ROUND(SUM(R16:R20),0)</f>
        <v>0</v>
      </c>
      <c r="S21" s="1293"/>
      <c r="T21" s="1294">
        <f>ROUND(SUM(D21)+SUM(H21)+SUM(L21)+SUM(P21),0)</f>
        <v>55924824</v>
      </c>
      <c r="U21" s="1293"/>
      <c r="V21" s="1294">
        <f>ROUND(SUM(V16:V20),0)</f>
        <v>51657517</v>
      </c>
      <c r="W21" s="85"/>
      <c r="X21" s="85"/>
      <c r="Y21" s="85"/>
      <c r="Z21" s="85"/>
    </row>
    <row r="22" spans="1:26" s="86" customFormat="1" ht="16" customHeight="1">
      <c r="A22" s="72" t="s">
        <v>52</v>
      </c>
      <c r="B22" s="83"/>
      <c r="C22" s="84" t="s">
        <v>6</v>
      </c>
      <c r="D22" s="1276">
        <v>-3334700</v>
      </c>
      <c r="E22" s="1276"/>
      <c r="F22" s="1276">
        <v>-3296950</v>
      </c>
      <c r="G22" s="1276"/>
      <c r="H22" s="1276">
        <v>3334700</v>
      </c>
      <c r="I22" s="1293"/>
      <c r="J22" s="1276">
        <v>3296950</v>
      </c>
      <c r="K22" s="1293"/>
      <c r="L22" s="1276">
        <v>0</v>
      </c>
      <c r="M22" s="1293"/>
      <c r="N22" s="1276">
        <v>0</v>
      </c>
      <c r="O22" s="1293"/>
      <c r="P22" s="1276">
        <v>0</v>
      </c>
      <c r="Q22" s="1293"/>
      <c r="R22" s="1276">
        <v>0</v>
      </c>
      <c r="S22" s="1293"/>
      <c r="T22" s="1288">
        <f t="shared" ref="T22:T23" si="2">ROUND(SUM(D22)+SUM(H22)+SUM(L22)+SUM(P22),0)</f>
        <v>0</v>
      </c>
      <c r="U22" s="1293"/>
      <c r="V22" s="1288">
        <f t="shared" ref="V22:V23" si="3">ROUND(SUM(+F22+J22+N22+R22),0)</f>
        <v>0</v>
      </c>
      <c r="W22" s="85"/>
      <c r="X22" s="85"/>
      <c r="Y22" s="85"/>
      <c r="Z22" s="85"/>
    </row>
    <row r="23" spans="1:26" s="86" customFormat="1" ht="16" customHeight="1">
      <c r="A23" s="72" t="s">
        <v>53</v>
      </c>
      <c r="B23" s="83"/>
      <c r="C23" s="84" t="s">
        <v>6</v>
      </c>
      <c r="D23" s="1276">
        <v>-11763821</v>
      </c>
      <c r="E23" s="1276"/>
      <c r="F23" s="1276">
        <v>-10927458</v>
      </c>
      <c r="G23" s="1276"/>
      <c r="H23" s="1276">
        <v>0</v>
      </c>
      <c r="I23" s="1293"/>
      <c r="J23" s="1276">
        <v>0</v>
      </c>
      <c r="K23" s="1293"/>
      <c r="L23" s="1276">
        <v>11763821</v>
      </c>
      <c r="M23" s="1293"/>
      <c r="N23" s="1276">
        <v>10927458</v>
      </c>
      <c r="O23" s="1293"/>
      <c r="P23" s="1276">
        <v>0</v>
      </c>
      <c r="Q23" s="1293"/>
      <c r="R23" s="1276">
        <v>0</v>
      </c>
      <c r="S23" s="1293"/>
      <c r="T23" s="1288">
        <f t="shared" si="2"/>
        <v>0</v>
      </c>
      <c r="U23" s="1293"/>
      <c r="V23" s="1288">
        <f t="shared" si="3"/>
        <v>0</v>
      </c>
      <c r="W23" s="85"/>
      <c r="X23" s="85"/>
    </row>
    <row r="24" spans="1:26" s="86" customFormat="1" ht="16" customHeight="1">
      <c r="A24" s="72" t="s">
        <v>54</v>
      </c>
      <c r="B24" s="83"/>
      <c r="C24" s="84" t="s">
        <v>6</v>
      </c>
      <c r="D24" s="1276">
        <v>-8869541</v>
      </c>
      <c r="E24" s="1276"/>
      <c r="F24" s="1276">
        <v>-7947684</v>
      </c>
      <c r="G24" s="1276"/>
      <c r="H24" s="1276">
        <v>0</v>
      </c>
      <c r="I24" s="1293"/>
      <c r="J24" s="1276">
        <v>0</v>
      </c>
      <c r="K24" s="1293"/>
      <c r="L24" s="1276">
        <v>0</v>
      </c>
      <c r="M24" s="1293"/>
      <c r="N24" s="1276">
        <v>0</v>
      </c>
      <c r="O24" s="1293"/>
      <c r="P24" s="1276">
        <v>0</v>
      </c>
      <c r="Q24" s="1293"/>
      <c r="R24" s="1276">
        <v>0</v>
      </c>
      <c r="S24" s="1293"/>
      <c r="T24" s="1288">
        <f>ROUND(SUM(D24)+SUM(H24)+SUM(L24)+SUM(P24),0)</f>
        <v>-8869541</v>
      </c>
      <c r="U24" s="1293"/>
      <c r="V24" s="1288">
        <f>ROUND(SUM(+F24+J24+N24+R24),0)</f>
        <v>-7947684</v>
      </c>
      <c r="W24" s="85"/>
      <c r="X24" s="85"/>
    </row>
    <row r="25" spans="1:26" ht="16.5" customHeight="1">
      <c r="A25" s="73" t="s">
        <v>55</v>
      </c>
      <c r="B25" s="7"/>
      <c r="C25" s="94" t="s">
        <v>6</v>
      </c>
      <c r="D25" s="2049">
        <f>ROUND(SUM(D21:D24),0)</f>
        <v>31956762</v>
      </c>
      <c r="E25" s="1297"/>
      <c r="F25" s="2049">
        <f>ROUND(SUM(F21:F24),0)</f>
        <v>29485425</v>
      </c>
      <c r="G25" s="1297"/>
      <c r="H25" s="1296">
        <f>ROUND(SUM(H21:H24),0)</f>
        <v>3334700</v>
      </c>
      <c r="I25" s="1298"/>
      <c r="J25" s="1296">
        <f>ROUND(SUM(J21:J24),0)</f>
        <v>3296950</v>
      </c>
      <c r="K25" s="1298"/>
      <c r="L25" s="1296">
        <f>ROUND(SUM(L21:L24),0)</f>
        <v>11763821</v>
      </c>
      <c r="M25" s="1298"/>
      <c r="N25" s="1296">
        <f>ROUND(SUM(N21:N24),0)</f>
        <v>10927458</v>
      </c>
      <c r="O25" s="1298"/>
      <c r="P25" s="1296">
        <f>ROUND(SUM(P21:P24),0)</f>
        <v>0</v>
      </c>
      <c r="Q25" s="1298"/>
      <c r="R25" s="1296">
        <f>ROUND(SUM(R21:R24),0)</f>
        <v>0</v>
      </c>
      <c r="S25" s="1299"/>
      <c r="T25" s="1300">
        <f>ROUND(SUM(D25)+SUM(H25)+SUM(L25)+SUM(P25),0)</f>
        <v>47055283</v>
      </c>
      <c r="U25" s="1299"/>
      <c r="V25" s="1300">
        <f>+ROUND(SUM(V21+V24),0)</f>
        <v>43709833</v>
      </c>
      <c r="W25" s="95"/>
      <c r="X25" s="71"/>
    </row>
    <row r="26" spans="1:26" ht="8" customHeight="1">
      <c r="A26" s="73"/>
      <c r="B26" s="72"/>
      <c r="C26" s="77"/>
      <c r="D26" s="1301"/>
      <c r="E26" s="1276"/>
      <c r="F26" s="1301"/>
      <c r="G26" s="1276"/>
      <c r="H26" s="1301"/>
      <c r="I26" s="1293"/>
      <c r="J26" s="1301"/>
      <c r="K26" s="1293"/>
      <c r="L26" s="1302"/>
      <c r="M26" s="1293"/>
      <c r="N26" s="1302"/>
      <c r="O26" s="1293"/>
      <c r="P26" s="1302"/>
      <c r="Q26" s="1293"/>
      <c r="R26" s="1302"/>
      <c r="S26" s="1288"/>
      <c r="T26" s="1303"/>
      <c r="U26" s="1288"/>
      <c r="V26" s="1303"/>
      <c r="W26" s="71"/>
      <c r="X26" s="71"/>
    </row>
    <row r="27" spans="1:26" ht="16.5" customHeight="1">
      <c r="A27" s="7" t="s">
        <v>56</v>
      </c>
      <c r="B27" s="72"/>
      <c r="C27" s="77"/>
      <c r="D27" s="1276"/>
      <c r="E27" s="1276"/>
      <c r="F27" s="1276"/>
      <c r="G27" s="1276"/>
      <c r="H27" s="1276"/>
      <c r="I27" s="1293"/>
      <c r="J27" s="1276"/>
      <c r="K27" s="1293"/>
      <c r="L27" s="1293"/>
      <c r="M27" s="1293"/>
      <c r="N27" s="1293"/>
      <c r="O27" s="1293"/>
      <c r="P27" s="1293"/>
      <c r="Q27" s="1293"/>
      <c r="R27" s="1293"/>
      <c r="S27" s="1288"/>
      <c r="T27" s="1288"/>
      <c r="U27" s="1288"/>
      <c r="V27" s="1288"/>
      <c r="W27" s="71"/>
      <c r="X27" s="71"/>
    </row>
    <row r="28" spans="1:26" ht="14.25" customHeight="1">
      <c r="A28" s="72" t="s">
        <v>57</v>
      </c>
      <c r="B28" s="72"/>
      <c r="C28" s="77" t="s">
        <v>6</v>
      </c>
      <c r="D28" s="1276">
        <v>6242590</v>
      </c>
      <c r="E28" s="1276"/>
      <c r="F28" s="1276">
        <v>6084312</v>
      </c>
      <c r="G28" s="1276"/>
      <c r="H28" s="1276">
        <v>874211</v>
      </c>
      <c r="I28" s="1293"/>
      <c r="J28" s="1276">
        <v>854208</v>
      </c>
      <c r="K28" s="1293"/>
      <c r="L28" s="1293">
        <v>6242519</v>
      </c>
      <c r="M28" s="1293"/>
      <c r="N28" s="1293">
        <v>6053136</v>
      </c>
      <c r="O28" s="1293"/>
      <c r="P28" s="1276">
        <v>0</v>
      </c>
      <c r="Q28" s="1293"/>
      <c r="R28" s="1276">
        <v>0</v>
      </c>
      <c r="S28" s="1288"/>
      <c r="T28" s="1288">
        <f>ROUND(SUM(D28)+SUM(H28)+SUM(L28)+SUM(P28),0)</f>
        <v>13359320</v>
      </c>
      <c r="U28" s="1288"/>
      <c r="V28" s="1288">
        <f>ROUND(SUM(+F28+J28+N28+R28),0)</f>
        <v>12991656</v>
      </c>
      <c r="W28" s="71"/>
      <c r="X28" s="71"/>
      <c r="Y28" s="71"/>
      <c r="Z28" s="71"/>
    </row>
    <row r="29" spans="1:26" ht="14.25" customHeight="1">
      <c r="A29" s="72" t="s">
        <v>58</v>
      </c>
      <c r="B29" s="72"/>
      <c r="C29" s="77" t="s">
        <v>6</v>
      </c>
      <c r="D29" s="1276">
        <v>0</v>
      </c>
      <c r="E29" s="1276"/>
      <c r="F29" s="1276">
        <v>0</v>
      </c>
      <c r="G29" s="1276"/>
      <c r="H29" s="1276">
        <v>47012</v>
      </c>
      <c r="I29" s="1293"/>
      <c r="J29" s="1276">
        <v>45048</v>
      </c>
      <c r="K29" s="1293"/>
      <c r="L29" s="1276">
        <v>0</v>
      </c>
      <c r="M29" s="1293"/>
      <c r="N29" s="1276">
        <v>0</v>
      </c>
      <c r="O29" s="1293"/>
      <c r="P29" s="1276">
        <v>79064</v>
      </c>
      <c r="Q29" s="1293"/>
      <c r="R29" s="1276">
        <v>74045</v>
      </c>
      <c r="S29" s="1288"/>
      <c r="T29" s="1288">
        <f t="shared" ref="T29:T35" si="4">ROUND(SUM(D29)+SUM(H29)+SUM(L29)+SUM(P29),0)</f>
        <v>126076</v>
      </c>
      <c r="U29" s="1288"/>
      <c r="V29" s="1288">
        <f t="shared" ref="V29:V35" si="5">ROUND(SUM(+F29+J29+N29+R29),0)</f>
        <v>119093</v>
      </c>
      <c r="W29" s="71"/>
      <c r="X29" s="71"/>
      <c r="Y29" s="71"/>
      <c r="Z29" s="71"/>
    </row>
    <row r="30" spans="1:26" ht="14.25" customHeight="1">
      <c r="A30" s="72" t="s">
        <v>59</v>
      </c>
      <c r="B30" s="72"/>
      <c r="C30" s="77" t="s">
        <v>6</v>
      </c>
      <c r="D30" s="1276">
        <v>322233</v>
      </c>
      <c r="E30" s="1276"/>
      <c r="F30" s="1276">
        <v>355372</v>
      </c>
      <c r="G30" s="1276"/>
      <c r="H30" s="1276">
        <v>928379</v>
      </c>
      <c r="I30" s="1293"/>
      <c r="J30" s="1276">
        <v>958386</v>
      </c>
      <c r="K30" s="1293"/>
      <c r="L30" s="1276">
        <v>0</v>
      </c>
      <c r="M30" s="1293"/>
      <c r="N30" s="1276">
        <v>0</v>
      </c>
      <c r="O30" s="1293"/>
      <c r="P30" s="1276">
        <v>0</v>
      </c>
      <c r="Q30" s="1293"/>
      <c r="R30" s="1276">
        <v>0</v>
      </c>
      <c r="S30" s="1288"/>
      <c r="T30" s="1288">
        <f t="shared" si="4"/>
        <v>1250612</v>
      </c>
      <c r="U30" s="1288"/>
      <c r="V30" s="1288">
        <f t="shared" si="5"/>
        <v>1313758</v>
      </c>
      <c r="W30" s="71"/>
      <c r="X30" s="71"/>
      <c r="Y30" s="71"/>
      <c r="Z30" s="99"/>
    </row>
    <row r="31" spans="1:26" ht="14.25" customHeight="1">
      <c r="A31" s="2212" t="s">
        <v>2712</v>
      </c>
      <c r="B31" s="72"/>
      <c r="C31" s="2211" t="s">
        <v>6</v>
      </c>
      <c r="D31" s="1276">
        <v>0</v>
      </c>
      <c r="E31" s="1276"/>
      <c r="F31" s="1276">
        <v>0</v>
      </c>
      <c r="G31" s="1276"/>
      <c r="H31" s="1276">
        <v>11</v>
      </c>
      <c r="I31" s="1293"/>
      <c r="J31" s="1276">
        <v>0</v>
      </c>
      <c r="K31" s="1293"/>
      <c r="L31" s="1276">
        <v>0</v>
      </c>
      <c r="M31" s="1293"/>
      <c r="N31" s="1276">
        <v>0</v>
      </c>
      <c r="O31" s="1293"/>
      <c r="P31" s="1276">
        <v>0</v>
      </c>
      <c r="Q31" s="1293"/>
      <c r="R31" s="1276">
        <v>0</v>
      </c>
      <c r="S31" s="1288"/>
      <c r="T31" s="1288">
        <f t="shared" ref="T31" si="6">ROUND(SUM(D31)+SUM(H31)+SUM(L31)+SUM(P31),0)</f>
        <v>11</v>
      </c>
      <c r="U31" s="1288"/>
      <c r="V31" s="1288">
        <f t="shared" ref="V31" si="7">ROUND(SUM(+F31+J31+N31+R31),0)</f>
        <v>0</v>
      </c>
      <c r="W31" s="71"/>
      <c r="X31" s="71"/>
      <c r="Y31" s="71"/>
      <c r="Z31" s="99"/>
    </row>
    <row r="32" spans="1:26" ht="14.25" customHeight="1">
      <c r="A32" s="100" t="s">
        <v>60</v>
      </c>
      <c r="B32" s="72"/>
      <c r="C32" s="77" t="s">
        <v>6</v>
      </c>
      <c r="D32" s="1276">
        <v>0</v>
      </c>
      <c r="E32" s="1276"/>
      <c r="F32" s="1276">
        <v>0</v>
      </c>
      <c r="G32" s="1276"/>
      <c r="H32" s="1276">
        <v>104993</v>
      </c>
      <c r="I32" s="1293"/>
      <c r="J32" s="1276">
        <v>100880</v>
      </c>
      <c r="K32" s="1293"/>
      <c r="L32" s="1276">
        <v>0</v>
      </c>
      <c r="M32" s="1293"/>
      <c r="N32" s="1276">
        <v>0</v>
      </c>
      <c r="O32" s="1293"/>
      <c r="P32" s="1276">
        <v>398075</v>
      </c>
      <c r="Q32" s="1293"/>
      <c r="R32" s="1276">
        <v>386075</v>
      </c>
      <c r="S32" s="1288"/>
      <c r="T32" s="1288">
        <f t="shared" si="4"/>
        <v>503068</v>
      </c>
      <c r="U32" s="1288"/>
      <c r="V32" s="1288">
        <f t="shared" si="5"/>
        <v>486955</v>
      </c>
      <c r="W32" s="71"/>
      <c r="X32" s="71"/>
      <c r="Y32" s="71"/>
      <c r="Z32" s="99"/>
    </row>
    <row r="33" spans="1:26" ht="14.25" customHeight="1">
      <c r="A33" s="100" t="s">
        <v>61</v>
      </c>
      <c r="B33" s="72"/>
      <c r="C33" s="77" t="s">
        <v>6</v>
      </c>
      <c r="D33" s="1276">
        <v>254548</v>
      </c>
      <c r="E33" s="1276"/>
      <c r="F33" s="1276">
        <v>250859</v>
      </c>
      <c r="G33" s="1276"/>
      <c r="H33" s="1276">
        <v>0</v>
      </c>
      <c r="I33" s="1293"/>
      <c r="J33" s="1276">
        <v>0</v>
      </c>
      <c r="K33" s="1293"/>
      <c r="L33" s="1276">
        <v>0</v>
      </c>
      <c r="M33" s="1293"/>
      <c r="N33" s="1276">
        <v>0</v>
      </c>
      <c r="O33" s="1293"/>
      <c r="P33" s="1276">
        <v>0</v>
      </c>
      <c r="Q33" s="1293"/>
      <c r="R33" s="1276">
        <v>0</v>
      </c>
      <c r="S33" s="1288"/>
      <c r="T33" s="1288">
        <f t="shared" si="4"/>
        <v>254548</v>
      </c>
      <c r="U33" s="1288"/>
      <c r="V33" s="1288">
        <f t="shared" si="5"/>
        <v>250859</v>
      </c>
      <c r="W33" s="71"/>
      <c r="X33" s="71"/>
      <c r="Y33" s="71"/>
      <c r="Z33" s="99"/>
    </row>
    <row r="34" spans="1:26" ht="14.25" customHeight="1">
      <c r="A34" s="72" t="s">
        <v>62</v>
      </c>
      <c r="B34" s="72"/>
      <c r="C34" s="77" t="s">
        <v>6</v>
      </c>
      <c r="D34" s="1276">
        <v>0</v>
      </c>
      <c r="E34" s="1276"/>
      <c r="F34" s="1276">
        <v>0</v>
      </c>
      <c r="G34" s="1276"/>
      <c r="H34" s="1276">
        <v>0</v>
      </c>
      <c r="I34" s="1293"/>
      <c r="J34" s="1276">
        <v>0</v>
      </c>
      <c r="K34" s="1293"/>
      <c r="L34" s="1276">
        <v>0</v>
      </c>
      <c r="M34" s="1293"/>
      <c r="N34" s="1276">
        <v>0</v>
      </c>
      <c r="O34" s="1293"/>
      <c r="P34" s="1276">
        <v>158562</v>
      </c>
      <c r="Q34" s="1293"/>
      <c r="R34" s="1276">
        <v>140400</v>
      </c>
      <c r="S34" s="1288"/>
      <c r="T34" s="1288">
        <f t="shared" si="4"/>
        <v>158562</v>
      </c>
      <c r="U34" s="1288"/>
      <c r="V34" s="1288">
        <f t="shared" si="5"/>
        <v>140400</v>
      </c>
      <c r="W34" s="71"/>
      <c r="X34" s="71"/>
      <c r="Y34" s="71"/>
      <c r="Z34" s="99"/>
    </row>
    <row r="35" spans="1:26" ht="14.25" customHeight="1">
      <c r="A35" s="72" t="s">
        <v>63</v>
      </c>
      <c r="B35" s="72"/>
      <c r="C35" s="77" t="s">
        <v>6</v>
      </c>
      <c r="D35" s="1276">
        <v>0</v>
      </c>
      <c r="E35" s="1276"/>
      <c r="F35" s="1276">
        <v>0</v>
      </c>
      <c r="G35" s="1276"/>
      <c r="H35" s="1276">
        <v>73146</v>
      </c>
      <c r="I35" s="1293"/>
      <c r="J35" s="1276">
        <v>82263</v>
      </c>
      <c r="K35" s="1293"/>
      <c r="L35" s="1276">
        <v>0</v>
      </c>
      <c r="M35" s="1293"/>
      <c r="N35" s="1276">
        <v>0</v>
      </c>
      <c r="O35" s="1293"/>
      <c r="P35" s="1276">
        <v>0</v>
      </c>
      <c r="Q35" s="1293"/>
      <c r="R35" s="1276">
        <v>0</v>
      </c>
      <c r="S35" s="1288"/>
      <c r="T35" s="1288">
        <f t="shared" si="4"/>
        <v>73146</v>
      </c>
      <c r="U35" s="1288"/>
      <c r="V35" s="1288">
        <f t="shared" si="5"/>
        <v>82263</v>
      </c>
      <c r="W35" s="71"/>
      <c r="X35" s="71"/>
      <c r="Y35" s="71"/>
      <c r="Z35" s="99"/>
    </row>
    <row r="36" spans="1:26" ht="18" customHeight="1">
      <c r="A36" s="73" t="s">
        <v>64</v>
      </c>
      <c r="B36" s="73"/>
      <c r="C36" s="77" t="s">
        <v>6</v>
      </c>
      <c r="D36" s="1304">
        <f>ROUND(SUM(D28:D35),0)</f>
        <v>6819371</v>
      </c>
      <c r="E36" s="1305"/>
      <c r="F36" s="1304">
        <f>ROUND(SUM(F28:F35),0)</f>
        <v>6690543</v>
      </c>
      <c r="G36" s="1305"/>
      <c r="H36" s="1304">
        <f>ROUND(SUM(H28:H35),0)</f>
        <v>2027752</v>
      </c>
      <c r="I36" s="1306"/>
      <c r="J36" s="1304">
        <f>ROUND(SUM(J28:J35),0)</f>
        <v>2040785</v>
      </c>
      <c r="K36" s="1306"/>
      <c r="L36" s="1304">
        <f>ROUND(SUM(L28:L35),0)</f>
        <v>6242519</v>
      </c>
      <c r="M36" s="1306"/>
      <c r="N36" s="1304">
        <f>ROUND(SUM(N28:N35),0)</f>
        <v>6053136</v>
      </c>
      <c r="O36" s="1306"/>
      <c r="P36" s="1304">
        <f>ROUND(SUM(P28:P35),0)</f>
        <v>635701</v>
      </c>
      <c r="Q36" s="1306"/>
      <c r="R36" s="1304">
        <f>ROUND(SUM(R28:R35),0)</f>
        <v>600520</v>
      </c>
      <c r="S36" s="1307"/>
      <c r="T36" s="1308">
        <f>ROUND(SUM(T28:T35),0)</f>
        <v>15725343</v>
      </c>
      <c r="U36" s="1307"/>
      <c r="V36" s="1308">
        <f>ROUND(SUM(V28:V35),0)</f>
        <v>15384984</v>
      </c>
      <c r="W36" s="71"/>
      <c r="X36" s="71"/>
      <c r="Y36" s="71"/>
      <c r="Z36" s="99"/>
    </row>
    <row r="37" spans="1:26" ht="8" customHeight="1">
      <c r="A37" s="72"/>
      <c r="B37" s="72"/>
      <c r="C37" s="77"/>
      <c r="D37" s="1301"/>
      <c r="E37" s="1276"/>
      <c r="F37" s="1301"/>
      <c r="G37" s="1276"/>
      <c r="H37" s="1301"/>
      <c r="I37" s="1293"/>
      <c r="J37" s="1301"/>
      <c r="K37" s="1293"/>
      <c r="L37" s="1302"/>
      <c r="M37" s="1293"/>
      <c r="N37" s="1302"/>
      <c r="O37" s="1293"/>
      <c r="P37" s="1302"/>
      <c r="Q37" s="1293"/>
      <c r="R37" s="1302"/>
      <c r="S37" s="1288"/>
      <c r="T37" s="1303"/>
      <c r="U37" s="1288"/>
      <c r="V37" s="1303"/>
      <c r="W37" s="71"/>
      <c r="X37" s="71"/>
      <c r="Y37" s="71"/>
      <c r="Z37" s="71"/>
    </row>
    <row r="38" spans="1:26" ht="16.5" customHeight="1">
      <c r="A38" s="7" t="s">
        <v>65</v>
      </c>
      <c r="B38" s="72"/>
      <c r="C38" s="77"/>
      <c r="D38" s="1276"/>
      <c r="E38" s="1276"/>
      <c r="F38" s="1276"/>
      <c r="G38" s="1276"/>
      <c r="H38" s="1276"/>
      <c r="I38" s="1293"/>
      <c r="J38" s="1276"/>
      <c r="K38" s="1293"/>
      <c r="L38" s="1293"/>
      <c r="M38" s="1293"/>
      <c r="N38" s="1293"/>
      <c r="O38" s="1293"/>
      <c r="P38" s="1293"/>
      <c r="Q38" s="1293"/>
      <c r="R38" s="1293"/>
      <c r="S38" s="1288"/>
      <c r="T38" s="1288"/>
      <c r="U38" s="1288"/>
      <c r="V38" s="1288"/>
      <c r="W38" s="71"/>
      <c r="X38" s="71"/>
      <c r="Y38" s="71"/>
      <c r="Z38" s="71"/>
    </row>
    <row r="39" spans="1:26" ht="14.25" customHeight="1">
      <c r="A39" s="72" t="s">
        <v>66</v>
      </c>
      <c r="B39" s="72"/>
      <c r="C39" s="77" t="s">
        <v>6</v>
      </c>
      <c r="D39" s="1276">
        <v>3762975</v>
      </c>
      <c r="E39" s="1276"/>
      <c r="F39" s="1276">
        <v>2989984</v>
      </c>
      <c r="G39" s="1276"/>
      <c r="H39" s="1276">
        <v>764344</v>
      </c>
      <c r="I39" s="1293"/>
      <c r="J39" s="1276">
        <v>558008</v>
      </c>
      <c r="K39" s="1293"/>
      <c r="L39" s="1276">
        <v>0</v>
      </c>
      <c r="M39" s="1293"/>
      <c r="N39" s="1276">
        <v>0</v>
      </c>
      <c r="O39" s="1293"/>
      <c r="P39" s="1276">
        <v>0</v>
      </c>
      <c r="Q39" s="1293"/>
      <c r="R39" s="1276">
        <v>0</v>
      </c>
      <c r="S39" s="1288"/>
      <c r="T39" s="1288">
        <f>ROUND(SUM(D39)+SUM(H39)+SUM(L39)+SUM(P39),0)</f>
        <v>4527319</v>
      </c>
      <c r="U39" s="1288"/>
      <c r="V39" s="1288">
        <f>ROUND(SUM(+F39+J39+N39+R39),0)</f>
        <v>3547992</v>
      </c>
      <c r="W39" s="71"/>
      <c r="X39" s="71"/>
      <c r="Y39" s="71"/>
      <c r="Z39" s="71"/>
    </row>
    <row r="40" spans="1:26" ht="14.25" customHeight="1">
      <c r="A40" s="100" t="s">
        <v>67</v>
      </c>
      <c r="B40" s="72"/>
      <c r="C40" s="77" t="s">
        <v>6</v>
      </c>
      <c r="D40" s="1276">
        <v>593850</v>
      </c>
      <c r="E40" s="1276"/>
      <c r="F40" s="1276">
        <v>576468</v>
      </c>
      <c r="G40" s="1276"/>
      <c r="H40" s="1276">
        <v>165427</v>
      </c>
      <c r="I40" s="1293"/>
      <c r="J40" s="1276">
        <v>141314</v>
      </c>
      <c r="K40" s="1293"/>
      <c r="L40" s="1276">
        <v>0</v>
      </c>
      <c r="M40" s="1293"/>
      <c r="N40" s="1276">
        <v>0</v>
      </c>
      <c r="O40" s="1293"/>
      <c r="P40" s="1293">
        <v>14575</v>
      </c>
      <c r="Q40" s="1293"/>
      <c r="R40" s="1293">
        <v>9512</v>
      </c>
      <c r="S40" s="1288"/>
      <c r="T40" s="1288">
        <f t="shared" ref="T40:T44" si="8">ROUND(SUM(D40)+SUM(H40)+SUM(L40)+SUM(P40),0)</f>
        <v>773852</v>
      </c>
      <c r="U40" s="1288"/>
      <c r="V40" s="1288">
        <f t="shared" ref="V40:V44" si="9">ROUND(SUM(+F40+J40+N40+R40),0)</f>
        <v>727294</v>
      </c>
      <c r="W40" s="71"/>
      <c r="X40" s="71"/>
      <c r="Y40" s="71"/>
      <c r="Z40" s="71"/>
    </row>
    <row r="41" spans="1:26" ht="14.25" customHeight="1">
      <c r="A41" s="72" t="s">
        <v>68</v>
      </c>
      <c r="B41" s="72"/>
      <c r="C41" s="77" t="s">
        <v>6</v>
      </c>
      <c r="D41" s="1276">
        <v>1419437</v>
      </c>
      <c r="E41" s="1276"/>
      <c r="F41" s="1276">
        <v>1374977</v>
      </c>
      <c r="G41" s="1276"/>
      <c r="H41" s="1276">
        <v>160634</v>
      </c>
      <c r="I41" s="1293"/>
      <c r="J41" s="1276">
        <v>157855</v>
      </c>
      <c r="K41" s="1293"/>
      <c r="L41" s="1276">
        <v>0</v>
      </c>
      <c r="M41" s="1293"/>
      <c r="N41" s="1276">
        <v>0</v>
      </c>
      <c r="O41" s="1293"/>
      <c r="P41" s="1276">
        <v>0</v>
      </c>
      <c r="Q41" s="1293"/>
      <c r="R41" s="1276">
        <v>0</v>
      </c>
      <c r="S41" s="1288"/>
      <c r="T41" s="1288">
        <f t="shared" si="8"/>
        <v>1580071</v>
      </c>
      <c r="U41" s="1288"/>
      <c r="V41" s="1288">
        <f t="shared" si="9"/>
        <v>1532832</v>
      </c>
      <c r="W41" s="71"/>
      <c r="X41" s="71"/>
      <c r="Y41" s="71"/>
      <c r="Z41" s="71"/>
    </row>
    <row r="42" spans="1:26" ht="15" customHeight="1">
      <c r="A42" s="103" t="s">
        <v>69</v>
      </c>
      <c r="B42" s="72"/>
      <c r="C42" s="77" t="s">
        <v>6</v>
      </c>
      <c r="D42" s="1276">
        <v>-128954</v>
      </c>
      <c r="E42" s="1276"/>
      <c r="F42" s="1276">
        <v>1323377</v>
      </c>
      <c r="G42" s="1276"/>
      <c r="H42" s="1276">
        <v>7604</v>
      </c>
      <c r="I42" s="1293"/>
      <c r="J42" s="1276">
        <v>212817</v>
      </c>
      <c r="K42" s="1293"/>
      <c r="L42" s="1276">
        <v>0</v>
      </c>
      <c r="M42" s="1293"/>
      <c r="N42" s="1276">
        <v>0</v>
      </c>
      <c r="O42" s="1293"/>
      <c r="P42" s="1276">
        <v>0</v>
      </c>
      <c r="Q42" s="1293"/>
      <c r="R42" s="1276">
        <v>0</v>
      </c>
      <c r="S42" s="1288"/>
      <c r="T42" s="1288">
        <f t="shared" si="8"/>
        <v>-121350</v>
      </c>
      <c r="U42" s="1288"/>
      <c r="V42" s="1288">
        <f t="shared" si="9"/>
        <v>1536194</v>
      </c>
      <c r="W42" s="71"/>
      <c r="X42" s="71"/>
      <c r="Y42" s="71"/>
      <c r="Z42" s="71"/>
    </row>
    <row r="43" spans="1:26" ht="15" customHeight="1">
      <c r="A43" s="104" t="s">
        <v>70</v>
      </c>
      <c r="B43" s="72"/>
      <c r="C43" s="105" t="s">
        <v>6</v>
      </c>
      <c r="D43" s="1276">
        <v>0</v>
      </c>
      <c r="E43" s="1276"/>
      <c r="F43" s="1276">
        <v>0</v>
      </c>
      <c r="G43" s="1276"/>
      <c r="H43" s="1276">
        <v>498947</v>
      </c>
      <c r="I43" s="1293"/>
      <c r="J43" s="1276">
        <v>514576</v>
      </c>
      <c r="K43" s="1293"/>
      <c r="L43" s="1276">
        <v>0</v>
      </c>
      <c r="M43" s="1293"/>
      <c r="N43" s="1276">
        <v>0</v>
      </c>
      <c r="O43" s="1293"/>
      <c r="P43" s="1293">
        <v>624904</v>
      </c>
      <c r="Q43" s="1293"/>
      <c r="R43" s="1293">
        <v>643756</v>
      </c>
      <c r="S43" s="1288"/>
      <c r="T43" s="1288">
        <f t="shared" si="8"/>
        <v>1123851</v>
      </c>
      <c r="U43" s="1288"/>
      <c r="V43" s="1288">
        <f t="shared" si="9"/>
        <v>1158332</v>
      </c>
      <c r="W43" s="71"/>
      <c r="X43" s="71"/>
      <c r="Y43" s="71"/>
      <c r="Z43" s="71"/>
    </row>
    <row r="44" spans="1:26" ht="14.25" customHeight="1">
      <c r="A44" s="72" t="s">
        <v>71</v>
      </c>
      <c r="B44" s="72"/>
      <c r="C44" s="77" t="s">
        <v>6</v>
      </c>
      <c r="D44" s="1276">
        <v>0</v>
      </c>
      <c r="E44" s="1276"/>
      <c r="F44" s="1276">
        <v>1</v>
      </c>
      <c r="G44" s="1276"/>
      <c r="H44" s="1276">
        <v>0</v>
      </c>
      <c r="I44" s="1293"/>
      <c r="J44" s="1276">
        <v>0</v>
      </c>
      <c r="K44" s="1293"/>
      <c r="L44" s="1277">
        <v>0</v>
      </c>
      <c r="M44" s="1293"/>
      <c r="N44" s="1277">
        <v>0</v>
      </c>
      <c r="O44" s="1293"/>
      <c r="P44" s="1276">
        <v>0</v>
      </c>
      <c r="Q44" s="1293"/>
      <c r="R44" s="1276">
        <v>0</v>
      </c>
      <c r="S44" s="1288"/>
      <c r="T44" s="1288">
        <f t="shared" si="8"/>
        <v>0</v>
      </c>
      <c r="U44" s="1288"/>
      <c r="V44" s="1288">
        <f t="shared" si="9"/>
        <v>1</v>
      </c>
      <c r="W44" s="71"/>
      <c r="X44" s="71"/>
      <c r="Y44" s="71"/>
      <c r="Z44" s="71"/>
    </row>
    <row r="45" spans="1:26" ht="18" customHeight="1">
      <c r="A45" s="73" t="s">
        <v>72</v>
      </c>
      <c r="B45" s="73"/>
      <c r="C45" s="77" t="s">
        <v>6</v>
      </c>
      <c r="D45" s="1304">
        <f>ROUND(SUM(D39:D44),0)</f>
        <v>5647308</v>
      </c>
      <c r="E45" s="1305"/>
      <c r="F45" s="1304">
        <f>ROUND(SUM(F39:F44),0)</f>
        <v>6264807</v>
      </c>
      <c r="G45" s="1305"/>
      <c r="H45" s="1304">
        <f>ROUND(SUM(H39:H44),0)</f>
        <v>1596956</v>
      </c>
      <c r="I45" s="1306"/>
      <c r="J45" s="1304">
        <f>ROUND(SUM(J39:J44),0)</f>
        <v>1584570</v>
      </c>
      <c r="K45" s="1306"/>
      <c r="L45" s="1304">
        <f>ROUND(SUM(L39:L44),0)</f>
        <v>0</v>
      </c>
      <c r="M45" s="1306"/>
      <c r="N45" s="1304">
        <f>ROUND(SUM(N39:N44),0)</f>
        <v>0</v>
      </c>
      <c r="O45" s="1306"/>
      <c r="P45" s="1304">
        <f>ROUND(SUM(P39:P44),0)</f>
        <v>639479</v>
      </c>
      <c r="Q45" s="1306"/>
      <c r="R45" s="1304">
        <f>ROUND(SUM(R39:R44),0)</f>
        <v>653268</v>
      </c>
      <c r="S45" s="1307"/>
      <c r="T45" s="1308">
        <f>ROUND(SUM(T39:T44),0)</f>
        <v>7883743</v>
      </c>
      <c r="U45" s="1307"/>
      <c r="V45" s="1308">
        <f>ROUND(SUM(V39:V44),0)</f>
        <v>8502645</v>
      </c>
      <c r="W45" s="71"/>
      <c r="X45" s="71"/>
      <c r="Y45" s="71"/>
      <c r="Z45" s="71"/>
    </row>
    <row r="46" spans="1:26" ht="8" customHeight="1">
      <c r="A46" s="72"/>
      <c r="B46" s="72"/>
      <c r="C46" s="77"/>
      <c r="D46" s="1301"/>
      <c r="E46" s="1276"/>
      <c r="F46" s="1301"/>
      <c r="G46" s="1276"/>
      <c r="H46" s="1301"/>
      <c r="I46" s="1293"/>
      <c r="J46" s="1301"/>
      <c r="K46" s="1293"/>
      <c r="L46" s="1302"/>
      <c r="M46" s="1293"/>
      <c r="N46" s="1302"/>
      <c r="O46" s="1293"/>
      <c r="P46" s="1302"/>
      <c r="Q46" s="1293"/>
      <c r="R46" s="1302"/>
      <c r="S46" s="1288"/>
      <c r="T46" s="1303"/>
      <c r="U46" s="1288"/>
      <c r="V46" s="1303"/>
      <c r="W46" s="71"/>
      <c r="X46" s="71"/>
      <c r="Y46" s="71"/>
      <c r="Z46" s="71"/>
    </row>
    <row r="47" spans="1:26" ht="16.5" customHeight="1">
      <c r="A47" s="7" t="s">
        <v>73</v>
      </c>
      <c r="B47" s="72"/>
      <c r="C47" s="77"/>
      <c r="D47" s="1276"/>
      <c r="E47" s="1276"/>
      <c r="F47" s="1276"/>
      <c r="G47" s="1276"/>
      <c r="H47" s="1276"/>
      <c r="I47" s="1293"/>
      <c r="J47" s="1276"/>
      <c r="K47" s="1293"/>
      <c r="L47" s="1293"/>
      <c r="M47" s="1293"/>
      <c r="N47" s="1293"/>
      <c r="O47" s="1293"/>
      <c r="P47" s="1293"/>
      <c r="Q47" s="1293"/>
      <c r="R47" s="1293"/>
      <c r="S47" s="1288"/>
      <c r="T47" s="1288"/>
      <c r="U47" s="1288"/>
      <c r="V47" s="1288"/>
      <c r="W47" s="71"/>
      <c r="X47" s="71"/>
      <c r="Y47" s="71"/>
      <c r="Z47" s="71"/>
    </row>
    <row r="48" spans="1:26" ht="14.25" customHeight="1">
      <c r="A48" s="100" t="s">
        <v>74</v>
      </c>
      <c r="B48" s="72"/>
      <c r="C48" s="77" t="s">
        <v>6</v>
      </c>
      <c r="D48" s="1276">
        <v>10</v>
      </c>
      <c r="E48" s="1276"/>
      <c r="F48" s="1276">
        <v>39</v>
      </c>
      <c r="G48" s="1276"/>
      <c r="H48" s="1276">
        <v>0</v>
      </c>
      <c r="I48" s="1293"/>
      <c r="J48" s="1276">
        <v>0</v>
      </c>
      <c r="K48" s="1293"/>
      <c r="L48" s="1276">
        <v>0</v>
      </c>
      <c r="M48" s="1293"/>
      <c r="N48" s="1276">
        <v>0</v>
      </c>
      <c r="O48" s="1293"/>
      <c r="P48" s="1276">
        <v>0</v>
      </c>
      <c r="Q48" s="1293"/>
      <c r="R48" s="1276">
        <v>0</v>
      </c>
      <c r="S48" s="1288"/>
      <c r="T48" s="1288">
        <f>ROUND(SUM(D48)+SUM(H48)+SUM(L48)+SUM(P48),0)</f>
        <v>10</v>
      </c>
      <c r="U48" s="1288"/>
      <c r="V48" s="1288">
        <f>ROUND(SUM(+F48+J48+N48+R48),0)</f>
        <v>39</v>
      </c>
      <c r="W48" s="71"/>
      <c r="X48" s="71"/>
      <c r="Y48" s="71"/>
      <c r="Z48" s="71"/>
    </row>
    <row r="49" spans="1:26" ht="15" customHeight="1">
      <c r="A49" s="72" t="s">
        <v>75</v>
      </c>
      <c r="B49" s="72"/>
      <c r="C49" s="77" t="s">
        <v>6</v>
      </c>
      <c r="D49" s="1276">
        <v>1520792</v>
      </c>
      <c r="E49" s="1276"/>
      <c r="F49" s="1276">
        <v>1108530</v>
      </c>
      <c r="G49" s="1276"/>
      <c r="H49" s="1276">
        <v>0</v>
      </c>
      <c r="I49" s="1293"/>
      <c r="J49" s="1276">
        <v>0</v>
      </c>
      <c r="K49" s="1293"/>
      <c r="L49" s="1276">
        <v>0</v>
      </c>
      <c r="M49" s="1293"/>
      <c r="N49" s="1276">
        <v>0</v>
      </c>
      <c r="O49" s="1293"/>
      <c r="P49" s="1276">
        <v>0</v>
      </c>
      <c r="Q49" s="1293"/>
      <c r="R49" s="1276">
        <v>0</v>
      </c>
      <c r="S49" s="1288"/>
      <c r="T49" s="1288">
        <f t="shared" ref="T49:T53" si="10">ROUND(SUM(D49)+SUM(H49)+SUM(L49)+SUM(P49),0)</f>
        <v>1520792</v>
      </c>
      <c r="U49" s="1288"/>
      <c r="V49" s="1288">
        <f t="shared" ref="V49:V53" si="11">ROUND(SUM(+F49+J49+N49+R49),0)</f>
        <v>1108530</v>
      </c>
      <c r="W49" s="71"/>
      <c r="X49" s="71"/>
      <c r="Y49" s="71"/>
      <c r="Z49" s="71"/>
    </row>
    <row r="50" spans="1:26" ht="15" customHeight="1">
      <c r="A50" s="72" t="s">
        <v>76</v>
      </c>
      <c r="B50" s="72"/>
      <c r="C50" s="77" t="s">
        <v>6</v>
      </c>
      <c r="D50" s="1276">
        <v>17182</v>
      </c>
      <c r="E50" s="1293"/>
      <c r="F50" s="1276">
        <v>18038</v>
      </c>
      <c r="G50" s="1293"/>
      <c r="H50" s="1276">
        <v>0</v>
      </c>
      <c r="I50" s="1293"/>
      <c r="J50" s="1276">
        <v>0</v>
      </c>
      <c r="K50" s="1293"/>
      <c r="L50" s="1276">
        <v>0</v>
      </c>
      <c r="M50" s="1293"/>
      <c r="N50" s="1276">
        <v>0</v>
      </c>
      <c r="O50" s="1293"/>
      <c r="P50" s="1276">
        <v>0</v>
      </c>
      <c r="Q50" s="1293"/>
      <c r="R50" s="1276">
        <v>0</v>
      </c>
      <c r="S50" s="1288"/>
      <c r="T50" s="1288">
        <f t="shared" si="10"/>
        <v>17182</v>
      </c>
      <c r="U50" s="1288"/>
      <c r="V50" s="1288">
        <f t="shared" si="11"/>
        <v>18038</v>
      </c>
      <c r="W50" s="71"/>
      <c r="X50" s="71"/>
      <c r="Y50" s="71"/>
      <c r="Z50" s="71"/>
    </row>
    <row r="51" spans="1:26" ht="14.25" customHeight="1">
      <c r="A51" s="72" t="s">
        <v>77</v>
      </c>
      <c r="B51" s="72"/>
      <c r="C51" s="77" t="s">
        <v>6</v>
      </c>
      <c r="D51" s="1276">
        <v>0</v>
      </c>
      <c r="E51" s="1293"/>
      <c r="F51" s="1276">
        <v>0</v>
      </c>
      <c r="G51" s="1293"/>
      <c r="H51" s="1276">
        <v>0</v>
      </c>
      <c r="I51" s="1293"/>
      <c r="J51" s="1276">
        <v>0</v>
      </c>
      <c r="K51" s="1293"/>
      <c r="L51" s="1293">
        <v>1043960</v>
      </c>
      <c r="M51" s="1293"/>
      <c r="N51" s="1293">
        <v>918780</v>
      </c>
      <c r="O51" s="1293"/>
      <c r="P51" s="1293">
        <v>119100</v>
      </c>
      <c r="Q51" s="1293"/>
      <c r="R51" s="1293">
        <v>119100</v>
      </c>
      <c r="S51" s="1288"/>
      <c r="T51" s="1288">
        <f t="shared" si="10"/>
        <v>1163060</v>
      </c>
      <c r="U51" s="1288"/>
      <c r="V51" s="1288">
        <f t="shared" si="11"/>
        <v>1037880</v>
      </c>
      <c r="W51" s="71"/>
      <c r="X51" s="71"/>
      <c r="Y51" s="71"/>
      <c r="Z51" s="71"/>
    </row>
    <row r="52" spans="1:26" ht="14.25" customHeight="1">
      <c r="A52" s="103" t="s">
        <v>2526</v>
      </c>
      <c r="B52" s="72"/>
      <c r="C52" s="77" t="s">
        <v>6</v>
      </c>
      <c r="D52" s="1276">
        <v>1425</v>
      </c>
      <c r="E52" s="1293"/>
      <c r="F52" s="1276">
        <v>1128</v>
      </c>
      <c r="G52" s="1293"/>
      <c r="H52" s="1276">
        <v>0</v>
      </c>
      <c r="I52" s="1293"/>
      <c r="J52" s="1276">
        <v>0</v>
      </c>
      <c r="K52" s="1293"/>
      <c r="L52" s="1276">
        <v>0</v>
      </c>
      <c r="M52" s="1293"/>
      <c r="N52" s="1276">
        <v>0</v>
      </c>
      <c r="O52" s="1293"/>
      <c r="P52" s="1276">
        <v>0</v>
      </c>
      <c r="Q52" s="1293"/>
      <c r="R52" s="1276">
        <v>0</v>
      </c>
      <c r="S52" s="1288"/>
      <c r="T52" s="1288">
        <f t="shared" si="10"/>
        <v>1425</v>
      </c>
      <c r="U52" s="1288"/>
      <c r="V52" s="1288">
        <f t="shared" si="11"/>
        <v>1128</v>
      </c>
      <c r="W52" s="71"/>
      <c r="X52" s="71"/>
      <c r="Y52" s="71"/>
      <c r="Z52" s="71"/>
    </row>
    <row r="53" spans="1:26" ht="14.25" customHeight="1">
      <c r="A53" s="72" t="s">
        <v>78</v>
      </c>
      <c r="B53" s="72"/>
      <c r="C53" s="77" t="s">
        <v>6</v>
      </c>
      <c r="D53" s="1276">
        <v>0</v>
      </c>
      <c r="E53" s="1293"/>
      <c r="F53" s="1276">
        <v>0</v>
      </c>
      <c r="G53" s="1293"/>
      <c r="H53" s="1276">
        <v>1306235</v>
      </c>
      <c r="I53" s="1293"/>
      <c r="J53" s="1276">
        <v>1271303</v>
      </c>
      <c r="K53" s="1293"/>
      <c r="L53" s="1276">
        <v>0</v>
      </c>
      <c r="M53" s="1293"/>
      <c r="N53" s="1276">
        <v>0</v>
      </c>
      <c r="O53" s="1293"/>
      <c r="P53" s="1276">
        <v>0</v>
      </c>
      <c r="Q53" s="1293"/>
      <c r="R53" s="1276">
        <v>0</v>
      </c>
      <c r="S53" s="1288"/>
      <c r="T53" s="1288">
        <f t="shared" si="10"/>
        <v>1306235</v>
      </c>
      <c r="U53" s="1288"/>
      <c r="V53" s="1288">
        <f t="shared" si="11"/>
        <v>1271303</v>
      </c>
      <c r="W53" s="71"/>
      <c r="X53" s="71"/>
      <c r="Y53" s="71"/>
      <c r="Z53" s="71"/>
    </row>
    <row r="54" spans="1:26" ht="16" customHeight="1">
      <c r="A54" s="73" t="s">
        <v>79</v>
      </c>
      <c r="B54" s="73"/>
      <c r="C54" s="77" t="s">
        <v>6</v>
      </c>
      <c r="D54" s="1309">
        <f>ROUND(SUM(D48:D53),0)</f>
        <v>1539409</v>
      </c>
      <c r="E54" s="1306"/>
      <c r="F54" s="1309">
        <f>ROUND(SUM(F48:F53),0)</f>
        <v>1127735</v>
      </c>
      <c r="G54" s="1306"/>
      <c r="H54" s="1309">
        <f>ROUND(SUM(H48:H53),0)</f>
        <v>1306235</v>
      </c>
      <c r="I54" s="1306"/>
      <c r="J54" s="1309">
        <f>ROUND(SUM(J48:J53),0)</f>
        <v>1271303</v>
      </c>
      <c r="K54" s="1306"/>
      <c r="L54" s="1309">
        <f>ROUND(SUM(L48:L53),0)</f>
        <v>1043960</v>
      </c>
      <c r="M54" s="1306"/>
      <c r="N54" s="1309">
        <f>ROUND(SUM(N48:N53),0)</f>
        <v>918780</v>
      </c>
      <c r="O54" s="1306"/>
      <c r="P54" s="1309">
        <f>ROUND(SUM(P48:P53),0)</f>
        <v>119100</v>
      </c>
      <c r="Q54" s="1306"/>
      <c r="R54" s="1309">
        <f>ROUND(SUM(R48:R53),0)</f>
        <v>119100</v>
      </c>
      <c r="S54" s="1307"/>
      <c r="T54" s="1310">
        <f>ROUND(SUM(T48:T53),0)</f>
        <v>4008704</v>
      </c>
      <c r="U54" s="1307"/>
      <c r="V54" s="1310">
        <f>ROUND(SUM(V48:V53),0)</f>
        <v>3436918</v>
      </c>
      <c r="W54" s="71"/>
      <c r="X54" s="71"/>
      <c r="Y54" s="71"/>
      <c r="Z54" s="71"/>
    </row>
    <row r="55" spans="1:26" ht="16" customHeight="1">
      <c r="A55" s="73"/>
      <c r="B55" s="73"/>
      <c r="C55" s="77"/>
      <c r="D55" s="1306"/>
      <c r="E55" s="1306"/>
      <c r="F55" s="1306"/>
      <c r="G55" s="1306"/>
      <c r="H55" s="1306"/>
      <c r="I55" s="1306"/>
      <c r="J55" s="1306"/>
      <c r="K55" s="1306"/>
      <c r="L55" s="1306"/>
      <c r="M55" s="1306"/>
      <c r="N55" s="1306"/>
      <c r="O55" s="1306"/>
      <c r="P55" s="1306"/>
      <c r="Q55" s="1306"/>
      <c r="R55" s="1306"/>
      <c r="S55" s="1307"/>
      <c r="T55" s="1307"/>
      <c r="U55" s="1307"/>
      <c r="V55" s="1307"/>
      <c r="W55" s="71"/>
      <c r="X55" s="71"/>
      <c r="Y55" s="71"/>
      <c r="Z55" s="71"/>
    </row>
    <row r="56" spans="1:26" ht="18" customHeight="1">
      <c r="A56" s="7" t="s">
        <v>80</v>
      </c>
      <c r="B56" s="73"/>
      <c r="C56" s="80" t="s">
        <v>6</v>
      </c>
      <c r="D56" s="1311">
        <f>ROUND(SUM(D25)+SUM(D36)+SUM(D45)+SUM(D54),0)</f>
        <v>45962850</v>
      </c>
      <c r="E56" s="1311"/>
      <c r="F56" s="1311">
        <f>ROUND(SUM(F25)+SUM(F36)+SUM(F45)+SUM(F54),0)</f>
        <v>43568510</v>
      </c>
      <c r="G56" s="1311"/>
      <c r="H56" s="1311">
        <f>ROUND(SUM(H25)+SUM(H36)+SUM(H45)+SUM(H54),0)</f>
        <v>8265643</v>
      </c>
      <c r="I56" s="1311"/>
      <c r="J56" s="1311">
        <f>ROUND(SUM(J25)+SUM(J36)+SUM(J45)+SUM(J54),0)</f>
        <v>8193608</v>
      </c>
      <c r="K56" s="1311"/>
      <c r="L56" s="1311">
        <f>ROUND(SUM(L25)+SUM(L36)+SUM(L45)+SUM(L54),0)</f>
        <v>19050300</v>
      </c>
      <c r="M56" s="1311"/>
      <c r="N56" s="1311">
        <f>ROUND(SUM(N25)+SUM(N36)+SUM(N45)+SUM(N54),0)</f>
        <v>17899374</v>
      </c>
      <c r="O56" s="1311"/>
      <c r="P56" s="1311">
        <f>ROUND(SUM(P25)+SUM(P36)+SUM(P45)+SUM(P54),0)</f>
        <v>1394280</v>
      </c>
      <c r="Q56" s="1311"/>
      <c r="R56" s="1311">
        <f>ROUND(SUM(R25)+SUM(R36)+SUM(R45)+SUM(R54),0)</f>
        <v>1372888</v>
      </c>
      <c r="S56" s="1312"/>
      <c r="T56" s="1312">
        <f>ROUND(SUM(D56+H56+L56+P56),0)</f>
        <v>74673073</v>
      </c>
      <c r="U56" s="1312"/>
      <c r="V56" s="1312">
        <f>ROUND(SUM(+V54+V45+V36+V25),0)</f>
        <v>71034380</v>
      </c>
      <c r="W56" s="71"/>
      <c r="X56" s="71"/>
      <c r="Y56" s="71"/>
      <c r="Z56" s="71"/>
    </row>
    <row r="57" spans="1:26" ht="8" customHeight="1">
      <c r="A57" s="72"/>
      <c r="B57" s="72"/>
      <c r="C57" s="77"/>
      <c r="D57" s="1302"/>
      <c r="E57" s="1293"/>
      <c r="F57" s="1302"/>
      <c r="G57" s="1293"/>
      <c r="H57" s="1302"/>
      <c r="I57" s="1293"/>
      <c r="J57" s="1302"/>
      <c r="K57" s="1293"/>
      <c r="L57" s="1302"/>
      <c r="M57" s="1293"/>
      <c r="N57" s="1302"/>
      <c r="O57" s="1293"/>
      <c r="P57" s="1302"/>
      <c r="Q57" s="1293"/>
      <c r="R57" s="1302"/>
      <c r="S57" s="1288"/>
      <c r="T57" s="1303"/>
      <c r="U57" s="1288"/>
      <c r="V57" s="1303"/>
      <c r="W57" s="71"/>
      <c r="X57" s="71"/>
      <c r="Y57" s="71"/>
      <c r="Z57" s="71"/>
    </row>
    <row r="58" spans="1:26" s="110" customFormat="1" ht="18" customHeight="1">
      <c r="A58" s="106" t="s">
        <v>81</v>
      </c>
      <c r="B58" s="107"/>
      <c r="C58" s="108" t="s">
        <v>6</v>
      </c>
      <c r="D58" s="1285">
        <f>+'SCH 2-Misc Receipts'!C114</f>
        <v>5842208</v>
      </c>
      <c r="E58" s="1313"/>
      <c r="F58" s="1285">
        <f>+'SCH 2-Misc Receipts'!E114</f>
        <v>8409675</v>
      </c>
      <c r="G58" s="1313"/>
      <c r="H58" s="1285">
        <f>+'SCH 2-Misc Receipts'!G114</f>
        <v>17117055</v>
      </c>
      <c r="I58" s="1313"/>
      <c r="J58" s="1285">
        <f>+'SCH 2-Misc Receipts'!I114</f>
        <v>16557209</v>
      </c>
      <c r="K58" s="1313"/>
      <c r="L58" s="1285">
        <f>+'SCH 2-Misc Receipts'!K114</f>
        <v>486548</v>
      </c>
      <c r="M58" s="1313"/>
      <c r="N58" s="1285">
        <f>+'SCH 2-Misc Receipts'!M114</f>
        <v>509564</v>
      </c>
      <c r="O58" s="1313"/>
      <c r="P58" s="1285">
        <f>+'SCH 2-Misc Receipts'!O114</f>
        <v>3822525</v>
      </c>
      <c r="Q58" s="1313"/>
      <c r="R58" s="1285">
        <f>+'SCH 2-Misc Receipts'!Q114</f>
        <v>3961077</v>
      </c>
      <c r="S58" s="564"/>
      <c r="T58" s="1285">
        <f>+'SCH 2-Misc Receipts'!S114</f>
        <v>27268336</v>
      </c>
      <c r="U58" s="564"/>
      <c r="V58" s="1314">
        <f>+'SCH 2-Misc Receipts'!U114</f>
        <v>29437525</v>
      </c>
      <c r="W58" s="109"/>
      <c r="X58" s="109"/>
      <c r="Y58" s="109"/>
      <c r="Z58" s="109"/>
    </row>
    <row r="59" spans="1:26" ht="14.25" customHeight="1">
      <c r="A59" s="100"/>
      <c r="B59" s="72"/>
      <c r="C59" s="77"/>
      <c r="D59" s="1276"/>
      <c r="E59" s="1293"/>
      <c r="F59" s="1276"/>
      <c r="G59" s="1293"/>
      <c r="H59" s="1315"/>
      <c r="I59" s="1293"/>
      <c r="J59" s="1315"/>
      <c r="K59" s="1293"/>
      <c r="L59" s="1315"/>
      <c r="M59" s="1293"/>
      <c r="N59" s="1315"/>
      <c r="O59" s="1293"/>
      <c r="P59" s="1315"/>
      <c r="Q59" s="1293"/>
      <c r="R59" s="1315"/>
      <c r="S59" s="1288"/>
      <c r="T59" s="1295"/>
      <c r="U59" s="1288"/>
      <c r="V59" s="1288"/>
      <c r="W59" s="71"/>
      <c r="X59" s="71"/>
      <c r="Y59" s="71"/>
      <c r="Z59" s="71"/>
    </row>
    <row r="60" spans="1:26" ht="18" customHeight="1">
      <c r="A60" s="106" t="s">
        <v>82</v>
      </c>
      <c r="B60" s="73"/>
      <c r="C60" s="80" t="s">
        <v>6</v>
      </c>
      <c r="D60" s="1285">
        <v>229</v>
      </c>
      <c r="E60" s="1311"/>
      <c r="F60" s="1285">
        <v>1629</v>
      </c>
      <c r="G60" s="1311"/>
      <c r="H60" s="1316">
        <v>49104679</v>
      </c>
      <c r="I60" s="1311"/>
      <c r="J60" s="1316">
        <v>46531760</v>
      </c>
      <c r="K60" s="1311"/>
      <c r="L60" s="1316">
        <v>73247</v>
      </c>
      <c r="M60" s="1311"/>
      <c r="N60" s="1316">
        <v>73089</v>
      </c>
      <c r="O60" s="1311"/>
      <c r="P60" s="1286">
        <v>2145374</v>
      </c>
      <c r="Q60" s="1311"/>
      <c r="R60" s="1286">
        <v>2030215</v>
      </c>
      <c r="S60" s="1312"/>
      <c r="T60" s="1316">
        <f>ROUND(SUM(+P60+H60+D60+L60),0)</f>
        <v>51323529</v>
      </c>
      <c r="U60" s="1312"/>
      <c r="V60" s="1314">
        <f>ROUND(SUM(+F60+J60+N60+R60),0)</f>
        <v>48636693</v>
      </c>
      <c r="W60" s="71"/>
      <c r="X60" s="71"/>
      <c r="Y60" s="71"/>
      <c r="Z60" s="71"/>
    </row>
    <row r="61" spans="1:26" ht="8" customHeight="1">
      <c r="A61" s="72"/>
      <c r="B61" s="72"/>
      <c r="C61" s="77"/>
      <c r="D61" s="1302"/>
      <c r="E61" s="1293"/>
      <c r="F61" s="1302"/>
      <c r="G61" s="1293"/>
      <c r="H61" s="1302"/>
      <c r="I61" s="1293"/>
      <c r="J61" s="1302"/>
      <c r="K61" s="1293"/>
      <c r="L61" s="1302"/>
      <c r="M61" s="1293"/>
      <c r="N61" s="1302"/>
      <c r="O61" s="1293"/>
      <c r="P61" s="1302"/>
      <c r="Q61" s="1293"/>
      <c r="R61" s="1302"/>
      <c r="S61" s="1288"/>
      <c r="T61" s="1317"/>
      <c r="U61" s="1288"/>
      <c r="V61" s="1303"/>
      <c r="W61" s="71"/>
      <c r="X61" s="71"/>
      <c r="Y61" s="71"/>
      <c r="Z61" s="71"/>
    </row>
    <row r="62" spans="1:26" ht="16.5" customHeight="1">
      <c r="A62" s="7" t="s">
        <v>83</v>
      </c>
      <c r="B62" s="72"/>
      <c r="C62" s="77"/>
      <c r="D62" s="1293"/>
      <c r="E62" s="1293"/>
      <c r="F62" s="1293"/>
      <c r="G62" s="1293"/>
      <c r="H62" s="1293"/>
      <c r="I62" s="1293"/>
      <c r="J62" s="1293"/>
      <c r="K62" s="1293"/>
      <c r="L62" s="1293"/>
      <c r="M62" s="1293"/>
      <c r="N62" s="1293"/>
      <c r="O62" s="1293"/>
      <c r="P62" s="1293"/>
      <c r="Q62" s="1293"/>
      <c r="R62" s="1293"/>
      <c r="S62" s="1288"/>
      <c r="T62" s="1295"/>
      <c r="U62" s="1288"/>
      <c r="V62" s="1288"/>
      <c r="W62" s="71"/>
      <c r="X62" s="71"/>
      <c r="Y62" s="71"/>
      <c r="Z62" s="71"/>
    </row>
    <row r="63" spans="1:26" ht="14.25" customHeight="1">
      <c r="A63" s="72" t="s">
        <v>84</v>
      </c>
      <c r="B63" s="72"/>
      <c r="C63" s="77" t="s">
        <v>6</v>
      </c>
      <c r="D63" s="1276">
        <v>0</v>
      </c>
      <c r="E63" s="1293"/>
      <c r="F63" s="1276">
        <v>0</v>
      </c>
      <c r="G63" s="1293"/>
      <c r="H63" s="1276">
        <v>0</v>
      </c>
      <c r="I63" s="1293"/>
      <c r="J63" s="1276">
        <v>0</v>
      </c>
      <c r="K63" s="1293"/>
      <c r="L63" s="1276">
        <v>0</v>
      </c>
      <c r="M63" s="1293"/>
      <c r="N63" s="1276">
        <v>0</v>
      </c>
      <c r="O63" s="1293"/>
      <c r="P63" s="1287">
        <v>0</v>
      </c>
      <c r="Q63" s="1293"/>
      <c r="R63" s="1287">
        <v>161343</v>
      </c>
      <c r="S63" s="1288"/>
      <c r="T63" s="1288">
        <f>ROUND(SUM(D63)+SUM(H63)+SUM(L63)+SUM(P63),0)</f>
        <v>0</v>
      </c>
      <c r="U63" s="1288"/>
      <c r="V63" s="1288">
        <f>ROUND(SUM(+F63+J63+N63+R63),0)</f>
        <v>161343</v>
      </c>
      <c r="W63" s="71"/>
      <c r="X63" s="71"/>
      <c r="Y63" s="71"/>
      <c r="Z63" s="71"/>
    </row>
    <row r="64" spans="1:26" ht="14.25" customHeight="1">
      <c r="A64" s="72" t="s">
        <v>85</v>
      </c>
      <c r="B64" s="72"/>
      <c r="C64" s="77" t="s">
        <v>6</v>
      </c>
      <c r="D64" s="1287">
        <v>17870827</v>
      </c>
      <c r="E64" s="1293"/>
      <c r="F64" s="1287">
        <v>15940378</v>
      </c>
      <c r="G64" s="1293"/>
      <c r="H64" s="1287">
        <v>8668925</v>
      </c>
      <c r="I64" s="1293"/>
      <c r="J64" s="1287">
        <v>7766936</v>
      </c>
      <c r="K64" s="1293"/>
      <c r="L64" s="1287">
        <v>4006566</v>
      </c>
      <c r="M64" s="1293"/>
      <c r="N64" s="1287">
        <v>4681001</v>
      </c>
      <c r="O64" s="1293"/>
      <c r="P64" s="1287">
        <v>2895606</v>
      </c>
      <c r="Q64" s="1293"/>
      <c r="R64" s="1287">
        <v>1419427</v>
      </c>
      <c r="S64" s="1288"/>
      <c r="T64" s="1288">
        <f>ROUND(SUM(D64)+SUM(H64)+SUM(L64)+SUM(P64),0)</f>
        <v>33441924</v>
      </c>
      <c r="U64" s="1288"/>
      <c r="V64" s="1288">
        <f>ROUND(SUM(+F64+J64+N64+R64),0)</f>
        <v>29807742</v>
      </c>
      <c r="W64" s="71"/>
      <c r="X64" s="71"/>
      <c r="Y64" s="71"/>
      <c r="Z64" s="71"/>
    </row>
    <row r="65" spans="1:26" ht="18" customHeight="1">
      <c r="A65" s="73" t="s">
        <v>86</v>
      </c>
      <c r="B65" s="73"/>
      <c r="C65" s="80" t="s">
        <v>6</v>
      </c>
      <c r="D65" s="1318">
        <f>ROUND(SUM(D64)+SUM(D63),0)</f>
        <v>17870827</v>
      </c>
      <c r="E65" s="1306"/>
      <c r="F65" s="1318">
        <f>ROUND(SUM(F64)+SUM(F63),0)</f>
        <v>15940378</v>
      </c>
      <c r="G65" s="1306"/>
      <c r="H65" s="1318">
        <f>ROUND(SUM(H64)+SUM(H63),0)</f>
        <v>8668925</v>
      </c>
      <c r="I65" s="1306"/>
      <c r="J65" s="1318">
        <f>ROUND(SUM(J64)+SUM(J63),0)</f>
        <v>7766936</v>
      </c>
      <c r="K65" s="1306"/>
      <c r="L65" s="1318">
        <f>ROUND(SUM(L64)+SUM(L63),0)</f>
        <v>4006566</v>
      </c>
      <c r="M65" s="1306"/>
      <c r="N65" s="1318">
        <f>ROUND(SUM(N64)+SUM(N63),0)</f>
        <v>4681001</v>
      </c>
      <c r="O65" s="1306"/>
      <c r="P65" s="1318">
        <f>ROUND(SUM(P64)+SUM(P63),0)</f>
        <v>2895606</v>
      </c>
      <c r="Q65" s="1306"/>
      <c r="R65" s="1318">
        <f>ROUND(SUM(R64)+SUM(R63),0)</f>
        <v>1580770</v>
      </c>
      <c r="S65" s="1307"/>
      <c r="T65" s="1319">
        <f>ROUND(SUM(T63:T64),0)</f>
        <v>33441924</v>
      </c>
      <c r="U65" s="1307"/>
      <c r="V65" s="1319">
        <f>ROUND(SUM(V63:V64),0)</f>
        <v>29969085</v>
      </c>
      <c r="W65" s="71"/>
      <c r="X65" s="71"/>
      <c r="Y65" s="71"/>
      <c r="Z65" s="71"/>
    </row>
    <row r="66" spans="1:26" ht="10" customHeight="1">
      <c r="A66" s="73"/>
      <c r="B66" s="73"/>
      <c r="C66" s="80"/>
      <c r="D66" s="1280"/>
      <c r="E66" s="1279"/>
      <c r="F66" s="1280"/>
      <c r="G66" s="1279"/>
      <c r="H66" s="1280"/>
      <c r="I66" s="1279"/>
      <c r="J66" s="1280"/>
      <c r="K66" s="1279"/>
      <c r="L66" s="1280"/>
      <c r="M66" s="1279"/>
      <c r="N66" s="1280"/>
      <c r="O66" s="1279"/>
      <c r="P66" s="1280"/>
      <c r="Q66" s="1279"/>
      <c r="R66" s="1280"/>
      <c r="S66" s="1281"/>
      <c r="T66" s="1282"/>
      <c r="U66" s="1281"/>
      <c r="V66" s="1282"/>
      <c r="W66" s="71"/>
      <c r="X66" s="71"/>
      <c r="Y66" s="71"/>
      <c r="Z66" s="71"/>
    </row>
    <row r="67" spans="1:26" ht="16.5" customHeight="1">
      <c r="A67" s="112"/>
      <c r="B67" s="73"/>
      <c r="C67" s="80"/>
      <c r="D67" s="1283"/>
      <c r="E67" s="1279"/>
      <c r="F67" s="1283"/>
      <c r="G67" s="1279"/>
      <c r="H67" s="1283"/>
      <c r="I67" s="1279"/>
      <c r="J67" s="1283"/>
      <c r="K67" s="1279"/>
      <c r="L67" s="1283"/>
      <c r="M67" s="1279"/>
      <c r="N67" s="1283"/>
      <c r="O67" s="1279"/>
      <c r="P67" s="1283"/>
      <c r="Q67" s="1279"/>
      <c r="R67" s="1283"/>
      <c r="S67" s="1281"/>
      <c r="T67" s="1284"/>
      <c r="U67" s="1281"/>
      <c r="V67" s="1284"/>
      <c r="W67" s="71"/>
      <c r="X67" s="71"/>
      <c r="Y67" s="71"/>
      <c r="Z67" s="71"/>
    </row>
    <row r="68" spans="1:26" s="46" customFormat="1" ht="16.5" customHeight="1" thickBot="1">
      <c r="A68" s="113" t="s">
        <v>87</v>
      </c>
      <c r="B68" s="114"/>
      <c r="C68" s="80" t="s">
        <v>6</v>
      </c>
      <c r="D68" s="1289">
        <f>ROUND(SUM(D56)+SUM(D58)+SUM(D60)+SUM(D65),0)</f>
        <v>69676114</v>
      </c>
      <c r="E68" s="1274"/>
      <c r="F68" s="1289">
        <f>ROUND(SUM(F56)+SUM(F58)+SUM(F60)+SUM(F65),0)</f>
        <v>67920192</v>
      </c>
      <c r="G68" s="1290"/>
      <c r="H68" s="1291">
        <f>ROUND(SUM(H56)+SUM(H58)+SUM(H60)+SUM(H65),0)</f>
        <v>83156302</v>
      </c>
      <c r="I68" s="1274"/>
      <c r="J68" s="1291">
        <f>ROUND(SUM(J56)+SUM(J58)+SUM(J60)+SUM(J65),0)</f>
        <v>79049513</v>
      </c>
      <c r="K68" s="1274"/>
      <c r="L68" s="1291">
        <f>ROUND(SUM(L56)+SUM(L58)+SUM(L60)+SUM(L65),0)</f>
        <v>23616661</v>
      </c>
      <c r="M68" s="1274"/>
      <c r="N68" s="1291">
        <f>ROUND(SUM(N56)+SUM(N58)+SUM(N60)+SUM(N65),0)</f>
        <v>23163028</v>
      </c>
      <c r="O68" s="1274"/>
      <c r="P68" s="1291">
        <f>ROUND(SUM(P56)+SUM(P58)+SUM(P60)+SUM(P65),0)</f>
        <v>10257785</v>
      </c>
      <c r="Q68" s="1274"/>
      <c r="R68" s="1291">
        <f>ROUND(SUM(R56)+SUM(R58)+SUM(R60)+SUM(R65),0)</f>
        <v>8944950</v>
      </c>
      <c r="S68" s="1292"/>
      <c r="T68" s="1289">
        <f>ROUND(SUM(T56)+SUM(T58)+SUM(T60)+SUM(T65),0)</f>
        <v>186706862</v>
      </c>
      <c r="U68" s="1292"/>
      <c r="V68" s="1289">
        <f>ROUND(SUM(V56)+SUM(V58)+SUM(V60)+SUM(V65),0)</f>
        <v>179077683</v>
      </c>
      <c r="W68" s="116"/>
      <c r="X68" s="116"/>
      <c r="Y68" s="117"/>
      <c r="Z68" s="117"/>
    </row>
    <row r="69" spans="1:26" ht="7" customHeight="1" thickTop="1">
      <c r="A69" s="72"/>
      <c r="B69" s="72"/>
      <c r="C69" s="77"/>
      <c r="D69" s="118"/>
      <c r="E69" s="77"/>
      <c r="F69" s="118"/>
      <c r="G69" s="77"/>
      <c r="H69" s="84"/>
      <c r="I69" s="77"/>
      <c r="J69" s="84"/>
      <c r="K69" s="77"/>
      <c r="L69" s="118"/>
      <c r="M69" s="77"/>
      <c r="N69" s="118"/>
      <c r="O69" s="77"/>
      <c r="P69" s="118"/>
      <c r="Q69" s="77"/>
      <c r="R69" s="118"/>
      <c r="S69" s="72"/>
      <c r="T69" s="119"/>
      <c r="U69" s="72"/>
      <c r="V69" s="119"/>
    </row>
    <row r="70" spans="1:26" ht="7" customHeight="1">
      <c r="A70" s="72"/>
      <c r="B70" s="72"/>
      <c r="C70" s="72"/>
      <c r="D70" s="72"/>
      <c r="E70" s="72"/>
      <c r="F70" s="72"/>
      <c r="G70" s="72"/>
      <c r="H70" s="72"/>
      <c r="I70" s="72"/>
      <c r="J70" s="72"/>
      <c r="K70" s="72"/>
      <c r="L70" s="72"/>
      <c r="M70" s="72"/>
      <c r="N70" s="72"/>
      <c r="O70" s="72"/>
      <c r="P70" s="72"/>
      <c r="Q70" s="72"/>
      <c r="R70" s="72"/>
      <c r="S70" s="72"/>
      <c r="T70" s="72"/>
      <c r="U70" s="72"/>
      <c r="V70" s="72"/>
    </row>
    <row r="71" spans="1:26" s="124" customFormat="1" ht="16">
      <c r="A71" s="120" t="s">
        <v>88</v>
      </c>
      <c r="B71" s="121"/>
      <c r="C71" s="121"/>
      <c r="D71" s="121">
        <v>0</v>
      </c>
      <c r="E71" s="121"/>
      <c r="F71" s="121">
        <v>0</v>
      </c>
      <c r="G71" s="121"/>
      <c r="H71" s="121">
        <v>-2987981</v>
      </c>
      <c r="I71" s="121"/>
      <c r="J71" s="121">
        <v>-3968942</v>
      </c>
      <c r="K71" s="121"/>
      <c r="L71" s="121">
        <v>-11911388</v>
      </c>
      <c r="M71" s="121"/>
      <c r="N71" s="121">
        <v>-8360572</v>
      </c>
      <c r="O71" s="121"/>
      <c r="P71" s="121" t="s">
        <v>6</v>
      </c>
      <c r="Q71" s="121"/>
      <c r="R71" s="121" t="s">
        <v>6</v>
      </c>
      <c r="S71" s="122"/>
      <c r="T71" s="123" t="s">
        <v>6</v>
      </c>
      <c r="U71" s="123"/>
      <c r="V71" s="123">
        <f>+R68+N68+F68+J68</f>
        <v>179077683</v>
      </c>
    </row>
    <row r="72" spans="1:26" ht="16">
      <c r="A72" s="59"/>
      <c r="B72" s="125"/>
      <c r="C72" s="125"/>
      <c r="D72" s="125"/>
      <c r="E72" s="125"/>
      <c r="F72" s="125"/>
      <c r="G72" s="125"/>
      <c r="H72" s="125"/>
      <c r="I72" s="125"/>
      <c r="J72" s="125"/>
      <c r="K72" s="125"/>
      <c r="L72" s="125"/>
      <c r="M72" s="125"/>
      <c r="N72" s="125"/>
      <c r="O72" s="125"/>
      <c r="P72" s="125"/>
      <c r="Q72" s="125"/>
      <c r="R72" s="125"/>
      <c r="S72" s="125"/>
      <c r="T72" s="126"/>
      <c r="U72" s="126"/>
      <c r="V72" s="126"/>
    </row>
    <row r="73" spans="1:26" ht="16">
      <c r="A73" s="125"/>
      <c r="B73" s="125"/>
      <c r="C73" s="125"/>
      <c r="D73" s="125"/>
      <c r="E73" s="125"/>
      <c r="F73" s="125"/>
      <c r="G73" s="125"/>
      <c r="H73" s="125"/>
      <c r="I73" s="125"/>
      <c r="J73" s="125"/>
      <c r="K73" s="125"/>
      <c r="L73" s="125"/>
      <c r="M73" s="125"/>
      <c r="N73" s="125"/>
      <c r="O73" s="125"/>
      <c r="P73" s="125"/>
      <c r="Q73" s="125"/>
      <c r="R73" s="125"/>
      <c r="S73" s="125"/>
      <c r="T73" s="126"/>
      <c r="U73" s="126"/>
      <c r="V73" s="126"/>
    </row>
    <row r="74" spans="1:26">
      <c r="T74" s="62"/>
      <c r="U74" s="62"/>
      <c r="V74" s="62"/>
    </row>
    <row r="75" spans="1:26">
      <c r="T75" s="62"/>
      <c r="U75" s="62"/>
      <c r="V75" s="62"/>
    </row>
    <row r="76" spans="1:26">
      <c r="T76" s="62"/>
      <c r="U76" s="62"/>
      <c r="V76" s="62"/>
    </row>
    <row r="77" spans="1:26">
      <c r="T77" s="62"/>
      <c r="U77" s="62"/>
      <c r="V77" s="62"/>
    </row>
    <row r="78" spans="1:26">
      <c r="T78" s="62"/>
      <c r="U78" s="62"/>
      <c r="V78" s="62"/>
    </row>
    <row r="79" spans="1:26">
      <c r="T79" s="62"/>
      <c r="U79" s="62"/>
      <c r="V79" s="62"/>
    </row>
    <row r="80" spans="1:26">
      <c r="T80" s="62"/>
      <c r="U80" s="62"/>
      <c r="V80" s="62"/>
    </row>
    <row r="81" spans="17:22">
      <c r="T81" s="62"/>
      <c r="U81" s="62"/>
      <c r="V81" s="62"/>
    </row>
    <row r="82" spans="17:22">
      <c r="T82" s="62"/>
      <c r="U82" s="62"/>
      <c r="V82" s="62"/>
    </row>
    <row r="86" spans="17:22">
      <c r="Q86" s="62"/>
    </row>
    <row r="87" spans="17:22">
      <c r="Q87" s="62"/>
    </row>
    <row r="88" spans="17:22">
      <c r="Q88" s="62"/>
    </row>
    <row r="89" spans="17:22">
      <c r="Q89" s="62"/>
    </row>
    <row r="90" spans="17:22">
      <c r="Q90" s="62"/>
    </row>
    <row r="91" spans="17:22">
      <c r="Q91" s="62"/>
    </row>
    <row r="92" spans="17:22">
      <c r="Q92" s="62"/>
    </row>
    <row r="93" spans="17:22">
      <c r="Q93" s="62"/>
    </row>
    <row r="94" spans="17:22">
      <c r="Q94" s="62"/>
    </row>
    <row r="95" spans="17:22">
      <c r="Q95" s="62"/>
    </row>
    <row r="96" spans="17:22">
      <c r="Q96" s="62"/>
    </row>
    <row r="97" spans="17:17">
      <c r="Q97" s="62"/>
    </row>
    <row r="98" spans="17:17">
      <c r="Q98" s="62"/>
    </row>
    <row r="99" spans="17:17">
      <c r="Q99" s="62"/>
    </row>
    <row r="100" spans="17:17">
      <c r="Q100" s="62"/>
    </row>
    <row r="101" spans="17:17">
      <c r="Q101" s="62"/>
    </row>
    <row r="102" spans="17:17">
      <c r="Q102" s="62"/>
    </row>
    <row r="103" spans="17:17">
      <c r="Q103" s="62"/>
    </row>
    <row r="104" spans="17:17">
      <c r="Q104" s="62"/>
    </row>
    <row r="105" spans="17:17">
      <c r="Q105" s="62"/>
    </row>
    <row r="106" spans="17:17">
      <c r="Q106" s="62"/>
    </row>
    <row r="107" spans="17:17">
      <c r="Q107" s="62"/>
    </row>
    <row r="108" spans="17:17">
      <c r="Q108" s="62"/>
    </row>
    <row r="109" spans="17:17">
      <c r="Q109" s="62"/>
    </row>
    <row r="110" spans="17:17">
      <c r="Q110" s="62"/>
    </row>
    <row r="111" spans="17:17">
      <c r="Q111" s="62"/>
    </row>
    <row r="112" spans="17:17">
      <c r="Q112" s="62"/>
    </row>
    <row r="113" spans="17:17">
      <c r="Q113" s="62"/>
    </row>
    <row r="114" spans="17:17">
      <c r="Q114" s="62"/>
    </row>
    <row r="115" spans="17:17">
      <c r="Q115" s="62"/>
    </row>
    <row r="116" spans="17:17">
      <c r="Q116" s="62"/>
    </row>
    <row r="117" spans="17:17">
      <c r="Q117" s="62"/>
    </row>
    <row r="118" spans="17:17">
      <c r="Q118" s="62"/>
    </row>
    <row r="119" spans="17:17">
      <c r="Q119" s="62"/>
    </row>
    <row r="120" spans="17:17">
      <c r="Q120" s="62"/>
    </row>
    <row r="121" spans="17:17">
      <c r="Q121" s="62"/>
    </row>
    <row r="122" spans="17:17">
      <c r="Q122" s="62"/>
    </row>
  </sheetData>
  <pageMargins left="0.6" right="0.5" top="1" bottom="0.25" header="0" footer="0.25"/>
  <pageSetup scale="47" orientation="landscape"/>
  <headerFooter scaleWithDoc="0">
    <oddFooter>&amp;R&amp;8 65</oddFooter>
  </headerFooter>
  <ignoredErrors>
    <ignoredError sqref="V21 T31" formula="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4"/>
  <sheetViews>
    <sheetView showGridLines="0" showOutlineSymbols="0" zoomScaleNormal="115" zoomScaleSheetLayoutView="115" zoomScalePageLayoutView="115" workbookViewId="0"/>
  </sheetViews>
  <sheetFormatPr baseColWidth="10" defaultColWidth="8.5703125" defaultRowHeight="16" outlineLevelRow="1" x14ac:dyDescent="0"/>
  <cols>
    <col min="1" max="1" width="35.42578125" style="911" customWidth="1"/>
    <col min="2" max="2" width="1.5703125" style="911" customWidth="1"/>
    <col min="3" max="3" width="7.85546875" style="911" customWidth="1"/>
    <col min="4" max="4" width="1.5703125" style="911" customWidth="1"/>
    <col min="5" max="5" width="9.85546875" style="911" bestFit="1" customWidth="1"/>
    <col min="6" max="6" width="1.5703125" style="911" customWidth="1"/>
    <col min="7" max="7" width="8.42578125" style="911" bestFit="1" customWidth="1"/>
    <col min="8" max="8" width="1.5703125" style="911" customWidth="1"/>
    <col min="9" max="9" width="7.5703125" style="911" customWidth="1"/>
    <col min="10" max="10" width="1.5703125" style="911" customWidth="1"/>
    <col min="11" max="11" width="8.5703125" style="911" bestFit="1" customWidth="1"/>
    <col min="12" max="12" width="1.5703125" style="911" customWidth="1"/>
    <col min="13" max="13" width="8.5703125" style="911"/>
    <col min="14" max="14" width="1.5703125" style="911" customWidth="1"/>
    <col min="15" max="15" width="7.140625" style="911" customWidth="1"/>
    <col min="16" max="16" width="1.5703125" style="911" customWidth="1"/>
    <col min="17" max="17" width="12.140625" style="911" bestFit="1" customWidth="1"/>
    <col min="18" max="18" width="1.5703125" style="911" customWidth="1"/>
    <col min="19" max="19" width="9.5703125" style="911" customWidth="1"/>
    <col min="20" max="20" width="1.5703125" style="911" customWidth="1"/>
    <col min="21" max="21" width="9.140625" style="911" customWidth="1"/>
    <col min="22" max="22" width="1.42578125" style="911" customWidth="1"/>
    <col min="23" max="23" width="9" style="939" customWidth="1"/>
    <col min="24" max="24" width="1.5703125" style="911" customWidth="1"/>
    <col min="25" max="25" width="8.85546875" style="939" customWidth="1"/>
    <col min="26" max="26" width="1.5703125" style="911" customWidth="1"/>
    <col min="27" max="27" width="9" style="911" customWidth="1"/>
    <col min="28" max="28" width="1.5703125" style="911" customWidth="1"/>
    <col min="29" max="29" width="8.140625" style="911" customWidth="1"/>
    <col min="30" max="30" width="1.140625" style="911" customWidth="1"/>
    <col min="31" max="31" width="10.85546875" style="911" customWidth="1"/>
    <col min="32" max="32" width="2" style="911" customWidth="1"/>
    <col min="33" max="33" width="10.85546875" style="911" customWidth="1"/>
    <col min="34" max="34" width="2.85546875" style="911" customWidth="1"/>
    <col min="35" max="35" width="8.5703125" style="989"/>
    <col min="36" max="16384" width="8.5703125" style="911"/>
  </cols>
  <sheetData>
    <row r="1" spans="1:34">
      <c r="A1" s="1776" t="s">
        <v>1443</v>
      </c>
    </row>
    <row r="3" spans="1:34" ht="14.25" customHeight="1">
      <c r="A3" s="548" t="s">
        <v>0</v>
      </c>
      <c r="B3" s="909"/>
      <c r="C3" s="909"/>
      <c r="D3" s="909"/>
      <c r="E3" s="909"/>
      <c r="F3" s="909"/>
      <c r="G3" s="909"/>
      <c r="H3" s="909"/>
      <c r="I3" s="909"/>
      <c r="J3" s="235"/>
      <c r="K3" s="235"/>
      <c r="L3" s="235"/>
      <c r="M3" s="235"/>
      <c r="N3" s="235"/>
      <c r="O3" s="235"/>
      <c r="P3" s="235"/>
      <c r="Q3" s="235"/>
      <c r="R3" s="235"/>
      <c r="S3" s="235"/>
      <c r="T3" s="235"/>
      <c r="U3" s="235"/>
      <c r="V3" s="235"/>
      <c r="W3" s="910"/>
      <c r="X3" s="235"/>
      <c r="Y3" s="910"/>
      <c r="Z3" s="235"/>
      <c r="AA3" s="235"/>
      <c r="AB3" s="235"/>
      <c r="AC3" s="235"/>
      <c r="AD3" s="235"/>
      <c r="AE3" s="235"/>
      <c r="AF3" s="235"/>
      <c r="AG3" s="909"/>
      <c r="AH3" s="935"/>
    </row>
    <row r="4" spans="1:34" ht="15.75" customHeight="1">
      <c r="A4" s="548" t="s">
        <v>823</v>
      </c>
      <c r="B4" s="909"/>
      <c r="C4" s="909"/>
      <c r="D4" s="909"/>
      <c r="E4" s="909"/>
      <c r="F4" s="909"/>
      <c r="G4" s="909"/>
      <c r="H4" s="909"/>
      <c r="I4" s="909"/>
      <c r="J4" s="235"/>
      <c r="K4" s="235"/>
      <c r="L4" s="235"/>
      <c r="M4" s="235"/>
      <c r="N4" s="235"/>
      <c r="O4" s="235"/>
      <c r="P4" s="235"/>
      <c r="Q4" s="235"/>
      <c r="R4" s="235"/>
      <c r="S4" s="235"/>
      <c r="T4" s="235"/>
      <c r="U4" s="235"/>
      <c r="V4" s="235"/>
      <c r="W4" s="910"/>
      <c r="X4" s="235"/>
      <c r="Y4" s="910"/>
      <c r="Z4" s="235"/>
      <c r="AA4" s="235"/>
      <c r="AB4" s="235"/>
      <c r="AC4" s="235"/>
      <c r="AD4" s="235"/>
      <c r="AE4" s="490" t="s">
        <v>6</v>
      </c>
      <c r="AF4" s="490"/>
      <c r="AG4" s="490"/>
      <c r="AH4" s="935"/>
    </row>
    <row r="5" spans="1:34" ht="15.75" customHeight="1">
      <c r="A5" s="548" t="s">
        <v>737</v>
      </c>
      <c r="B5" s="909"/>
      <c r="C5" s="909"/>
      <c r="D5" s="909"/>
      <c r="E5" s="909"/>
      <c r="F5" s="909"/>
      <c r="G5" s="909"/>
      <c r="H5" s="909"/>
      <c r="I5" s="909"/>
      <c r="J5" s="235"/>
      <c r="K5" s="235"/>
      <c r="L5" s="235"/>
      <c r="M5" s="235"/>
      <c r="N5" s="235"/>
      <c r="O5" s="235"/>
      <c r="P5" s="235"/>
      <c r="Q5" s="235"/>
      <c r="R5" s="235"/>
      <c r="S5" s="235"/>
      <c r="T5" s="235"/>
      <c r="U5" s="235"/>
      <c r="V5" s="235"/>
      <c r="W5" s="910"/>
      <c r="X5" s="235"/>
      <c r="Y5" s="910"/>
      <c r="Z5" s="235"/>
      <c r="AA5" s="235"/>
      <c r="AB5" s="235"/>
      <c r="AC5" s="235"/>
      <c r="AD5" s="235"/>
      <c r="AE5" s="2472" t="s">
        <v>824</v>
      </c>
      <c r="AF5" s="2473"/>
      <c r="AG5" s="2474"/>
      <c r="AH5" s="935"/>
    </row>
    <row r="6" spans="1:34" ht="15.75" customHeight="1">
      <c r="A6" s="598" t="s">
        <v>2585</v>
      </c>
      <c r="B6" s="909"/>
      <c r="C6" s="909"/>
      <c r="D6" s="909"/>
      <c r="E6" s="909"/>
      <c r="F6" s="909"/>
      <c r="G6" s="909"/>
      <c r="H6" s="909"/>
      <c r="I6" s="909"/>
      <c r="J6" s="235"/>
      <c r="K6" s="235"/>
      <c r="L6" s="235"/>
      <c r="M6" s="235"/>
      <c r="N6" s="235"/>
      <c r="O6" s="235"/>
      <c r="P6" s="235"/>
      <c r="Q6" s="235"/>
      <c r="R6" s="235"/>
      <c r="S6" s="235"/>
      <c r="T6" s="235"/>
      <c r="U6" s="235"/>
      <c r="V6" s="235"/>
      <c r="W6" s="910"/>
      <c r="X6" s="235"/>
      <c r="Y6" s="910"/>
      <c r="Z6" s="235"/>
      <c r="AA6" s="235"/>
      <c r="AB6" s="235"/>
      <c r="AC6" s="235"/>
      <c r="AD6" s="235"/>
      <c r="AE6" s="235"/>
      <c r="AF6" s="235"/>
      <c r="AG6" s="1777"/>
      <c r="AH6" s="935"/>
    </row>
    <row r="7" spans="1:34" ht="15" customHeight="1">
      <c r="A7" s="548" t="s">
        <v>825</v>
      </c>
      <c r="B7" s="909"/>
      <c r="C7" s="909"/>
      <c r="D7" s="909"/>
      <c r="E7" s="909"/>
      <c r="F7" s="909"/>
      <c r="G7" s="909"/>
      <c r="H7" s="909"/>
      <c r="I7" s="909"/>
      <c r="J7" s="235"/>
      <c r="K7" s="235"/>
      <c r="L7" s="235"/>
      <c r="M7" s="235"/>
      <c r="N7" s="235"/>
      <c r="O7" s="235"/>
      <c r="P7" s="235"/>
      <c r="Q7" s="235"/>
      <c r="R7" s="235"/>
      <c r="S7" s="235"/>
      <c r="T7" s="235"/>
      <c r="U7" s="235"/>
      <c r="V7" s="235"/>
      <c r="W7" s="910"/>
      <c r="X7" s="235"/>
      <c r="Y7" s="910"/>
      <c r="Z7" s="235"/>
      <c r="AA7" s="235"/>
      <c r="AB7" s="235"/>
      <c r="AC7" s="235"/>
      <c r="AD7" s="235"/>
      <c r="AE7" s="235"/>
      <c r="AF7" s="235"/>
      <c r="AG7" s="235"/>
      <c r="AH7" s="935"/>
    </row>
    <row r="8" spans="1:34" ht="4.5" customHeight="1">
      <c r="A8" s="235" t="s">
        <v>6</v>
      </c>
      <c r="B8" s="235"/>
      <c r="C8" s="235"/>
      <c r="D8" s="235"/>
      <c r="E8" s="235"/>
      <c r="F8" s="235"/>
      <c r="G8" s="235"/>
      <c r="H8" s="235"/>
      <c r="I8" s="235"/>
      <c r="J8" s="235"/>
      <c r="K8" s="235"/>
      <c r="L8" s="235"/>
      <c r="M8" s="235"/>
      <c r="N8" s="235"/>
      <c r="O8" s="235"/>
      <c r="P8" s="235"/>
      <c r="Q8" s="235"/>
      <c r="R8" s="235"/>
      <c r="S8" s="235"/>
      <c r="T8" s="235"/>
      <c r="U8" s="235"/>
      <c r="V8" s="235"/>
      <c r="W8" s="910"/>
      <c r="X8" s="235"/>
      <c r="Y8" s="910"/>
      <c r="Z8" s="235"/>
      <c r="AA8" s="235"/>
      <c r="AB8" s="235"/>
      <c r="AC8" s="235"/>
      <c r="AD8" s="235"/>
      <c r="AE8" s="235"/>
      <c r="AF8" s="235"/>
      <c r="AG8" s="235"/>
      <c r="AH8" s="935"/>
    </row>
    <row r="9" spans="1:34" ht="15.75" customHeight="1" outlineLevel="1">
      <c r="A9" s="912"/>
      <c r="B9" s="912"/>
      <c r="C9" s="913" t="s">
        <v>739</v>
      </c>
      <c r="D9" s="913"/>
      <c r="E9" s="913"/>
      <c r="F9" s="913"/>
      <c r="G9" s="913"/>
      <c r="H9" s="913"/>
      <c r="I9" s="914"/>
      <c r="J9" s="913"/>
      <c r="K9" s="913"/>
      <c r="L9" s="913"/>
      <c r="M9" s="913"/>
      <c r="N9" s="913"/>
      <c r="O9" s="913"/>
      <c r="P9" s="913"/>
      <c r="Q9" s="915"/>
      <c r="R9" s="913"/>
      <c r="S9" s="913"/>
      <c r="T9" s="913"/>
      <c r="U9" s="913"/>
      <c r="V9" s="912"/>
      <c r="W9" s="2470" t="s">
        <v>740</v>
      </c>
      <c r="X9" s="2471"/>
      <c r="Y9" s="2471"/>
      <c r="Z9" s="916"/>
      <c r="AA9" s="548"/>
      <c r="AB9" s="548"/>
      <c r="AC9" s="548"/>
      <c r="AD9" s="912"/>
      <c r="AE9" s="915" t="s">
        <v>276</v>
      </c>
      <c r="AF9" s="915"/>
      <c r="AG9" s="915"/>
      <c r="AH9" s="912"/>
    </row>
    <row r="10" spans="1:34" ht="13.5" customHeight="1">
      <c r="A10" s="909"/>
      <c r="B10" s="909"/>
      <c r="C10" s="917" t="s">
        <v>6</v>
      </c>
      <c r="D10" s="917" t="s">
        <v>6</v>
      </c>
      <c r="E10" s="917"/>
      <c r="F10" s="917" t="s">
        <v>6</v>
      </c>
      <c r="G10" s="917" t="s">
        <v>6</v>
      </c>
      <c r="H10" s="917"/>
      <c r="I10" s="917" t="s">
        <v>6</v>
      </c>
      <c r="J10" s="917" t="s">
        <v>6</v>
      </c>
      <c r="K10" s="917" t="s">
        <v>6</v>
      </c>
      <c r="L10" s="917" t="s">
        <v>6</v>
      </c>
      <c r="M10" s="917" t="s">
        <v>6</v>
      </c>
      <c r="N10" s="917" t="s">
        <v>6</v>
      </c>
      <c r="O10" s="917" t="s">
        <v>6</v>
      </c>
      <c r="P10" s="917" t="s">
        <v>6</v>
      </c>
      <c r="Q10" s="1770" t="s">
        <v>6</v>
      </c>
      <c r="R10" s="917"/>
      <c r="S10" s="917" t="s">
        <v>6</v>
      </c>
      <c r="T10" s="917"/>
      <c r="U10" s="917" t="s">
        <v>6</v>
      </c>
      <c r="V10" s="909"/>
      <c r="W10" s="919" t="s">
        <v>6</v>
      </c>
      <c r="X10" s="917" t="s">
        <v>6</v>
      </c>
      <c r="Y10" s="919" t="s">
        <v>6</v>
      </c>
      <c r="Z10" s="920" t="s">
        <v>6</v>
      </c>
      <c r="AA10" s="909" t="s">
        <v>6</v>
      </c>
      <c r="AB10" s="909"/>
      <c r="AC10" s="909"/>
      <c r="AD10" s="909"/>
      <c r="AE10" s="909"/>
      <c r="AF10" s="909"/>
      <c r="AG10" s="909"/>
      <c r="AH10" s="912"/>
    </row>
    <row r="11" spans="1:34" ht="14" customHeight="1">
      <c r="A11" s="912"/>
      <c r="B11" s="912"/>
      <c r="C11" s="912"/>
      <c r="D11" s="912"/>
      <c r="E11" s="971" t="s">
        <v>741</v>
      </c>
      <c r="F11" s="912"/>
      <c r="G11" s="912"/>
      <c r="H11" s="912"/>
      <c r="I11" s="912"/>
      <c r="J11" s="912"/>
      <c r="K11" s="912"/>
      <c r="L11" s="912"/>
      <c r="M11" s="912" t="s">
        <v>6</v>
      </c>
      <c r="N11" s="912"/>
      <c r="O11" s="912"/>
      <c r="P11" s="912"/>
      <c r="Q11" s="1770" t="s">
        <v>6</v>
      </c>
      <c r="R11" s="912"/>
      <c r="S11" s="912"/>
      <c r="T11" s="912"/>
      <c r="U11" s="912"/>
      <c r="V11" s="912"/>
      <c r="W11" s="921"/>
      <c r="X11" s="912"/>
      <c r="Y11" s="921"/>
      <c r="Z11" s="912"/>
      <c r="AA11" s="1770" t="s">
        <v>742</v>
      </c>
      <c r="AB11" s="1770"/>
      <c r="AC11" s="1770"/>
      <c r="AD11" s="912"/>
      <c r="AE11" s="922"/>
      <c r="AF11" s="922"/>
      <c r="AG11" s="922"/>
      <c r="AH11" s="1778"/>
    </row>
    <row r="12" spans="1:34" ht="14" customHeight="1">
      <c r="A12" s="912"/>
      <c r="B12" s="912"/>
      <c r="C12" s="971" t="s">
        <v>6</v>
      </c>
      <c r="D12" s="974"/>
      <c r="E12" s="971" t="s">
        <v>743</v>
      </c>
      <c r="F12" s="974"/>
      <c r="G12" s="971" t="s">
        <v>744</v>
      </c>
      <c r="H12" s="974"/>
      <c r="I12" s="971" t="s">
        <v>6</v>
      </c>
      <c r="J12" s="974"/>
      <c r="K12" s="971" t="s">
        <v>745</v>
      </c>
      <c r="L12" s="974"/>
      <c r="M12" s="971" t="s">
        <v>746</v>
      </c>
      <c r="N12" s="974"/>
      <c r="O12" s="971" t="s">
        <v>746</v>
      </c>
      <c r="P12" s="974"/>
      <c r="Q12" s="971" t="s">
        <v>747</v>
      </c>
      <c r="R12" s="974"/>
      <c r="S12" s="971" t="s">
        <v>6</v>
      </c>
      <c r="T12" s="912"/>
      <c r="U12" s="1770" t="s">
        <v>748</v>
      </c>
      <c r="V12" s="912"/>
      <c r="W12" s="1770" t="s">
        <v>749</v>
      </c>
      <c r="X12" s="912"/>
      <c r="Y12" s="1770" t="s">
        <v>750</v>
      </c>
      <c r="Z12" s="912"/>
      <c r="AA12" s="1770" t="s">
        <v>751</v>
      </c>
      <c r="AB12" s="1770"/>
      <c r="AC12" s="1770" t="s">
        <v>826</v>
      </c>
      <c r="AD12" s="912"/>
      <c r="AE12" s="916" t="s">
        <v>6</v>
      </c>
      <c r="AF12" s="916"/>
      <c r="AG12" s="916" t="s">
        <v>6</v>
      </c>
      <c r="AH12" s="1778"/>
    </row>
    <row r="13" spans="1:34" ht="14" customHeight="1">
      <c r="A13" s="1770" t="s">
        <v>752</v>
      </c>
      <c r="B13" s="912"/>
      <c r="C13" s="971" t="s">
        <v>512</v>
      </c>
      <c r="D13" s="974"/>
      <c r="E13" s="975" t="s">
        <v>753</v>
      </c>
      <c r="F13" s="974"/>
      <c r="G13" s="975" t="s">
        <v>827</v>
      </c>
      <c r="H13" s="974"/>
      <c r="I13" s="971" t="s">
        <v>754</v>
      </c>
      <c r="J13" s="974"/>
      <c r="K13" s="974" t="s">
        <v>755</v>
      </c>
      <c r="L13" s="974"/>
      <c r="M13" s="971" t="s">
        <v>828</v>
      </c>
      <c r="N13" s="974"/>
      <c r="O13" s="971" t="s">
        <v>756</v>
      </c>
      <c r="P13" s="974"/>
      <c r="Q13" s="975" t="s">
        <v>757</v>
      </c>
      <c r="R13" s="974"/>
      <c r="S13" s="975" t="s">
        <v>525</v>
      </c>
      <c r="T13" s="912"/>
      <c r="U13" s="1770" t="s">
        <v>758</v>
      </c>
      <c r="V13" s="912"/>
      <c r="W13" s="1770" t="s">
        <v>759</v>
      </c>
      <c r="X13" s="912"/>
      <c r="Y13" s="1770" t="s">
        <v>759</v>
      </c>
      <c r="Z13" s="912"/>
      <c r="AA13" s="1770" t="s">
        <v>760</v>
      </c>
      <c r="AB13" s="925"/>
      <c r="AC13" s="1770" t="s">
        <v>829</v>
      </c>
      <c r="AD13" s="912"/>
      <c r="AE13" s="924" t="s">
        <v>2586</v>
      </c>
      <c r="AF13" s="925"/>
      <c r="AG13" s="924" t="s">
        <v>1916</v>
      </c>
      <c r="AH13" s="1778"/>
    </row>
    <row r="14" spans="1:34" ht="4" customHeight="1">
      <c r="A14" s="926"/>
      <c r="B14" s="235"/>
      <c r="C14" s="926"/>
      <c r="D14" s="235"/>
      <c r="E14" s="235"/>
      <c r="F14" s="235"/>
      <c r="G14" s="926"/>
      <c r="H14" s="235"/>
      <c r="I14" s="926"/>
      <c r="J14" s="235"/>
      <c r="K14" s="926"/>
      <c r="L14" s="235"/>
      <c r="M14" s="926"/>
      <c r="N14" s="235"/>
      <c r="O14" s="926"/>
      <c r="P14" s="235"/>
      <c r="Q14" s="235"/>
      <c r="R14" s="235"/>
      <c r="S14" s="926"/>
      <c r="T14" s="235"/>
      <c r="U14" s="926"/>
      <c r="V14" s="235"/>
      <c r="W14" s="927"/>
      <c r="X14" s="235"/>
      <c r="Y14" s="927"/>
      <c r="Z14" s="235"/>
      <c r="AA14" s="926"/>
      <c r="AB14" s="242"/>
      <c r="AC14" s="926"/>
      <c r="AD14" s="235"/>
      <c r="AE14" s="926"/>
      <c r="AF14" s="242"/>
      <c r="AG14" s="926"/>
      <c r="AH14" s="935"/>
    </row>
    <row r="15" spans="1:34" ht="18" customHeight="1">
      <c r="A15" s="935" t="s">
        <v>830</v>
      </c>
      <c r="B15" s="935" t="s">
        <v>6</v>
      </c>
      <c r="C15" s="931">
        <v>0</v>
      </c>
      <c r="D15" s="944"/>
      <c r="E15" s="931">
        <v>0</v>
      </c>
      <c r="F15" s="944"/>
      <c r="G15" s="931">
        <v>0</v>
      </c>
      <c r="H15" s="944"/>
      <c r="I15" s="931">
        <v>0</v>
      </c>
      <c r="J15" s="944"/>
      <c r="K15" s="931">
        <v>0</v>
      </c>
      <c r="L15" s="944"/>
      <c r="M15" s="931">
        <v>0</v>
      </c>
      <c r="N15" s="944"/>
      <c r="O15" s="931">
        <v>0</v>
      </c>
      <c r="P15" s="944"/>
      <c r="Q15" s="931">
        <v>0</v>
      </c>
      <c r="R15" s="944"/>
      <c r="S15" s="931">
        <v>0</v>
      </c>
      <c r="T15" s="944"/>
      <c r="U15" s="931">
        <v>0</v>
      </c>
      <c r="V15" s="944"/>
      <c r="W15" s="931">
        <v>0</v>
      </c>
      <c r="X15" s="932"/>
      <c r="Y15" s="931">
        <v>221</v>
      </c>
      <c r="Z15" s="944"/>
      <c r="AA15" s="931">
        <v>0</v>
      </c>
      <c r="AB15" s="931"/>
      <c r="AC15" s="931">
        <v>0</v>
      </c>
      <c r="AD15" s="944"/>
      <c r="AE15" s="944">
        <f>ROUND(SUM(U15:AD15),1)</f>
        <v>221</v>
      </c>
      <c r="AF15" s="944"/>
      <c r="AG15" s="2393">
        <v>139</v>
      </c>
      <c r="AH15" s="935"/>
    </row>
    <row r="16" spans="1:34" ht="18" customHeight="1">
      <c r="A16" s="935" t="s">
        <v>831</v>
      </c>
      <c r="B16" s="935" t="s">
        <v>6</v>
      </c>
      <c r="C16" s="936">
        <v>0</v>
      </c>
      <c r="D16" s="935"/>
      <c r="E16" s="936">
        <v>0</v>
      </c>
      <c r="F16" s="935"/>
      <c r="G16" s="936">
        <v>0</v>
      </c>
      <c r="H16" s="935"/>
      <c r="I16" s="936">
        <v>0</v>
      </c>
      <c r="J16" s="935"/>
      <c r="K16" s="936">
        <v>0</v>
      </c>
      <c r="L16" s="935"/>
      <c r="M16" s="936">
        <v>0</v>
      </c>
      <c r="N16" s="935"/>
      <c r="O16" s="936">
        <v>0</v>
      </c>
      <c r="P16" s="935"/>
      <c r="Q16" s="936">
        <v>0</v>
      </c>
      <c r="R16" s="935"/>
      <c r="S16" s="936">
        <v>0</v>
      </c>
      <c r="T16" s="935"/>
      <c r="U16" s="936">
        <f t="shared" ref="U16:U87" si="0">ROUND(SUM(C16:S16),1)</f>
        <v>0</v>
      </c>
      <c r="V16" s="935"/>
      <c r="W16" s="936">
        <v>46870</v>
      </c>
      <c r="X16" s="930"/>
      <c r="Y16" s="936">
        <v>39822</v>
      </c>
      <c r="Z16" s="930"/>
      <c r="AA16" s="936">
        <v>7892</v>
      </c>
      <c r="AB16" s="986"/>
      <c r="AC16" s="936">
        <v>0</v>
      </c>
      <c r="AD16" s="935"/>
      <c r="AE16" s="945">
        <f t="shared" ref="AE16:AE54" si="1">ROUND(SUM(U16:AD16),1)</f>
        <v>94584</v>
      </c>
      <c r="AF16" s="935"/>
      <c r="AG16" s="945">
        <v>87770</v>
      </c>
      <c r="AH16" s="935"/>
    </row>
    <row r="17" spans="1:34" ht="18" customHeight="1">
      <c r="A17" s="935" t="s">
        <v>1447</v>
      </c>
      <c r="B17" s="935" t="s">
        <v>6</v>
      </c>
      <c r="C17" s="936">
        <v>0</v>
      </c>
      <c r="D17" s="935"/>
      <c r="E17" s="936">
        <v>0</v>
      </c>
      <c r="F17" s="935"/>
      <c r="G17" s="936">
        <v>0</v>
      </c>
      <c r="H17" s="935"/>
      <c r="I17" s="936">
        <v>0</v>
      </c>
      <c r="J17" s="935"/>
      <c r="K17" s="936">
        <v>0</v>
      </c>
      <c r="L17" s="935"/>
      <c r="M17" s="936">
        <v>0</v>
      </c>
      <c r="N17" s="935"/>
      <c r="O17" s="936">
        <v>0</v>
      </c>
      <c r="P17" s="935"/>
      <c r="Q17" s="936">
        <v>0</v>
      </c>
      <c r="R17" s="935"/>
      <c r="S17" s="936">
        <v>0</v>
      </c>
      <c r="T17" s="935"/>
      <c r="U17" s="936">
        <f t="shared" si="0"/>
        <v>0</v>
      </c>
      <c r="V17" s="935"/>
      <c r="W17" s="936">
        <v>0</v>
      </c>
      <c r="X17" s="930"/>
      <c r="Y17" s="936">
        <v>0</v>
      </c>
      <c r="Z17" s="935"/>
      <c r="AA17" s="936">
        <v>0</v>
      </c>
      <c r="AB17" s="984"/>
      <c r="AC17" s="936">
        <v>0</v>
      </c>
      <c r="AD17" s="935"/>
      <c r="AE17" s="945">
        <f t="shared" si="1"/>
        <v>0</v>
      </c>
      <c r="AF17" s="935"/>
      <c r="AG17" s="945">
        <v>0</v>
      </c>
      <c r="AH17" s="935"/>
    </row>
    <row r="18" spans="1:34" ht="18" customHeight="1">
      <c r="A18" s="935" t="s">
        <v>2703</v>
      </c>
      <c r="B18" s="935" t="s">
        <v>6</v>
      </c>
      <c r="C18" s="936">
        <v>0</v>
      </c>
      <c r="D18" s="936"/>
      <c r="E18" s="936">
        <v>0</v>
      </c>
      <c r="F18" s="936"/>
      <c r="G18" s="936">
        <v>0</v>
      </c>
      <c r="H18" s="936"/>
      <c r="I18" s="936">
        <v>0</v>
      </c>
      <c r="J18" s="936"/>
      <c r="K18" s="936">
        <v>0</v>
      </c>
      <c r="L18" s="936"/>
      <c r="M18" s="936">
        <v>0</v>
      </c>
      <c r="N18" s="936"/>
      <c r="O18" s="936">
        <v>0</v>
      </c>
      <c r="P18" s="936"/>
      <c r="Q18" s="936">
        <v>0</v>
      </c>
      <c r="R18" s="936"/>
      <c r="S18" s="936">
        <v>0</v>
      </c>
      <c r="T18" s="936"/>
      <c r="U18" s="936">
        <v>0</v>
      </c>
      <c r="V18" s="936"/>
      <c r="W18" s="936">
        <v>2653</v>
      </c>
      <c r="X18" s="936"/>
      <c r="Y18" s="936">
        <v>19729</v>
      </c>
      <c r="Z18" s="936"/>
      <c r="AA18" s="936">
        <v>1517</v>
      </c>
      <c r="AB18" s="936"/>
      <c r="AC18" s="936">
        <v>0</v>
      </c>
      <c r="AD18" s="936"/>
      <c r="AE18" s="936">
        <f>ROUND(SUM(U18:AD18),1)</f>
        <v>23899</v>
      </c>
      <c r="AF18" s="936"/>
      <c r="AG18" s="936">
        <v>21321</v>
      </c>
      <c r="AH18" s="935"/>
    </row>
    <row r="19" spans="1:34" ht="18" customHeight="1">
      <c r="A19" s="935" t="s">
        <v>832</v>
      </c>
      <c r="B19" s="935" t="s">
        <v>6</v>
      </c>
      <c r="C19" s="936">
        <v>0</v>
      </c>
      <c r="D19" s="935"/>
      <c r="E19" s="936">
        <v>0</v>
      </c>
      <c r="F19" s="935"/>
      <c r="G19" s="936">
        <v>0</v>
      </c>
      <c r="H19" s="935"/>
      <c r="I19" s="936">
        <v>0</v>
      </c>
      <c r="J19" s="935"/>
      <c r="K19" s="936">
        <v>0</v>
      </c>
      <c r="L19" s="935"/>
      <c r="M19" s="936">
        <v>0</v>
      </c>
      <c r="N19" s="935"/>
      <c r="O19" s="936">
        <v>0</v>
      </c>
      <c r="P19" s="935"/>
      <c r="Q19" s="936">
        <v>0</v>
      </c>
      <c r="R19" s="935"/>
      <c r="S19" s="936">
        <v>0</v>
      </c>
      <c r="T19" s="935"/>
      <c r="U19" s="936">
        <f t="shared" si="0"/>
        <v>0</v>
      </c>
      <c r="V19" s="935"/>
      <c r="W19" s="936">
        <v>255</v>
      </c>
      <c r="X19" s="935"/>
      <c r="Y19" s="936">
        <v>71</v>
      </c>
      <c r="Z19" s="935"/>
      <c r="AA19" s="936">
        <v>147</v>
      </c>
      <c r="AB19" s="986"/>
      <c r="AC19" s="936">
        <v>0</v>
      </c>
      <c r="AD19" s="935"/>
      <c r="AE19" s="945">
        <f t="shared" si="1"/>
        <v>473</v>
      </c>
      <c r="AF19" s="935"/>
      <c r="AG19" s="945">
        <v>921</v>
      </c>
      <c r="AH19" s="935"/>
    </row>
    <row r="20" spans="1:34" ht="18" customHeight="1">
      <c r="A20" s="935" t="s">
        <v>833</v>
      </c>
      <c r="B20" s="935" t="s">
        <v>6</v>
      </c>
      <c r="C20" s="936">
        <v>0</v>
      </c>
      <c r="D20" s="935"/>
      <c r="E20" s="936">
        <v>0</v>
      </c>
      <c r="F20" s="935"/>
      <c r="G20" s="936">
        <v>0</v>
      </c>
      <c r="H20" s="935"/>
      <c r="I20" s="936">
        <v>0</v>
      </c>
      <c r="J20" s="935"/>
      <c r="K20" s="936">
        <v>0</v>
      </c>
      <c r="L20" s="935"/>
      <c r="M20" s="936">
        <v>0</v>
      </c>
      <c r="N20" s="935"/>
      <c r="O20" s="936">
        <v>0</v>
      </c>
      <c r="P20" s="935"/>
      <c r="Q20" s="936">
        <v>0</v>
      </c>
      <c r="R20" s="935"/>
      <c r="S20" s="936">
        <v>0</v>
      </c>
      <c r="T20" s="935"/>
      <c r="U20" s="936">
        <f t="shared" si="0"/>
        <v>0</v>
      </c>
      <c r="V20" s="935"/>
      <c r="W20" s="936">
        <v>179</v>
      </c>
      <c r="X20" s="935"/>
      <c r="Y20" s="936">
        <v>3475</v>
      </c>
      <c r="Z20" s="935"/>
      <c r="AA20" s="936">
        <v>99</v>
      </c>
      <c r="AB20" s="986"/>
      <c r="AC20" s="936">
        <v>0</v>
      </c>
      <c r="AD20" s="935"/>
      <c r="AE20" s="945">
        <f t="shared" si="1"/>
        <v>3753</v>
      </c>
      <c r="AF20" s="935"/>
      <c r="AG20" s="945">
        <v>2180</v>
      </c>
      <c r="AH20" s="935"/>
    </row>
    <row r="21" spans="1:34" ht="18" customHeight="1">
      <c r="A21" s="935" t="s">
        <v>834</v>
      </c>
      <c r="B21" s="935" t="s">
        <v>6</v>
      </c>
      <c r="C21" s="936">
        <v>0</v>
      </c>
      <c r="D21" s="935"/>
      <c r="E21" s="936">
        <v>0</v>
      </c>
      <c r="F21" s="935"/>
      <c r="G21" s="936">
        <v>0</v>
      </c>
      <c r="H21" s="935"/>
      <c r="I21" s="936">
        <v>0</v>
      </c>
      <c r="J21" s="935"/>
      <c r="K21" s="936">
        <v>0</v>
      </c>
      <c r="L21" s="935"/>
      <c r="M21" s="936">
        <v>0</v>
      </c>
      <c r="N21" s="935"/>
      <c r="O21" s="936">
        <v>0</v>
      </c>
      <c r="P21" s="935"/>
      <c r="Q21" s="936">
        <v>0</v>
      </c>
      <c r="R21" s="935"/>
      <c r="S21" s="936">
        <v>0</v>
      </c>
      <c r="T21" s="935"/>
      <c r="U21" s="936">
        <f t="shared" si="0"/>
        <v>0</v>
      </c>
      <c r="V21" s="935"/>
      <c r="W21" s="936">
        <v>92</v>
      </c>
      <c r="X21" s="930"/>
      <c r="Y21" s="936">
        <v>1680</v>
      </c>
      <c r="Z21" s="935"/>
      <c r="AA21" s="936">
        <v>54</v>
      </c>
      <c r="AB21" s="984"/>
      <c r="AC21" s="936">
        <v>0</v>
      </c>
      <c r="AD21" s="935"/>
      <c r="AE21" s="945">
        <f t="shared" si="1"/>
        <v>1826</v>
      </c>
      <c r="AF21" s="935"/>
      <c r="AG21" s="945">
        <v>2224</v>
      </c>
      <c r="AH21" s="935"/>
    </row>
    <row r="22" spans="1:34" ht="18" customHeight="1">
      <c r="A22" s="935" t="s">
        <v>835</v>
      </c>
      <c r="B22" s="935" t="s">
        <v>6</v>
      </c>
      <c r="C22" s="936">
        <v>0</v>
      </c>
      <c r="D22" s="935"/>
      <c r="E22" s="936">
        <v>0</v>
      </c>
      <c r="F22" s="935"/>
      <c r="G22" s="936">
        <v>0</v>
      </c>
      <c r="H22" s="935"/>
      <c r="I22" s="936">
        <v>0</v>
      </c>
      <c r="J22" s="935"/>
      <c r="K22" s="936">
        <v>0</v>
      </c>
      <c r="L22" s="935"/>
      <c r="M22" s="936">
        <v>0</v>
      </c>
      <c r="N22" s="935"/>
      <c r="O22" s="936">
        <v>0</v>
      </c>
      <c r="P22" s="935"/>
      <c r="Q22" s="936">
        <v>0</v>
      </c>
      <c r="R22" s="935"/>
      <c r="S22" s="936">
        <v>0</v>
      </c>
      <c r="T22" s="935"/>
      <c r="U22" s="936">
        <f t="shared" si="0"/>
        <v>0</v>
      </c>
      <c r="V22" s="935"/>
      <c r="W22" s="936">
        <v>99201</v>
      </c>
      <c r="X22" s="930"/>
      <c r="Y22" s="936">
        <v>38165</v>
      </c>
      <c r="Z22" s="935"/>
      <c r="AA22" s="936">
        <v>46941</v>
      </c>
      <c r="AB22" s="986"/>
      <c r="AC22" s="936">
        <v>0</v>
      </c>
      <c r="AD22" s="935"/>
      <c r="AE22" s="945">
        <f t="shared" si="1"/>
        <v>184307</v>
      </c>
      <c r="AF22" s="935"/>
      <c r="AG22" s="945">
        <v>173459</v>
      </c>
      <c r="AH22" s="935"/>
    </row>
    <row r="23" spans="1:34" ht="18" customHeight="1">
      <c r="A23" s="941" t="s">
        <v>836</v>
      </c>
      <c r="B23" s="935" t="s">
        <v>6</v>
      </c>
      <c r="C23" s="936">
        <v>0</v>
      </c>
      <c r="D23" s="935"/>
      <c r="E23" s="936">
        <v>0</v>
      </c>
      <c r="F23" s="935"/>
      <c r="G23" s="936">
        <v>0</v>
      </c>
      <c r="H23" s="935"/>
      <c r="I23" s="936">
        <v>0</v>
      </c>
      <c r="J23" s="935"/>
      <c r="K23" s="936">
        <v>179400</v>
      </c>
      <c r="L23" s="935"/>
      <c r="M23" s="936">
        <v>0</v>
      </c>
      <c r="N23" s="935"/>
      <c r="O23" s="936">
        <v>0</v>
      </c>
      <c r="P23" s="935"/>
      <c r="Q23" s="936">
        <v>56414</v>
      </c>
      <c r="R23" s="935"/>
      <c r="S23" s="936">
        <v>0</v>
      </c>
      <c r="T23" s="935"/>
      <c r="U23" s="936">
        <f t="shared" si="0"/>
        <v>235814</v>
      </c>
      <c r="V23" s="935"/>
      <c r="W23" s="936">
        <v>118840</v>
      </c>
      <c r="X23" s="935"/>
      <c r="Y23" s="936">
        <v>31048</v>
      </c>
      <c r="Z23" s="935"/>
      <c r="AA23" s="936">
        <v>62929</v>
      </c>
      <c r="AB23" s="984"/>
      <c r="AC23" s="936">
        <v>0</v>
      </c>
      <c r="AD23" s="935"/>
      <c r="AE23" s="945">
        <f t="shared" si="1"/>
        <v>448631</v>
      </c>
      <c r="AF23" s="935"/>
      <c r="AG23" s="942">
        <v>583806</v>
      </c>
      <c r="AH23" s="935"/>
    </row>
    <row r="24" spans="1:34" ht="18" customHeight="1">
      <c r="A24" s="935" t="s">
        <v>837</v>
      </c>
      <c r="B24" s="490" t="s">
        <v>6</v>
      </c>
      <c r="C24" s="936">
        <v>0</v>
      </c>
      <c r="D24" s="935"/>
      <c r="E24" s="936">
        <v>0</v>
      </c>
      <c r="F24" s="935"/>
      <c r="G24" s="936">
        <v>0</v>
      </c>
      <c r="H24" s="935"/>
      <c r="I24" s="936">
        <v>5308442</v>
      </c>
      <c r="J24" s="935"/>
      <c r="K24" s="936">
        <v>750338</v>
      </c>
      <c r="L24" s="935"/>
      <c r="M24" s="936">
        <v>0</v>
      </c>
      <c r="N24" s="935"/>
      <c r="O24" s="936">
        <v>0</v>
      </c>
      <c r="P24" s="935"/>
      <c r="Q24" s="936">
        <v>21333</v>
      </c>
      <c r="R24" s="935"/>
      <c r="S24" s="936">
        <v>0</v>
      </c>
      <c r="T24" s="935"/>
      <c r="U24" s="936">
        <f t="shared" si="0"/>
        <v>6080113</v>
      </c>
      <c r="V24" s="935"/>
      <c r="W24" s="936">
        <v>153456</v>
      </c>
      <c r="X24" s="935"/>
      <c r="Y24" s="936">
        <v>140948</v>
      </c>
      <c r="Z24" s="935"/>
      <c r="AA24" s="936">
        <v>37799</v>
      </c>
      <c r="AB24" s="984"/>
      <c r="AC24" s="936">
        <v>0</v>
      </c>
      <c r="AD24" s="935"/>
      <c r="AE24" s="945">
        <f t="shared" si="1"/>
        <v>6412316</v>
      </c>
      <c r="AF24" s="935"/>
      <c r="AG24" s="945">
        <v>6266516</v>
      </c>
      <c r="AH24" s="935"/>
    </row>
    <row r="25" spans="1:34" ht="18" customHeight="1">
      <c r="A25" s="935" t="s">
        <v>838</v>
      </c>
      <c r="B25" s="935" t="s">
        <v>6</v>
      </c>
      <c r="C25" s="936">
        <v>0</v>
      </c>
      <c r="D25" s="935"/>
      <c r="E25" s="936">
        <v>0</v>
      </c>
      <c r="F25" s="935"/>
      <c r="G25" s="936">
        <v>0</v>
      </c>
      <c r="H25" s="935"/>
      <c r="I25" s="936">
        <v>0</v>
      </c>
      <c r="J25" s="935"/>
      <c r="K25" s="936">
        <v>0</v>
      </c>
      <c r="L25" s="935"/>
      <c r="M25" s="936">
        <v>0</v>
      </c>
      <c r="N25" s="935"/>
      <c r="O25" s="936">
        <v>58</v>
      </c>
      <c r="P25" s="935"/>
      <c r="Q25" s="936">
        <v>0</v>
      </c>
      <c r="R25" s="935"/>
      <c r="S25" s="936">
        <v>0</v>
      </c>
      <c r="T25" s="935"/>
      <c r="U25" s="936">
        <f t="shared" si="0"/>
        <v>58</v>
      </c>
      <c r="V25" s="935"/>
      <c r="W25" s="936">
        <v>32822</v>
      </c>
      <c r="X25" s="930"/>
      <c r="Y25" s="936">
        <v>13838</v>
      </c>
      <c r="Z25" s="935"/>
      <c r="AA25" s="936">
        <v>14206</v>
      </c>
      <c r="AB25" s="984"/>
      <c r="AC25" s="936">
        <v>0</v>
      </c>
      <c r="AD25" s="935"/>
      <c r="AE25" s="945">
        <f t="shared" si="1"/>
        <v>60924</v>
      </c>
      <c r="AF25" s="935"/>
      <c r="AG25" s="945">
        <v>63960</v>
      </c>
      <c r="AH25" s="935"/>
    </row>
    <row r="26" spans="1:34" ht="18" customHeight="1">
      <c r="A26" s="935" t="s">
        <v>839</v>
      </c>
      <c r="B26" s="935" t="s">
        <v>6</v>
      </c>
      <c r="C26" s="936">
        <v>0</v>
      </c>
      <c r="D26" s="935"/>
      <c r="E26" s="936">
        <v>0</v>
      </c>
      <c r="F26" s="935"/>
      <c r="G26" s="936">
        <v>0</v>
      </c>
      <c r="H26" s="935"/>
      <c r="I26" s="936">
        <v>0</v>
      </c>
      <c r="J26" s="935"/>
      <c r="K26" s="936">
        <v>0</v>
      </c>
      <c r="L26" s="935"/>
      <c r="M26" s="936">
        <v>0</v>
      </c>
      <c r="N26" s="935"/>
      <c r="O26" s="936">
        <v>0</v>
      </c>
      <c r="P26" s="935"/>
      <c r="Q26" s="936">
        <v>0</v>
      </c>
      <c r="R26" s="935"/>
      <c r="S26" s="936">
        <v>0</v>
      </c>
      <c r="T26" s="935"/>
      <c r="U26" s="936">
        <f t="shared" si="0"/>
        <v>0</v>
      </c>
      <c r="V26" s="935"/>
      <c r="W26" s="936">
        <v>33324</v>
      </c>
      <c r="X26" s="930"/>
      <c r="Y26" s="936">
        <v>38370</v>
      </c>
      <c r="Z26" s="935"/>
      <c r="AA26" s="936">
        <v>18954</v>
      </c>
      <c r="AB26" s="984"/>
      <c r="AC26" s="936">
        <v>0</v>
      </c>
      <c r="AD26" s="935"/>
      <c r="AE26" s="945">
        <f t="shared" si="1"/>
        <v>90648</v>
      </c>
      <c r="AF26" s="935"/>
      <c r="AG26" s="945">
        <v>85243</v>
      </c>
      <c r="AH26" s="935"/>
    </row>
    <row r="27" spans="1:34" ht="18" customHeight="1">
      <c r="A27" s="935" t="s">
        <v>840</v>
      </c>
      <c r="B27" s="935" t="s">
        <v>6</v>
      </c>
      <c r="C27" s="936">
        <v>0</v>
      </c>
      <c r="D27" s="935"/>
      <c r="E27" s="936">
        <v>0</v>
      </c>
      <c r="F27" s="935"/>
      <c r="G27" s="936">
        <v>0</v>
      </c>
      <c r="H27" s="935"/>
      <c r="I27" s="936">
        <v>0</v>
      </c>
      <c r="J27" s="935"/>
      <c r="K27" s="936">
        <v>0</v>
      </c>
      <c r="L27" s="935"/>
      <c r="M27" s="936">
        <v>0</v>
      </c>
      <c r="N27" s="935"/>
      <c r="O27" s="936">
        <v>0</v>
      </c>
      <c r="P27" s="935"/>
      <c r="Q27" s="936">
        <v>0</v>
      </c>
      <c r="R27" s="935"/>
      <c r="S27" s="936">
        <v>0</v>
      </c>
      <c r="T27" s="935"/>
      <c r="U27" s="936">
        <f t="shared" si="0"/>
        <v>0</v>
      </c>
      <c r="V27" s="935"/>
      <c r="W27" s="936">
        <v>38080</v>
      </c>
      <c r="X27" s="935"/>
      <c r="Y27" s="936">
        <v>14865</v>
      </c>
      <c r="Z27" s="935"/>
      <c r="AA27" s="936">
        <v>21249</v>
      </c>
      <c r="AB27" s="984"/>
      <c r="AC27" s="936">
        <v>0</v>
      </c>
      <c r="AD27" s="935"/>
      <c r="AE27" s="945">
        <f t="shared" si="1"/>
        <v>74194</v>
      </c>
      <c r="AF27" s="935"/>
      <c r="AG27" s="942">
        <v>71322</v>
      </c>
      <c r="AH27" s="935"/>
    </row>
    <row r="28" spans="1:34" ht="18" customHeight="1">
      <c r="A28" s="935" t="s">
        <v>841</v>
      </c>
      <c r="B28" s="935" t="s">
        <v>6</v>
      </c>
      <c r="C28" s="936">
        <v>0</v>
      </c>
      <c r="D28" s="935"/>
      <c r="E28" s="936">
        <v>0</v>
      </c>
      <c r="F28" s="935"/>
      <c r="G28" s="936">
        <v>0</v>
      </c>
      <c r="H28" s="935"/>
      <c r="I28" s="936">
        <v>0</v>
      </c>
      <c r="J28" s="935"/>
      <c r="K28" s="936">
        <v>0</v>
      </c>
      <c r="L28" s="935"/>
      <c r="M28" s="936">
        <v>0</v>
      </c>
      <c r="N28" s="935"/>
      <c r="O28" s="936">
        <v>0</v>
      </c>
      <c r="P28" s="935"/>
      <c r="Q28" s="936">
        <v>0</v>
      </c>
      <c r="R28" s="935"/>
      <c r="S28" s="936">
        <v>0</v>
      </c>
      <c r="T28" s="935"/>
      <c r="U28" s="936">
        <f t="shared" si="0"/>
        <v>0</v>
      </c>
      <c r="V28" s="935"/>
      <c r="W28" s="936">
        <v>40859</v>
      </c>
      <c r="X28" s="935"/>
      <c r="Y28" s="936">
        <v>8592</v>
      </c>
      <c r="Z28" s="935"/>
      <c r="AA28" s="936">
        <v>18992</v>
      </c>
      <c r="AB28" s="984"/>
      <c r="AC28" s="936">
        <v>0</v>
      </c>
      <c r="AD28" s="935"/>
      <c r="AE28" s="945">
        <f t="shared" si="1"/>
        <v>68443</v>
      </c>
      <c r="AF28" s="935"/>
      <c r="AG28" s="942">
        <v>69077</v>
      </c>
      <c r="AH28" s="935"/>
    </row>
    <row r="29" spans="1:34" ht="18" customHeight="1">
      <c r="A29" s="935" t="s">
        <v>842</v>
      </c>
      <c r="B29" s="935" t="s">
        <v>6</v>
      </c>
      <c r="C29" s="936">
        <v>0</v>
      </c>
      <c r="D29" s="935"/>
      <c r="E29" s="936">
        <v>0</v>
      </c>
      <c r="F29" s="935"/>
      <c r="G29" s="936">
        <v>638</v>
      </c>
      <c r="H29" s="935"/>
      <c r="I29" s="936">
        <v>0</v>
      </c>
      <c r="J29" s="935"/>
      <c r="K29" s="936">
        <v>0</v>
      </c>
      <c r="L29" s="935"/>
      <c r="M29" s="936">
        <v>0</v>
      </c>
      <c r="N29" s="935"/>
      <c r="O29" s="936">
        <v>0</v>
      </c>
      <c r="P29" s="935"/>
      <c r="Q29" s="936">
        <v>0</v>
      </c>
      <c r="R29" s="935"/>
      <c r="S29" s="936">
        <v>0</v>
      </c>
      <c r="T29" s="935"/>
      <c r="U29" s="936">
        <f t="shared" si="0"/>
        <v>638</v>
      </c>
      <c r="V29" s="935"/>
      <c r="W29" s="936">
        <v>20100</v>
      </c>
      <c r="X29" s="930"/>
      <c r="Y29" s="936">
        <v>14110</v>
      </c>
      <c r="Z29" s="935"/>
      <c r="AA29" s="936">
        <v>9859</v>
      </c>
      <c r="AB29" s="984"/>
      <c r="AC29" s="936">
        <v>0</v>
      </c>
      <c r="AD29" s="935"/>
      <c r="AE29" s="945">
        <f t="shared" si="1"/>
        <v>44707</v>
      </c>
      <c r="AF29" s="935"/>
      <c r="AG29" s="945">
        <v>42838</v>
      </c>
      <c r="AH29" s="935"/>
    </row>
    <row r="30" spans="1:34" ht="18" customHeight="1">
      <c r="A30" s="935" t="s">
        <v>843</v>
      </c>
      <c r="B30" s="935" t="s">
        <v>6</v>
      </c>
      <c r="C30" s="936">
        <v>3064</v>
      </c>
      <c r="D30" s="935"/>
      <c r="E30" s="936">
        <v>0</v>
      </c>
      <c r="F30" s="935"/>
      <c r="G30" s="936">
        <v>0</v>
      </c>
      <c r="H30" s="935"/>
      <c r="I30" s="936">
        <v>0</v>
      </c>
      <c r="J30" s="935"/>
      <c r="K30" s="936">
        <v>0</v>
      </c>
      <c r="L30" s="935"/>
      <c r="M30" s="936">
        <v>0</v>
      </c>
      <c r="N30" s="935"/>
      <c r="O30" s="936">
        <v>0</v>
      </c>
      <c r="P30" s="935"/>
      <c r="Q30" s="936">
        <v>0</v>
      </c>
      <c r="R30" s="935"/>
      <c r="S30" s="936">
        <v>0</v>
      </c>
      <c r="T30" s="935"/>
      <c r="U30" s="936">
        <f t="shared" si="0"/>
        <v>3064</v>
      </c>
      <c r="V30" s="935"/>
      <c r="W30" s="936">
        <v>45481</v>
      </c>
      <c r="X30" s="930"/>
      <c r="Y30" s="936">
        <v>26749</v>
      </c>
      <c r="Z30" s="935"/>
      <c r="AA30" s="936">
        <v>18060</v>
      </c>
      <c r="AB30" s="984"/>
      <c r="AC30" s="936">
        <v>0</v>
      </c>
      <c r="AD30" s="935"/>
      <c r="AE30" s="945">
        <f t="shared" si="1"/>
        <v>93354</v>
      </c>
      <c r="AF30" s="935"/>
      <c r="AG30" s="945">
        <v>109185</v>
      </c>
      <c r="AH30" s="935"/>
    </row>
    <row r="31" spans="1:34" ht="18" customHeight="1">
      <c r="A31" s="935" t="s">
        <v>844</v>
      </c>
      <c r="B31" s="935" t="s">
        <v>6</v>
      </c>
      <c r="C31" s="936">
        <v>0</v>
      </c>
      <c r="D31" s="935"/>
      <c r="E31" s="936">
        <v>0</v>
      </c>
      <c r="F31" s="935"/>
      <c r="G31" s="936">
        <v>0</v>
      </c>
      <c r="H31" s="935"/>
      <c r="I31" s="936">
        <v>0</v>
      </c>
      <c r="J31" s="935"/>
      <c r="K31" s="936">
        <v>0</v>
      </c>
      <c r="L31" s="935"/>
      <c r="M31" s="936">
        <v>0</v>
      </c>
      <c r="N31" s="935"/>
      <c r="O31" s="936">
        <v>0</v>
      </c>
      <c r="P31" s="935"/>
      <c r="Q31" s="936">
        <v>0</v>
      </c>
      <c r="R31" s="935"/>
      <c r="S31" s="936">
        <v>4633878</v>
      </c>
      <c r="T31" s="935"/>
      <c r="U31" s="936">
        <f t="shared" si="0"/>
        <v>4633878</v>
      </c>
      <c r="V31" s="930"/>
      <c r="W31" s="936">
        <v>6886</v>
      </c>
      <c r="X31" s="930"/>
      <c r="Y31" s="936">
        <v>11125</v>
      </c>
      <c r="Z31" s="930"/>
      <c r="AA31" s="936">
        <v>3897</v>
      </c>
      <c r="AB31" s="984"/>
      <c r="AC31" s="936">
        <v>0</v>
      </c>
      <c r="AD31" s="935"/>
      <c r="AE31" s="945">
        <f t="shared" si="1"/>
        <v>4655786</v>
      </c>
      <c r="AF31" s="935"/>
      <c r="AG31" s="945">
        <v>4762983</v>
      </c>
      <c r="AH31" s="935"/>
    </row>
    <row r="32" spans="1:34" ht="18" customHeight="1">
      <c r="A32" s="929" t="s">
        <v>845</v>
      </c>
      <c r="B32" s="930" t="s">
        <v>6</v>
      </c>
      <c r="C32" s="936">
        <v>0</v>
      </c>
      <c r="D32" s="930" t="s">
        <v>6</v>
      </c>
      <c r="E32" s="936">
        <v>0</v>
      </c>
      <c r="F32" s="930" t="s">
        <v>6</v>
      </c>
      <c r="G32" s="936">
        <v>0</v>
      </c>
      <c r="H32" s="930" t="s">
        <v>6</v>
      </c>
      <c r="I32" s="936">
        <v>0</v>
      </c>
      <c r="J32" s="930" t="s">
        <v>6</v>
      </c>
      <c r="K32" s="936">
        <v>0</v>
      </c>
      <c r="L32" s="930" t="s">
        <v>6</v>
      </c>
      <c r="M32" s="936">
        <v>0</v>
      </c>
      <c r="N32" s="930" t="s">
        <v>6</v>
      </c>
      <c r="O32" s="936">
        <v>0</v>
      </c>
      <c r="P32" s="930" t="s">
        <v>6</v>
      </c>
      <c r="Q32" s="936">
        <v>0</v>
      </c>
      <c r="R32" s="930" t="s">
        <v>6</v>
      </c>
      <c r="S32" s="936">
        <v>0</v>
      </c>
      <c r="T32" s="930" t="s">
        <v>6</v>
      </c>
      <c r="U32" s="936">
        <f t="shared" si="0"/>
        <v>0</v>
      </c>
      <c r="V32" s="930" t="s">
        <v>6</v>
      </c>
      <c r="W32" s="936">
        <v>7622</v>
      </c>
      <c r="X32" s="930" t="s">
        <v>6</v>
      </c>
      <c r="Y32" s="936">
        <v>4878</v>
      </c>
      <c r="Z32" s="930" t="s">
        <v>6</v>
      </c>
      <c r="AA32" s="936">
        <v>4776</v>
      </c>
      <c r="AB32" s="930" t="s">
        <v>6</v>
      </c>
      <c r="AC32" s="936">
        <v>0</v>
      </c>
      <c r="AD32" s="930" t="s">
        <v>6</v>
      </c>
      <c r="AE32" s="945">
        <f t="shared" si="1"/>
        <v>17276</v>
      </c>
      <c r="AF32" s="930"/>
      <c r="AG32" s="937">
        <v>17637</v>
      </c>
      <c r="AH32" s="930"/>
    </row>
    <row r="33" spans="1:34" ht="18" customHeight="1">
      <c r="A33" s="935" t="s">
        <v>846</v>
      </c>
      <c r="B33" s="935" t="s">
        <v>6</v>
      </c>
      <c r="C33" s="936">
        <v>0</v>
      </c>
      <c r="D33" s="935"/>
      <c r="E33" s="936">
        <v>0</v>
      </c>
      <c r="F33" s="935"/>
      <c r="G33" s="936">
        <v>0</v>
      </c>
      <c r="H33" s="935"/>
      <c r="I33" s="936">
        <v>0</v>
      </c>
      <c r="J33" s="935"/>
      <c r="K33" s="936">
        <v>0</v>
      </c>
      <c r="L33" s="935"/>
      <c r="M33" s="936">
        <v>0</v>
      </c>
      <c r="N33" s="935"/>
      <c r="O33" s="936">
        <v>0</v>
      </c>
      <c r="P33" s="935"/>
      <c r="Q33" s="936">
        <v>0</v>
      </c>
      <c r="R33" s="935"/>
      <c r="S33" s="936">
        <v>0</v>
      </c>
      <c r="T33" s="490"/>
      <c r="U33" s="936">
        <f t="shared" si="0"/>
        <v>0</v>
      </c>
      <c r="V33" s="935"/>
      <c r="W33" s="936">
        <v>1491</v>
      </c>
      <c r="X33" s="935"/>
      <c r="Y33" s="936">
        <v>826</v>
      </c>
      <c r="Z33" s="935"/>
      <c r="AA33" s="936">
        <v>830</v>
      </c>
      <c r="AB33" s="984"/>
      <c r="AC33" s="936">
        <v>0</v>
      </c>
      <c r="AD33" s="935"/>
      <c r="AE33" s="945">
        <f t="shared" si="1"/>
        <v>3147</v>
      </c>
      <c r="AF33" s="935"/>
      <c r="AG33" s="945">
        <v>3488</v>
      </c>
      <c r="AH33" s="935"/>
    </row>
    <row r="34" spans="1:34" ht="18" customHeight="1">
      <c r="A34" s="935" t="s">
        <v>847</v>
      </c>
      <c r="B34" s="935" t="s">
        <v>6</v>
      </c>
      <c r="C34" s="936">
        <v>0</v>
      </c>
      <c r="D34" s="935"/>
      <c r="E34" s="936">
        <v>0</v>
      </c>
      <c r="F34" s="935"/>
      <c r="G34" s="936">
        <v>0</v>
      </c>
      <c r="H34" s="935"/>
      <c r="I34" s="936">
        <v>0</v>
      </c>
      <c r="J34" s="935"/>
      <c r="K34" s="936">
        <v>0</v>
      </c>
      <c r="L34" s="935"/>
      <c r="M34" s="936">
        <v>31670</v>
      </c>
      <c r="N34" s="935"/>
      <c r="O34" s="936">
        <v>0</v>
      </c>
      <c r="P34" s="935"/>
      <c r="Q34" s="936">
        <v>1950</v>
      </c>
      <c r="R34" s="935"/>
      <c r="S34" s="936">
        <v>0</v>
      </c>
      <c r="T34" s="935"/>
      <c r="U34" s="936">
        <f t="shared" si="0"/>
        <v>33620</v>
      </c>
      <c r="V34" s="935"/>
      <c r="W34" s="936">
        <v>343</v>
      </c>
      <c r="X34" s="935"/>
      <c r="Y34" s="936">
        <v>685</v>
      </c>
      <c r="Z34" s="935"/>
      <c r="AA34" s="936">
        <v>41</v>
      </c>
      <c r="AB34" s="986"/>
      <c r="AC34" s="936">
        <v>0</v>
      </c>
      <c r="AD34" s="935"/>
      <c r="AE34" s="945">
        <f t="shared" si="1"/>
        <v>34689</v>
      </c>
      <c r="AF34" s="935"/>
      <c r="AG34" s="945">
        <v>30940</v>
      </c>
      <c r="AH34" s="935"/>
    </row>
    <row r="35" spans="1:34" ht="18" customHeight="1">
      <c r="A35" s="935" t="s">
        <v>777</v>
      </c>
      <c r="B35" s="490" t="s">
        <v>6</v>
      </c>
      <c r="C35" s="936">
        <v>0</v>
      </c>
      <c r="D35" s="935"/>
      <c r="E35" s="936">
        <v>0</v>
      </c>
      <c r="F35" s="935"/>
      <c r="G35" s="936">
        <v>0</v>
      </c>
      <c r="H35" s="935"/>
      <c r="I35" s="936">
        <v>0</v>
      </c>
      <c r="J35" s="935"/>
      <c r="K35" s="936">
        <v>0</v>
      </c>
      <c r="L35" s="935"/>
      <c r="M35" s="936">
        <v>33703</v>
      </c>
      <c r="N35" s="935"/>
      <c r="O35" s="936">
        <v>0</v>
      </c>
      <c r="P35" s="935"/>
      <c r="Q35" s="936">
        <v>989</v>
      </c>
      <c r="R35" s="935"/>
      <c r="S35" s="936">
        <v>0</v>
      </c>
      <c r="T35" s="935"/>
      <c r="U35" s="936">
        <f t="shared" si="0"/>
        <v>34692</v>
      </c>
      <c r="V35" s="935"/>
      <c r="W35" s="936">
        <v>23787</v>
      </c>
      <c r="X35" s="930"/>
      <c r="Y35" s="936">
        <v>17539</v>
      </c>
      <c r="Z35" s="935"/>
      <c r="AA35" s="936">
        <v>5390</v>
      </c>
      <c r="AB35" s="984"/>
      <c r="AC35" s="936">
        <v>0</v>
      </c>
      <c r="AD35" s="935"/>
      <c r="AE35" s="945">
        <f t="shared" si="1"/>
        <v>81408</v>
      </c>
      <c r="AF35" s="935"/>
      <c r="AG35" s="945">
        <v>80925</v>
      </c>
      <c r="AH35" s="935"/>
    </row>
    <row r="36" spans="1:34" ht="18" customHeight="1">
      <c r="A36" s="935" t="s">
        <v>848</v>
      </c>
      <c r="B36" s="935" t="s">
        <v>6</v>
      </c>
      <c r="C36" s="936">
        <v>0</v>
      </c>
      <c r="D36" s="935"/>
      <c r="E36" s="936">
        <v>0</v>
      </c>
      <c r="F36" s="935"/>
      <c r="G36" s="936">
        <v>0</v>
      </c>
      <c r="H36" s="935"/>
      <c r="I36" s="936">
        <v>0</v>
      </c>
      <c r="J36" s="935"/>
      <c r="K36" s="936">
        <v>0</v>
      </c>
      <c r="L36" s="935"/>
      <c r="M36" s="936">
        <v>0</v>
      </c>
      <c r="N36" s="935"/>
      <c r="O36" s="936">
        <v>295</v>
      </c>
      <c r="P36" s="935"/>
      <c r="Q36" s="936">
        <v>0</v>
      </c>
      <c r="R36" s="935"/>
      <c r="S36" s="936">
        <v>0</v>
      </c>
      <c r="T36" s="935"/>
      <c r="U36" s="936">
        <f t="shared" si="0"/>
        <v>295</v>
      </c>
      <c r="V36" s="935"/>
      <c r="W36" s="936">
        <v>33869</v>
      </c>
      <c r="X36" s="930"/>
      <c r="Y36" s="936">
        <v>9263</v>
      </c>
      <c r="Z36" s="935"/>
      <c r="AA36" s="936">
        <v>15975</v>
      </c>
      <c r="AB36" s="984"/>
      <c r="AC36" s="936">
        <v>0</v>
      </c>
      <c r="AD36" s="935"/>
      <c r="AE36" s="945">
        <f t="shared" si="1"/>
        <v>59402</v>
      </c>
      <c r="AF36" s="935"/>
      <c r="AG36" s="945">
        <v>60763</v>
      </c>
      <c r="AH36" s="935"/>
    </row>
    <row r="37" spans="1:34" ht="16.5" customHeight="1">
      <c r="A37" s="935" t="s">
        <v>849</v>
      </c>
      <c r="B37" s="935" t="s">
        <v>6</v>
      </c>
      <c r="C37" s="936">
        <v>0</v>
      </c>
      <c r="D37" s="935"/>
      <c r="E37" s="936">
        <v>0</v>
      </c>
      <c r="F37" s="935"/>
      <c r="G37" s="936">
        <v>0</v>
      </c>
      <c r="H37" s="935"/>
      <c r="I37" s="936">
        <v>0</v>
      </c>
      <c r="J37" s="935"/>
      <c r="K37" s="936">
        <v>0</v>
      </c>
      <c r="L37" s="935"/>
      <c r="M37" s="936">
        <v>0</v>
      </c>
      <c r="N37" s="935"/>
      <c r="O37" s="936">
        <v>0</v>
      </c>
      <c r="P37" s="935"/>
      <c r="Q37" s="936">
        <v>0</v>
      </c>
      <c r="R37" s="935"/>
      <c r="S37" s="936">
        <v>0</v>
      </c>
      <c r="T37" s="935"/>
      <c r="U37" s="936">
        <f t="shared" si="0"/>
        <v>0</v>
      </c>
      <c r="V37" s="935"/>
      <c r="W37" s="936">
        <v>435</v>
      </c>
      <c r="X37" s="930"/>
      <c r="Y37" s="936">
        <v>3052</v>
      </c>
      <c r="Z37" s="935"/>
      <c r="AA37" s="936">
        <v>-6</v>
      </c>
      <c r="AB37" s="984"/>
      <c r="AC37" s="936">
        <v>0</v>
      </c>
      <c r="AD37" s="935"/>
      <c r="AE37" s="945">
        <f t="shared" si="1"/>
        <v>3481</v>
      </c>
      <c r="AF37" s="935"/>
      <c r="AG37" s="945">
        <v>3664</v>
      </c>
      <c r="AH37" s="935"/>
    </row>
    <row r="38" spans="1:34" ht="18" customHeight="1">
      <c r="A38" s="935" t="s">
        <v>850</v>
      </c>
      <c r="B38" s="935" t="s">
        <v>6</v>
      </c>
      <c r="C38" s="936">
        <v>0</v>
      </c>
      <c r="D38" s="935"/>
      <c r="E38" s="936">
        <v>0</v>
      </c>
      <c r="F38" s="935"/>
      <c r="G38" s="936">
        <v>0</v>
      </c>
      <c r="H38" s="935"/>
      <c r="I38" s="936">
        <v>0</v>
      </c>
      <c r="J38" s="935"/>
      <c r="K38" s="936">
        <v>0</v>
      </c>
      <c r="L38" s="935"/>
      <c r="M38" s="936">
        <v>0</v>
      </c>
      <c r="N38" s="935"/>
      <c r="O38" s="936">
        <v>0</v>
      </c>
      <c r="P38" s="935"/>
      <c r="Q38" s="936">
        <v>0</v>
      </c>
      <c r="R38" s="935"/>
      <c r="S38" s="936">
        <v>0</v>
      </c>
      <c r="T38" s="935"/>
      <c r="U38" s="936">
        <f t="shared" si="0"/>
        <v>0</v>
      </c>
      <c r="V38" s="935"/>
      <c r="W38" s="936">
        <v>11418</v>
      </c>
      <c r="X38" s="930"/>
      <c r="Y38" s="936">
        <v>29937</v>
      </c>
      <c r="Z38" s="935"/>
      <c r="AA38" s="936">
        <v>2452</v>
      </c>
      <c r="AB38" s="984"/>
      <c r="AC38" s="936">
        <v>0</v>
      </c>
      <c r="AD38" s="935"/>
      <c r="AE38" s="945">
        <f t="shared" si="1"/>
        <v>43807</v>
      </c>
      <c r="AF38" s="935"/>
      <c r="AG38" s="945">
        <v>62018</v>
      </c>
      <c r="AH38" s="935"/>
    </row>
    <row r="39" spans="1:34" ht="18" customHeight="1">
      <c r="A39" s="941" t="s">
        <v>851</v>
      </c>
      <c r="B39" s="935" t="s">
        <v>6</v>
      </c>
      <c r="C39" s="936">
        <v>0</v>
      </c>
      <c r="D39" s="935"/>
      <c r="E39" s="936">
        <v>0</v>
      </c>
      <c r="F39" s="935"/>
      <c r="G39" s="936">
        <v>0</v>
      </c>
      <c r="H39" s="935"/>
      <c r="I39" s="936">
        <v>0</v>
      </c>
      <c r="J39" s="935"/>
      <c r="K39" s="936">
        <v>0</v>
      </c>
      <c r="L39" s="935"/>
      <c r="M39" s="936">
        <v>0</v>
      </c>
      <c r="N39" s="935"/>
      <c r="O39" s="936">
        <v>0</v>
      </c>
      <c r="P39" s="935"/>
      <c r="Q39" s="936">
        <v>0</v>
      </c>
      <c r="R39" s="935"/>
      <c r="S39" s="936">
        <v>0</v>
      </c>
      <c r="T39" s="935"/>
      <c r="U39" s="936">
        <f t="shared" si="0"/>
        <v>0</v>
      </c>
      <c r="V39" s="935"/>
      <c r="W39" s="936">
        <v>1246</v>
      </c>
      <c r="X39" s="935"/>
      <c r="Y39" s="936">
        <v>780</v>
      </c>
      <c r="Z39" s="935"/>
      <c r="AA39" s="936">
        <v>706</v>
      </c>
      <c r="AB39" s="984"/>
      <c r="AC39" s="936">
        <v>0</v>
      </c>
      <c r="AD39" s="935"/>
      <c r="AE39" s="945">
        <f t="shared" si="1"/>
        <v>2732</v>
      </c>
      <c r="AF39" s="935"/>
      <c r="AG39" s="942">
        <v>2719</v>
      </c>
      <c r="AH39" s="935"/>
    </row>
    <row r="40" spans="1:34" ht="18" customHeight="1">
      <c r="A40" s="935" t="s">
        <v>852</v>
      </c>
      <c r="B40" s="935" t="s">
        <v>6</v>
      </c>
      <c r="C40" s="936">
        <v>16000</v>
      </c>
      <c r="D40" s="935"/>
      <c r="E40" s="936">
        <v>0</v>
      </c>
      <c r="F40" s="935"/>
      <c r="G40" s="936">
        <v>0</v>
      </c>
      <c r="H40" s="935"/>
      <c r="I40" s="936">
        <v>0</v>
      </c>
      <c r="J40" s="935"/>
      <c r="K40" s="936">
        <v>2184</v>
      </c>
      <c r="L40" s="935"/>
      <c r="M40" s="936">
        <v>2579</v>
      </c>
      <c r="N40" s="935"/>
      <c r="O40" s="936">
        <v>0</v>
      </c>
      <c r="P40" s="935"/>
      <c r="Q40" s="936">
        <v>0</v>
      </c>
      <c r="R40" s="935"/>
      <c r="S40" s="936">
        <v>0</v>
      </c>
      <c r="T40" s="935"/>
      <c r="U40" s="936">
        <f t="shared" si="0"/>
        <v>20763</v>
      </c>
      <c r="V40" s="935"/>
      <c r="W40" s="936">
        <v>15253</v>
      </c>
      <c r="X40" s="935"/>
      <c r="Y40" s="936">
        <v>28511</v>
      </c>
      <c r="Z40" s="930"/>
      <c r="AA40" s="936">
        <v>8616</v>
      </c>
      <c r="AB40" s="984"/>
      <c r="AC40" s="936">
        <v>0</v>
      </c>
      <c r="AD40" s="935"/>
      <c r="AE40" s="945">
        <f t="shared" si="1"/>
        <v>73143</v>
      </c>
      <c r="AF40" s="935"/>
      <c r="AG40" s="945">
        <v>93554</v>
      </c>
      <c r="AH40" s="935"/>
    </row>
    <row r="41" spans="1:34" ht="18" customHeight="1">
      <c r="A41" s="935" t="s">
        <v>853</v>
      </c>
      <c r="B41" s="935" t="s">
        <v>6</v>
      </c>
      <c r="C41" s="936">
        <v>0</v>
      </c>
      <c r="D41" s="935"/>
      <c r="E41" s="936">
        <v>0</v>
      </c>
      <c r="F41" s="935"/>
      <c r="G41" s="936">
        <v>0</v>
      </c>
      <c r="H41" s="935"/>
      <c r="I41" s="936">
        <v>0</v>
      </c>
      <c r="J41" s="935"/>
      <c r="K41" s="936">
        <v>0</v>
      </c>
      <c r="L41" s="935"/>
      <c r="M41" s="936">
        <v>6789</v>
      </c>
      <c r="N41" s="935"/>
      <c r="O41" s="936">
        <v>0</v>
      </c>
      <c r="P41" s="935"/>
      <c r="Q41" s="936">
        <v>0</v>
      </c>
      <c r="R41" s="935"/>
      <c r="S41" s="936">
        <v>0</v>
      </c>
      <c r="T41" s="935"/>
      <c r="U41" s="936">
        <f t="shared" si="0"/>
        <v>6789</v>
      </c>
      <c r="V41" s="935"/>
      <c r="W41" s="936">
        <v>674</v>
      </c>
      <c r="X41" s="930"/>
      <c r="Y41" s="936">
        <v>393</v>
      </c>
      <c r="Z41" s="930"/>
      <c r="AA41" s="936">
        <v>377</v>
      </c>
      <c r="AB41" s="984"/>
      <c r="AC41" s="936">
        <v>0</v>
      </c>
      <c r="AD41" s="935"/>
      <c r="AE41" s="945">
        <f t="shared" si="1"/>
        <v>8233</v>
      </c>
      <c r="AF41" s="935"/>
      <c r="AG41" s="942">
        <v>8572</v>
      </c>
      <c r="AH41" s="935"/>
    </row>
    <row r="42" spans="1:34" ht="18" customHeight="1">
      <c r="A42" s="935" t="s">
        <v>2264</v>
      </c>
      <c r="B42" s="935" t="s">
        <v>6</v>
      </c>
      <c r="C42" s="936">
        <v>0</v>
      </c>
      <c r="D42" s="935"/>
      <c r="E42" s="936">
        <v>0</v>
      </c>
      <c r="F42" s="935"/>
      <c r="G42" s="936">
        <v>0</v>
      </c>
      <c r="H42" s="935"/>
      <c r="I42" s="936">
        <v>0</v>
      </c>
      <c r="J42" s="935"/>
      <c r="K42" s="936">
        <v>430</v>
      </c>
      <c r="L42" s="935"/>
      <c r="M42" s="936">
        <v>0</v>
      </c>
      <c r="N42" s="935"/>
      <c r="O42" s="936">
        <v>0</v>
      </c>
      <c r="P42" s="935"/>
      <c r="Q42" s="936">
        <v>0</v>
      </c>
      <c r="R42" s="935"/>
      <c r="S42" s="936">
        <v>0</v>
      </c>
      <c r="T42" s="935"/>
      <c r="U42" s="936">
        <f t="shared" si="0"/>
        <v>430</v>
      </c>
      <c r="V42" s="935"/>
      <c r="W42" s="936">
        <v>1191</v>
      </c>
      <c r="X42" s="930"/>
      <c r="Y42" s="936">
        <v>29</v>
      </c>
      <c r="Z42" s="930"/>
      <c r="AA42" s="936">
        <v>634</v>
      </c>
      <c r="AB42" s="984"/>
      <c r="AC42" s="936">
        <v>0</v>
      </c>
      <c r="AD42" s="935"/>
      <c r="AE42" s="945">
        <f t="shared" si="1"/>
        <v>2284</v>
      </c>
      <c r="AF42" s="935"/>
      <c r="AG42" s="942">
        <v>2185</v>
      </c>
      <c r="AH42" s="935"/>
    </row>
    <row r="43" spans="1:34" ht="18" customHeight="1">
      <c r="A43" s="935" t="s">
        <v>2273</v>
      </c>
      <c r="B43" s="935"/>
      <c r="C43" s="936">
        <v>0</v>
      </c>
      <c r="D43" s="935"/>
      <c r="E43" s="936">
        <v>0</v>
      </c>
      <c r="F43" s="935"/>
      <c r="G43" s="936">
        <v>0</v>
      </c>
      <c r="H43" s="935"/>
      <c r="I43" s="936">
        <v>0</v>
      </c>
      <c r="J43" s="935"/>
      <c r="K43" s="936">
        <v>0</v>
      </c>
      <c r="L43" s="935"/>
      <c r="M43" s="936">
        <v>0</v>
      </c>
      <c r="N43" s="935"/>
      <c r="O43" s="936">
        <v>0</v>
      </c>
      <c r="P43" s="935"/>
      <c r="Q43" s="936">
        <v>0</v>
      </c>
      <c r="R43" s="935"/>
      <c r="S43" s="936">
        <v>0</v>
      </c>
      <c r="T43" s="935"/>
      <c r="U43" s="936">
        <f t="shared" si="0"/>
        <v>0</v>
      </c>
      <c r="V43" s="935"/>
      <c r="W43" s="936">
        <v>683</v>
      </c>
      <c r="X43" s="930"/>
      <c r="Y43" s="936">
        <v>499</v>
      </c>
      <c r="Z43" s="930"/>
      <c r="AA43" s="936">
        <v>380</v>
      </c>
      <c r="AB43" s="984"/>
      <c r="AC43" s="936">
        <v>0</v>
      </c>
      <c r="AD43" s="935"/>
      <c r="AE43" s="945">
        <f t="shared" si="1"/>
        <v>1562</v>
      </c>
      <c r="AF43" s="935"/>
      <c r="AG43" s="942">
        <v>1521</v>
      </c>
      <c r="AH43" s="935"/>
    </row>
    <row r="44" spans="1:34" ht="18" customHeight="1">
      <c r="A44" s="935" t="s">
        <v>854</v>
      </c>
      <c r="B44" s="935" t="s">
        <v>6</v>
      </c>
      <c r="C44" s="936">
        <v>0</v>
      </c>
      <c r="D44" s="935"/>
      <c r="E44" s="936">
        <v>0</v>
      </c>
      <c r="F44" s="935"/>
      <c r="G44" s="936">
        <v>0</v>
      </c>
      <c r="H44" s="935"/>
      <c r="I44" s="936">
        <v>0</v>
      </c>
      <c r="J44" s="935"/>
      <c r="K44" s="936">
        <v>0</v>
      </c>
      <c r="L44" s="935"/>
      <c r="M44" s="936">
        <v>0</v>
      </c>
      <c r="N44" s="935"/>
      <c r="O44" s="936">
        <v>0</v>
      </c>
      <c r="P44" s="935"/>
      <c r="Q44" s="936">
        <v>0</v>
      </c>
      <c r="R44" s="935"/>
      <c r="S44" s="936">
        <v>0</v>
      </c>
      <c r="T44" s="935"/>
      <c r="U44" s="936">
        <f t="shared" si="0"/>
        <v>0</v>
      </c>
      <c r="V44" s="935"/>
      <c r="W44" s="936">
        <v>0</v>
      </c>
      <c r="X44" s="930"/>
      <c r="Y44" s="936">
        <v>1469</v>
      </c>
      <c r="Z44" s="935"/>
      <c r="AA44" s="936">
        <v>0</v>
      </c>
      <c r="AB44" s="984"/>
      <c r="AC44" s="936">
        <v>0</v>
      </c>
      <c r="AD44" s="935"/>
      <c r="AE44" s="945">
        <f t="shared" si="1"/>
        <v>1469</v>
      </c>
      <c r="AF44" s="935"/>
      <c r="AG44" s="942">
        <v>1046</v>
      </c>
      <c r="AH44" s="935"/>
    </row>
    <row r="45" spans="1:34" ht="18" customHeight="1">
      <c r="A45" s="935" t="s">
        <v>2274</v>
      </c>
      <c r="B45" s="935" t="s">
        <v>6</v>
      </c>
      <c r="C45" s="936">
        <v>0</v>
      </c>
      <c r="D45" s="935"/>
      <c r="E45" s="936">
        <v>0</v>
      </c>
      <c r="F45" s="935"/>
      <c r="G45" s="936">
        <v>91881</v>
      </c>
      <c r="H45" s="935"/>
      <c r="I45" s="936">
        <v>0</v>
      </c>
      <c r="J45" s="935"/>
      <c r="K45" s="936">
        <v>0</v>
      </c>
      <c r="L45" s="935"/>
      <c r="M45" s="936">
        <v>0</v>
      </c>
      <c r="N45" s="935"/>
      <c r="O45" s="936">
        <v>0</v>
      </c>
      <c r="P45" s="935"/>
      <c r="Q45" s="936">
        <v>0</v>
      </c>
      <c r="R45" s="935"/>
      <c r="S45" s="936">
        <v>0</v>
      </c>
      <c r="T45" s="935"/>
      <c r="U45" s="936">
        <f t="shared" si="0"/>
        <v>91881</v>
      </c>
      <c r="V45" s="935"/>
      <c r="W45" s="936">
        <v>28186</v>
      </c>
      <c r="X45" s="930"/>
      <c r="Y45" s="936">
        <v>112780</v>
      </c>
      <c r="Z45" s="935"/>
      <c r="AA45" s="936">
        <v>12894</v>
      </c>
      <c r="AB45" s="1771"/>
      <c r="AC45" s="936">
        <v>0</v>
      </c>
      <c r="AD45" s="935"/>
      <c r="AE45" s="945">
        <f t="shared" si="1"/>
        <v>245741</v>
      </c>
      <c r="AF45" s="935"/>
      <c r="AG45" s="936">
        <v>225720</v>
      </c>
      <c r="AH45" s="940"/>
    </row>
    <row r="46" spans="1:34" ht="18" customHeight="1">
      <c r="A46" s="935" t="s">
        <v>855</v>
      </c>
      <c r="B46" s="935" t="s">
        <v>6</v>
      </c>
      <c r="C46" s="936">
        <v>0</v>
      </c>
      <c r="D46" s="935"/>
      <c r="E46" s="936">
        <v>0</v>
      </c>
      <c r="F46" s="935"/>
      <c r="G46" s="936">
        <v>0</v>
      </c>
      <c r="H46" s="935"/>
      <c r="I46" s="936">
        <v>0</v>
      </c>
      <c r="J46" s="935"/>
      <c r="K46" s="936">
        <v>332217</v>
      </c>
      <c r="L46" s="935"/>
      <c r="M46" s="936">
        <v>0</v>
      </c>
      <c r="N46" s="935"/>
      <c r="O46" s="936">
        <v>0</v>
      </c>
      <c r="P46" s="935"/>
      <c r="Q46" s="936">
        <v>0</v>
      </c>
      <c r="R46" s="935"/>
      <c r="S46" s="936">
        <v>0</v>
      </c>
      <c r="T46" s="935"/>
      <c r="U46" s="936">
        <f t="shared" si="0"/>
        <v>332217</v>
      </c>
      <c r="V46" s="935"/>
      <c r="W46" s="936">
        <v>1151790</v>
      </c>
      <c r="X46" s="930"/>
      <c r="Y46" s="936">
        <v>215817</v>
      </c>
      <c r="Z46" s="935"/>
      <c r="AA46" s="936">
        <v>620685</v>
      </c>
      <c r="AB46" s="957"/>
      <c r="AC46" s="936">
        <v>0</v>
      </c>
      <c r="AD46" s="935"/>
      <c r="AE46" s="945">
        <f t="shared" si="1"/>
        <v>2320509</v>
      </c>
      <c r="AF46" s="935"/>
      <c r="AG46" s="945">
        <v>2438264</v>
      </c>
      <c r="AH46" s="935"/>
    </row>
    <row r="47" spans="1:34" ht="18" customHeight="1">
      <c r="A47" s="935" t="s">
        <v>856</v>
      </c>
      <c r="B47" s="935" t="s">
        <v>6</v>
      </c>
      <c r="C47" s="936">
        <v>0</v>
      </c>
      <c r="D47" s="935"/>
      <c r="E47" s="936">
        <v>0</v>
      </c>
      <c r="F47" s="935"/>
      <c r="G47" s="936">
        <v>0</v>
      </c>
      <c r="H47" s="935"/>
      <c r="I47" s="936">
        <v>0</v>
      </c>
      <c r="J47" s="935"/>
      <c r="K47" s="936">
        <v>280641</v>
      </c>
      <c r="L47" s="935"/>
      <c r="M47" s="936">
        <v>0</v>
      </c>
      <c r="N47" s="935"/>
      <c r="O47" s="936">
        <v>0</v>
      </c>
      <c r="P47" s="935"/>
      <c r="Q47" s="936">
        <v>0</v>
      </c>
      <c r="R47" s="935"/>
      <c r="S47" s="936">
        <v>0</v>
      </c>
      <c r="T47" s="490"/>
      <c r="U47" s="936">
        <f t="shared" si="0"/>
        <v>280641</v>
      </c>
      <c r="V47" s="935"/>
      <c r="W47" s="936">
        <v>54117</v>
      </c>
      <c r="X47" s="935"/>
      <c r="Y47" s="936">
        <v>26098</v>
      </c>
      <c r="Z47" s="935"/>
      <c r="AA47" s="936">
        <v>32043</v>
      </c>
      <c r="AB47" s="986"/>
      <c r="AC47" s="936">
        <v>0</v>
      </c>
      <c r="AD47" s="935"/>
      <c r="AE47" s="945">
        <f t="shared" si="1"/>
        <v>392899</v>
      </c>
      <c r="AF47" s="935"/>
      <c r="AG47" s="945">
        <v>384637</v>
      </c>
      <c r="AH47" s="935"/>
    </row>
    <row r="48" spans="1:34" ht="18" customHeight="1">
      <c r="A48" s="941" t="s">
        <v>857</v>
      </c>
      <c r="B48" s="935" t="s">
        <v>6</v>
      </c>
      <c r="C48" s="936">
        <v>0</v>
      </c>
      <c r="D48" s="935"/>
      <c r="E48" s="936">
        <v>0</v>
      </c>
      <c r="F48" s="935"/>
      <c r="G48" s="936">
        <v>0</v>
      </c>
      <c r="H48" s="935"/>
      <c r="I48" s="936">
        <v>0</v>
      </c>
      <c r="J48" s="935"/>
      <c r="K48" s="936">
        <v>0</v>
      </c>
      <c r="L48" s="935"/>
      <c r="M48" s="936">
        <v>0</v>
      </c>
      <c r="N48" s="935"/>
      <c r="O48" s="936">
        <v>2367</v>
      </c>
      <c r="P48" s="935"/>
      <c r="Q48" s="936">
        <v>0</v>
      </c>
      <c r="R48" s="935"/>
      <c r="S48" s="936">
        <v>0</v>
      </c>
      <c r="T48" s="935"/>
      <c r="U48" s="936">
        <f t="shared" si="0"/>
        <v>2367</v>
      </c>
      <c r="V48" s="935"/>
      <c r="W48" s="936">
        <v>2562</v>
      </c>
      <c r="X48" s="930"/>
      <c r="Y48" s="936">
        <v>27442</v>
      </c>
      <c r="Z48" s="935"/>
      <c r="AA48" s="936">
        <v>2929</v>
      </c>
      <c r="AB48" s="984"/>
      <c r="AC48" s="936">
        <v>0</v>
      </c>
      <c r="AD48" s="935"/>
      <c r="AE48" s="945">
        <f t="shared" si="1"/>
        <v>35300</v>
      </c>
      <c r="AF48" s="935"/>
      <c r="AG48" s="945">
        <v>32212</v>
      </c>
      <c r="AH48" s="935"/>
    </row>
    <row r="49" spans="1:34" ht="18" customHeight="1">
      <c r="A49" s="935" t="s">
        <v>858</v>
      </c>
      <c r="B49" s="911" t="s">
        <v>6</v>
      </c>
      <c r="C49" s="936">
        <v>0</v>
      </c>
      <c r="E49" s="936">
        <v>0</v>
      </c>
      <c r="G49" s="936">
        <v>0</v>
      </c>
      <c r="I49" s="936">
        <v>0</v>
      </c>
      <c r="K49" s="936">
        <v>0</v>
      </c>
      <c r="M49" s="936">
        <v>0</v>
      </c>
      <c r="O49" s="936">
        <v>0</v>
      </c>
      <c r="Q49" s="936">
        <v>0</v>
      </c>
      <c r="S49" s="936">
        <v>0</v>
      </c>
      <c r="U49" s="936">
        <f t="shared" si="0"/>
        <v>0</v>
      </c>
      <c r="W49" s="936">
        <v>280</v>
      </c>
      <c r="Y49" s="936">
        <v>36</v>
      </c>
      <c r="AA49" s="936">
        <v>147</v>
      </c>
      <c r="AC49" s="936">
        <v>0</v>
      </c>
      <c r="AE49" s="945">
        <f t="shared" si="1"/>
        <v>463</v>
      </c>
      <c r="AG49" s="945">
        <v>491</v>
      </c>
      <c r="AH49" s="935"/>
    </row>
    <row r="50" spans="1:34" ht="18" customHeight="1">
      <c r="A50" s="935" t="s">
        <v>859</v>
      </c>
      <c r="B50" s="930" t="str">
        <f>B15</f>
        <v xml:space="preserve"> </v>
      </c>
      <c r="C50" s="936">
        <v>0</v>
      </c>
      <c r="D50" s="930" t="s">
        <v>6</v>
      </c>
      <c r="E50" s="936">
        <v>0</v>
      </c>
      <c r="F50" s="930" t="s">
        <v>6</v>
      </c>
      <c r="G50" s="936">
        <v>0</v>
      </c>
      <c r="H50" s="930" t="s">
        <v>6</v>
      </c>
      <c r="I50" s="936">
        <v>0</v>
      </c>
      <c r="J50" s="930" t="s">
        <v>6</v>
      </c>
      <c r="K50" s="936">
        <v>0</v>
      </c>
      <c r="L50" s="930" t="s">
        <v>6</v>
      </c>
      <c r="M50" s="936">
        <v>0</v>
      </c>
      <c r="N50" s="930" t="s">
        <v>6</v>
      </c>
      <c r="O50" s="936">
        <v>0</v>
      </c>
      <c r="P50" s="930" t="s">
        <v>6</v>
      </c>
      <c r="Q50" s="936">
        <v>0</v>
      </c>
      <c r="R50" s="930" t="s">
        <v>6</v>
      </c>
      <c r="S50" s="936">
        <v>0</v>
      </c>
      <c r="T50" s="930" t="s">
        <v>6</v>
      </c>
      <c r="U50" s="936">
        <f t="shared" si="0"/>
        <v>0</v>
      </c>
      <c r="V50" s="930" t="s">
        <v>6</v>
      </c>
      <c r="W50" s="936">
        <v>4615</v>
      </c>
      <c r="X50" s="930" t="s">
        <v>6</v>
      </c>
      <c r="Y50" s="936">
        <v>6122</v>
      </c>
      <c r="Z50" s="930" t="s">
        <v>6</v>
      </c>
      <c r="AA50" s="936">
        <v>2588</v>
      </c>
      <c r="AB50" s="930" t="s">
        <v>6</v>
      </c>
      <c r="AC50" s="936">
        <v>0</v>
      </c>
      <c r="AD50" s="930"/>
      <c r="AE50" s="945">
        <f t="shared" si="1"/>
        <v>13325</v>
      </c>
      <c r="AF50" s="930"/>
      <c r="AG50" s="945">
        <v>11687</v>
      </c>
      <c r="AH50" s="935"/>
    </row>
    <row r="51" spans="1:34" ht="18" customHeight="1">
      <c r="A51" s="935" t="s">
        <v>2275</v>
      </c>
      <c r="B51" s="930" t="s">
        <v>6</v>
      </c>
      <c r="C51" s="936">
        <v>0</v>
      </c>
      <c r="D51" s="930" t="s">
        <v>6</v>
      </c>
      <c r="E51" s="936">
        <v>0</v>
      </c>
      <c r="F51" s="930" t="s">
        <v>6</v>
      </c>
      <c r="G51" s="936">
        <v>0</v>
      </c>
      <c r="H51" s="930" t="s">
        <v>6</v>
      </c>
      <c r="I51" s="936">
        <v>0</v>
      </c>
      <c r="J51" s="930" t="s">
        <v>6</v>
      </c>
      <c r="K51" s="936">
        <v>0</v>
      </c>
      <c r="L51" s="930"/>
      <c r="M51" s="936">
        <v>58068</v>
      </c>
      <c r="N51" s="930"/>
      <c r="O51" s="936">
        <v>0</v>
      </c>
      <c r="P51" s="930"/>
      <c r="Q51" s="936">
        <v>0</v>
      </c>
      <c r="R51" s="930"/>
      <c r="S51" s="936">
        <v>0</v>
      </c>
      <c r="T51" s="930"/>
      <c r="U51" s="936">
        <f t="shared" si="0"/>
        <v>58068</v>
      </c>
      <c r="V51" s="930"/>
      <c r="W51" s="936">
        <v>1211</v>
      </c>
      <c r="X51" s="930"/>
      <c r="Y51" s="936">
        <v>233</v>
      </c>
      <c r="Z51" s="930"/>
      <c r="AA51" s="936">
        <v>599</v>
      </c>
      <c r="AB51" s="930"/>
      <c r="AC51" s="936">
        <v>0</v>
      </c>
      <c r="AD51" s="930"/>
      <c r="AE51" s="945">
        <f t="shared" si="1"/>
        <v>60111</v>
      </c>
      <c r="AF51" s="930"/>
      <c r="AG51" s="945">
        <v>52721</v>
      </c>
      <c r="AH51" s="940"/>
    </row>
    <row r="52" spans="1:34" ht="18" customHeight="1">
      <c r="A52" s="935" t="s">
        <v>860</v>
      </c>
      <c r="B52" s="935" t="s">
        <v>6</v>
      </c>
      <c r="C52" s="936">
        <v>0</v>
      </c>
      <c r="D52" s="935"/>
      <c r="E52" s="936">
        <v>0</v>
      </c>
      <c r="F52" s="935"/>
      <c r="G52" s="936">
        <v>0</v>
      </c>
      <c r="H52" s="935"/>
      <c r="I52" s="936">
        <v>0</v>
      </c>
      <c r="J52" s="935"/>
      <c r="K52" s="936">
        <v>0</v>
      </c>
      <c r="L52" s="935"/>
      <c r="M52" s="936">
        <v>0</v>
      </c>
      <c r="N52" s="935"/>
      <c r="O52" s="936">
        <v>0</v>
      </c>
      <c r="P52" s="935"/>
      <c r="Q52" s="936">
        <v>0</v>
      </c>
      <c r="R52" s="935"/>
      <c r="S52" s="936">
        <v>0</v>
      </c>
      <c r="T52" s="935"/>
      <c r="U52" s="936">
        <f t="shared" si="0"/>
        <v>0</v>
      </c>
      <c r="V52" s="935"/>
      <c r="W52" s="936">
        <v>0</v>
      </c>
      <c r="X52" s="930"/>
      <c r="Y52" s="936">
        <v>490</v>
      </c>
      <c r="Z52" s="935"/>
      <c r="AA52" s="936">
        <v>0</v>
      </c>
      <c r="AB52" s="984"/>
      <c r="AC52" s="936">
        <v>0</v>
      </c>
      <c r="AD52" s="935"/>
      <c r="AE52" s="945">
        <f t="shared" si="1"/>
        <v>490</v>
      </c>
      <c r="AF52" s="935"/>
      <c r="AG52" s="945">
        <v>479</v>
      </c>
      <c r="AH52" s="935"/>
    </row>
    <row r="53" spans="1:34" ht="18" customHeight="1">
      <c r="A53" s="935" t="s">
        <v>801</v>
      </c>
      <c r="B53" s="935" t="s">
        <v>6</v>
      </c>
      <c r="C53" s="936">
        <v>0</v>
      </c>
      <c r="D53" s="935"/>
      <c r="E53" s="936">
        <v>0</v>
      </c>
      <c r="F53" s="935"/>
      <c r="G53" s="936">
        <v>0</v>
      </c>
      <c r="H53" s="935"/>
      <c r="I53" s="936">
        <v>0</v>
      </c>
      <c r="J53" s="935"/>
      <c r="K53" s="936">
        <v>0</v>
      </c>
      <c r="L53" s="935"/>
      <c r="M53" s="936">
        <v>0</v>
      </c>
      <c r="N53" s="935"/>
      <c r="O53" s="936">
        <v>0</v>
      </c>
      <c r="P53" s="935"/>
      <c r="Q53" s="936">
        <v>0</v>
      </c>
      <c r="R53" s="935"/>
      <c r="S53" s="936">
        <v>0</v>
      </c>
      <c r="T53" s="935"/>
      <c r="U53" s="936">
        <f t="shared" si="0"/>
        <v>0</v>
      </c>
      <c r="V53" s="935"/>
      <c r="W53" s="936">
        <v>0</v>
      </c>
      <c r="X53" s="930"/>
      <c r="Y53" s="936">
        <v>0</v>
      </c>
      <c r="Z53" s="935"/>
      <c r="AA53" s="936">
        <v>0</v>
      </c>
      <c r="AB53" s="984"/>
      <c r="AC53" s="936">
        <v>0</v>
      </c>
      <c r="AD53" s="935"/>
      <c r="AE53" s="945">
        <f t="shared" si="1"/>
        <v>0</v>
      </c>
      <c r="AF53" s="935"/>
      <c r="AG53" s="945">
        <v>0</v>
      </c>
      <c r="AH53" s="935"/>
    </row>
    <row r="54" spans="1:34" ht="18" customHeight="1">
      <c r="A54" s="935" t="s">
        <v>861</v>
      </c>
      <c r="B54" s="935" t="s">
        <v>6</v>
      </c>
      <c r="C54" s="936">
        <v>0</v>
      </c>
      <c r="E54" s="936">
        <v>0</v>
      </c>
      <c r="G54" s="936">
        <v>0</v>
      </c>
      <c r="I54" s="936">
        <v>0</v>
      </c>
      <c r="K54" s="936">
        <v>857955</v>
      </c>
      <c r="M54" s="936">
        <v>0</v>
      </c>
      <c r="O54" s="936">
        <v>0</v>
      </c>
      <c r="Q54" s="936">
        <v>0</v>
      </c>
      <c r="S54" s="936">
        <v>0</v>
      </c>
      <c r="U54" s="936">
        <f t="shared" si="0"/>
        <v>857955</v>
      </c>
      <c r="W54" s="936">
        <v>1123599</v>
      </c>
      <c r="Y54" s="936">
        <v>293555</v>
      </c>
      <c r="AA54" s="936">
        <v>605454</v>
      </c>
      <c r="AC54" s="936">
        <v>0</v>
      </c>
      <c r="AE54" s="945">
        <f t="shared" si="1"/>
        <v>2880563</v>
      </c>
      <c r="AG54" s="945">
        <v>2789908</v>
      </c>
      <c r="AH54" s="935"/>
    </row>
    <row r="55" spans="1:34" ht="18" customHeight="1">
      <c r="A55" s="935"/>
      <c r="B55" s="935"/>
      <c r="C55" s="936"/>
      <c r="E55" s="936"/>
      <c r="G55" s="936"/>
      <c r="I55" s="936"/>
      <c r="K55" s="936"/>
      <c r="M55" s="936"/>
      <c r="O55" s="936"/>
      <c r="Q55" s="936"/>
      <c r="S55" s="936"/>
      <c r="U55" s="936"/>
      <c r="W55" s="936"/>
      <c r="Y55" s="936"/>
      <c r="AA55" s="936"/>
      <c r="AC55" s="936"/>
      <c r="AE55" s="945"/>
      <c r="AG55" s="945"/>
      <c r="AH55" s="935"/>
    </row>
    <row r="56" spans="1:34" ht="18" customHeight="1">
      <c r="A56" s="548" t="s">
        <v>0</v>
      </c>
      <c r="B56" s="909"/>
      <c r="C56" s="909"/>
      <c r="D56" s="909"/>
      <c r="E56" s="909"/>
      <c r="F56" s="909"/>
      <c r="G56" s="909"/>
      <c r="H56" s="909"/>
      <c r="I56" s="909"/>
      <c r="J56" s="235"/>
      <c r="K56" s="235"/>
      <c r="L56" s="235"/>
      <c r="M56" s="235"/>
      <c r="N56" s="235"/>
      <c r="O56" s="235"/>
      <c r="P56" s="235"/>
      <c r="Q56" s="235"/>
      <c r="R56" s="235"/>
      <c r="S56" s="235"/>
      <c r="T56" s="235"/>
      <c r="U56" s="235"/>
      <c r="V56" s="235"/>
      <c r="W56" s="910"/>
      <c r="X56" s="235"/>
      <c r="Y56" s="910"/>
      <c r="Z56" s="235"/>
      <c r="AA56" s="235"/>
      <c r="AB56" s="235"/>
      <c r="AC56" s="235"/>
      <c r="AD56" s="235"/>
      <c r="AE56" s="235"/>
      <c r="AF56" s="235"/>
      <c r="AG56" s="909"/>
      <c r="AH56" s="935"/>
    </row>
    <row r="57" spans="1:34" ht="18" customHeight="1">
      <c r="A57" s="548" t="s">
        <v>823</v>
      </c>
      <c r="B57" s="909"/>
      <c r="C57" s="909"/>
      <c r="D57" s="909"/>
      <c r="E57" s="909"/>
      <c r="F57" s="909"/>
      <c r="G57" s="909"/>
      <c r="H57" s="909"/>
      <c r="I57" s="909"/>
      <c r="J57" s="235"/>
      <c r="K57" s="235"/>
      <c r="L57" s="235"/>
      <c r="M57" s="235"/>
      <c r="N57" s="235"/>
      <c r="O57" s="235"/>
      <c r="P57" s="235"/>
      <c r="Q57" s="235"/>
      <c r="R57" s="235"/>
      <c r="S57" s="235"/>
      <c r="T57" s="235"/>
      <c r="U57" s="235"/>
      <c r="V57" s="235"/>
      <c r="W57" s="910"/>
      <c r="X57" s="235"/>
      <c r="Y57" s="910"/>
      <c r="Z57" s="235"/>
      <c r="AA57" s="235"/>
      <c r="AB57" s="235"/>
      <c r="AC57" s="235"/>
      <c r="AD57" s="235"/>
      <c r="AE57" s="490" t="s">
        <v>6</v>
      </c>
      <c r="AF57" s="490"/>
      <c r="AG57" s="490"/>
      <c r="AH57" s="935"/>
    </row>
    <row r="58" spans="1:34" ht="18" customHeight="1">
      <c r="A58" s="548" t="s">
        <v>737</v>
      </c>
      <c r="B58" s="909"/>
      <c r="C58" s="909"/>
      <c r="D58" s="909"/>
      <c r="E58" s="909"/>
      <c r="F58" s="909"/>
      <c r="G58" s="909"/>
      <c r="H58" s="909"/>
      <c r="I58" s="909"/>
      <c r="J58" s="235"/>
      <c r="K58" s="235"/>
      <c r="L58" s="235"/>
      <c r="M58" s="235"/>
      <c r="N58" s="235"/>
      <c r="O58" s="235"/>
      <c r="P58" s="235"/>
      <c r="Q58" s="235"/>
      <c r="R58" s="235"/>
      <c r="S58" s="235"/>
      <c r="T58" s="235"/>
      <c r="U58" s="235"/>
      <c r="V58" s="235"/>
      <c r="W58" s="910"/>
      <c r="X58" s="235"/>
      <c r="Y58" s="910"/>
      <c r="Z58" s="235"/>
      <c r="AA58" s="235"/>
      <c r="AB58" s="235"/>
      <c r="AC58" s="235"/>
      <c r="AD58" s="235"/>
      <c r="AE58" s="2472" t="s">
        <v>824</v>
      </c>
      <c r="AF58" s="2473"/>
      <c r="AG58" s="2474"/>
      <c r="AH58" s="935"/>
    </row>
    <row r="59" spans="1:34" ht="18" customHeight="1">
      <c r="A59" s="598" t="s">
        <v>2585</v>
      </c>
      <c r="B59" s="909"/>
      <c r="C59" s="909"/>
      <c r="D59" s="909"/>
      <c r="E59" s="909"/>
      <c r="F59" s="909"/>
      <c r="G59" s="909"/>
      <c r="H59" s="909"/>
      <c r="I59" s="909"/>
      <c r="J59" s="235"/>
      <c r="K59" s="235"/>
      <c r="L59" s="235"/>
      <c r="M59" s="235"/>
      <c r="N59" s="235"/>
      <c r="O59" s="235"/>
      <c r="P59" s="235"/>
      <c r="Q59" s="235"/>
      <c r="R59" s="235"/>
      <c r="S59" s="235"/>
      <c r="T59" s="235"/>
      <c r="U59" s="235"/>
      <c r="V59" s="235"/>
      <c r="W59" s="910"/>
      <c r="X59" s="235"/>
      <c r="Y59" s="910"/>
      <c r="Z59" s="235"/>
      <c r="AA59" s="235"/>
      <c r="AB59" s="235"/>
      <c r="AC59" s="235"/>
      <c r="AD59" s="235"/>
      <c r="AE59" s="235"/>
      <c r="AF59" s="235"/>
      <c r="AG59" s="1777" t="s">
        <v>131</v>
      </c>
      <c r="AH59" s="935"/>
    </row>
    <row r="60" spans="1:34" ht="18" customHeight="1">
      <c r="A60" s="548" t="s">
        <v>825</v>
      </c>
      <c r="B60" s="909"/>
      <c r="C60" s="909"/>
      <c r="D60" s="909"/>
      <c r="E60" s="909"/>
      <c r="F60" s="909"/>
      <c r="G60" s="909"/>
      <c r="H60" s="909"/>
      <c r="I60" s="909"/>
      <c r="J60" s="235"/>
      <c r="K60" s="235"/>
      <c r="L60" s="235"/>
      <c r="M60" s="235"/>
      <c r="N60" s="235"/>
      <c r="O60" s="235"/>
      <c r="P60" s="235"/>
      <c r="Q60" s="235"/>
      <c r="R60" s="235"/>
      <c r="S60" s="235"/>
      <c r="T60" s="235"/>
      <c r="U60" s="235"/>
      <c r="V60" s="235"/>
      <c r="W60" s="910"/>
      <c r="X60" s="235"/>
      <c r="Y60" s="910"/>
      <c r="Z60" s="235"/>
      <c r="AA60" s="235"/>
      <c r="AB60" s="235"/>
      <c r="AC60" s="235"/>
      <c r="AD60" s="235"/>
      <c r="AE60" s="235"/>
      <c r="AF60" s="235"/>
      <c r="AG60" s="235"/>
      <c r="AH60" s="935"/>
    </row>
    <row r="61" spans="1:34" ht="7.5" customHeight="1">
      <c r="A61" s="235" t="s">
        <v>6</v>
      </c>
      <c r="B61" s="235"/>
      <c r="C61" s="235"/>
      <c r="D61" s="235"/>
      <c r="E61" s="235"/>
      <c r="F61" s="235"/>
      <c r="G61" s="235"/>
      <c r="H61" s="235"/>
      <c r="I61" s="235"/>
      <c r="J61" s="235"/>
      <c r="K61" s="235"/>
      <c r="L61" s="235"/>
      <c r="M61" s="235"/>
      <c r="N61" s="235"/>
      <c r="O61" s="235"/>
      <c r="P61" s="235"/>
      <c r="Q61" s="235"/>
      <c r="R61" s="235"/>
      <c r="S61" s="235"/>
      <c r="T61" s="235"/>
      <c r="U61" s="235"/>
      <c r="V61" s="235"/>
      <c r="W61" s="910"/>
      <c r="X61" s="235"/>
      <c r="Y61" s="910"/>
      <c r="Z61" s="235"/>
      <c r="AA61" s="235"/>
      <c r="AB61" s="235"/>
      <c r="AC61" s="235"/>
      <c r="AD61" s="235"/>
      <c r="AE61" s="235"/>
      <c r="AF61" s="235"/>
      <c r="AG61" s="235"/>
      <c r="AH61" s="935"/>
    </row>
    <row r="62" spans="1:34" ht="13.5" customHeight="1">
      <c r="A62" s="912"/>
      <c r="B62" s="912"/>
      <c r="C62" s="913" t="s">
        <v>739</v>
      </c>
      <c r="D62" s="913"/>
      <c r="E62" s="913"/>
      <c r="F62" s="913"/>
      <c r="G62" s="913"/>
      <c r="H62" s="913"/>
      <c r="I62" s="914"/>
      <c r="J62" s="913"/>
      <c r="K62" s="913"/>
      <c r="L62" s="913"/>
      <c r="M62" s="913"/>
      <c r="N62" s="913"/>
      <c r="O62" s="913"/>
      <c r="P62" s="913"/>
      <c r="Q62" s="915"/>
      <c r="R62" s="913"/>
      <c r="S62" s="913"/>
      <c r="T62" s="913"/>
      <c r="U62" s="913"/>
      <c r="V62" s="912"/>
      <c r="W62" s="2470" t="s">
        <v>740</v>
      </c>
      <c r="X62" s="2471"/>
      <c r="Y62" s="2471"/>
      <c r="Z62" s="916"/>
      <c r="AA62" s="548"/>
      <c r="AB62" s="548"/>
      <c r="AC62" s="548"/>
      <c r="AD62" s="912"/>
      <c r="AE62" s="915" t="s">
        <v>276</v>
      </c>
      <c r="AF62" s="915"/>
      <c r="AG62" s="915"/>
      <c r="AH62" s="935"/>
    </row>
    <row r="63" spans="1:34" ht="13.5" customHeight="1">
      <c r="A63" s="909"/>
      <c r="B63" s="909"/>
      <c r="C63" s="917" t="s">
        <v>6</v>
      </c>
      <c r="D63" s="917" t="s">
        <v>6</v>
      </c>
      <c r="E63" s="917"/>
      <c r="F63" s="917" t="s">
        <v>6</v>
      </c>
      <c r="G63" s="917" t="s">
        <v>6</v>
      </c>
      <c r="H63" s="917"/>
      <c r="I63" s="917" t="s">
        <v>6</v>
      </c>
      <c r="J63" s="917" t="s">
        <v>6</v>
      </c>
      <c r="K63" s="917" t="s">
        <v>6</v>
      </c>
      <c r="L63" s="917" t="s">
        <v>6</v>
      </c>
      <c r="M63" s="917" t="s">
        <v>6</v>
      </c>
      <c r="N63" s="917" t="s">
        <v>6</v>
      </c>
      <c r="O63" s="917" t="s">
        <v>6</v>
      </c>
      <c r="P63" s="917" t="s">
        <v>6</v>
      </c>
      <c r="Q63" s="1770" t="s">
        <v>6</v>
      </c>
      <c r="R63" s="917"/>
      <c r="S63" s="917" t="s">
        <v>6</v>
      </c>
      <c r="T63" s="917"/>
      <c r="U63" s="917" t="s">
        <v>6</v>
      </c>
      <c r="V63" s="909"/>
      <c r="W63" s="919" t="s">
        <v>6</v>
      </c>
      <c r="X63" s="917" t="s">
        <v>6</v>
      </c>
      <c r="Y63" s="919" t="s">
        <v>6</v>
      </c>
      <c r="Z63" s="920" t="s">
        <v>6</v>
      </c>
      <c r="AA63" s="909" t="s">
        <v>6</v>
      </c>
      <c r="AB63" s="909"/>
      <c r="AC63" s="909"/>
      <c r="AD63" s="909"/>
      <c r="AE63" s="909"/>
      <c r="AF63" s="909"/>
      <c r="AG63" s="909"/>
      <c r="AH63" s="935"/>
    </row>
    <row r="64" spans="1:34" ht="13.5" customHeight="1">
      <c r="A64" s="912"/>
      <c r="B64" s="912"/>
      <c r="C64" s="912"/>
      <c r="D64" s="912"/>
      <c r="E64" s="971" t="s">
        <v>741</v>
      </c>
      <c r="F64" s="912"/>
      <c r="G64" s="912"/>
      <c r="H64" s="912"/>
      <c r="I64" s="912"/>
      <c r="J64" s="912"/>
      <c r="K64" s="912"/>
      <c r="L64" s="912"/>
      <c r="M64" s="912" t="s">
        <v>6</v>
      </c>
      <c r="N64" s="912"/>
      <c r="O64" s="912"/>
      <c r="P64" s="912"/>
      <c r="Q64" s="1770" t="s">
        <v>6</v>
      </c>
      <c r="R64" s="912"/>
      <c r="S64" s="912"/>
      <c r="T64" s="912"/>
      <c r="U64" s="912"/>
      <c r="V64" s="912"/>
      <c r="W64" s="921"/>
      <c r="X64" s="912"/>
      <c r="Y64" s="921"/>
      <c r="Z64" s="912"/>
      <c r="AA64" s="1770" t="s">
        <v>742</v>
      </c>
      <c r="AB64" s="1770"/>
      <c r="AC64" s="1770"/>
      <c r="AD64" s="912"/>
      <c r="AE64" s="922"/>
      <c r="AF64" s="922"/>
      <c r="AG64" s="922"/>
      <c r="AH64" s="935"/>
    </row>
    <row r="65" spans="1:34" ht="13.5" customHeight="1">
      <c r="A65" s="912"/>
      <c r="B65" s="912"/>
      <c r="C65" s="971" t="s">
        <v>6</v>
      </c>
      <c r="D65" s="974"/>
      <c r="E65" s="971" t="s">
        <v>743</v>
      </c>
      <c r="F65" s="974"/>
      <c r="G65" s="971" t="s">
        <v>744</v>
      </c>
      <c r="H65" s="974"/>
      <c r="I65" s="971" t="s">
        <v>6</v>
      </c>
      <c r="J65" s="974"/>
      <c r="K65" s="971" t="s">
        <v>745</v>
      </c>
      <c r="L65" s="974"/>
      <c r="M65" s="971" t="s">
        <v>746</v>
      </c>
      <c r="N65" s="974"/>
      <c r="O65" s="971" t="s">
        <v>746</v>
      </c>
      <c r="P65" s="974"/>
      <c r="Q65" s="971" t="s">
        <v>747</v>
      </c>
      <c r="R65" s="974"/>
      <c r="S65" s="971" t="s">
        <v>6</v>
      </c>
      <c r="T65" s="912"/>
      <c r="U65" s="1770" t="s">
        <v>748</v>
      </c>
      <c r="V65" s="912"/>
      <c r="W65" s="1770" t="s">
        <v>749</v>
      </c>
      <c r="X65" s="912"/>
      <c r="Y65" s="1770" t="s">
        <v>750</v>
      </c>
      <c r="Z65" s="912"/>
      <c r="AA65" s="1770" t="s">
        <v>751</v>
      </c>
      <c r="AB65" s="1770"/>
      <c r="AC65" s="1770" t="s">
        <v>826</v>
      </c>
      <c r="AD65" s="912"/>
      <c r="AE65" s="916" t="s">
        <v>6</v>
      </c>
      <c r="AF65" s="916"/>
      <c r="AG65" s="916" t="s">
        <v>6</v>
      </c>
      <c r="AH65" s="935"/>
    </row>
    <row r="66" spans="1:34" ht="13.5" customHeight="1">
      <c r="A66" s="1773" t="s">
        <v>752</v>
      </c>
      <c r="B66" s="912"/>
      <c r="C66" s="1401" t="s">
        <v>512</v>
      </c>
      <c r="D66" s="974"/>
      <c r="E66" s="975" t="s">
        <v>753</v>
      </c>
      <c r="F66" s="974"/>
      <c r="G66" s="975" t="s">
        <v>827</v>
      </c>
      <c r="H66" s="974"/>
      <c r="I66" s="1401" t="s">
        <v>754</v>
      </c>
      <c r="J66" s="974"/>
      <c r="K66" s="1402" t="s">
        <v>755</v>
      </c>
      <c r="L66" s="974"/>
      <c r="M66" s="1401" t="s">
        <v>828</v>
      </c>
      <c r="N66" s="974"/>
      <c r="O66" s="1401" t="s">
        <v>756</v>
      </c>
      <c r="P66" s="974"/>
      <c r="Q66" s="975" t="s">
        <v>757</v>
      </c>
      <c r="R66" s="974"/>
      <c r="S66" s="975" t="s">
        <v>525</v>
      </c>
      <c r="T66" s="912"/>
      <c r="U66" s="1773" t="s">
        <v>758</v>
      </c>
      <c r="V66" s="912"/>
      <c r="W66" s="1773" t="s">
        <v>759</v>
      </c>
      <c r="X66" s="912"/>
      <c r="Y66" s="1773" t="s">
        <v>759</v>
      </c>
      <c r="Z66" s="912"/>
      <c r="AA66" s="1773" t="s">
        <v>760</v>
      </c>
      <c r="AB66" s="925"/>
      <c r="AC66" s="1773" t="s">
        <v>829</v>
      </c>
      <c r="AD66" s="912"/>
      <c r="AE66" s="1779" t="s">
        <v>2584</v>
      </c>
      <c r="AF66" s="925"/>
      <c r="AG66" s="1779" t="s">
        <v>1917</v>
      </c>
      <c r="AH66" s="935"/>
    </row>
    <row r="67" spans="1:34" ht="6" customHeight="1">
      <c r="A67" s="935"/>
      <c r="B67" s="935"/>
      <c r="C67" s="936"/>
      <c r="E67" s="936"/>
      <c r="G67" s="936"/>
      <c r="I67" s="936"/>
      <c r="K67" s="936"/>
      <c r="M67" s="936"/>
      <c r="O67" s="936"/>
      <c r="Q67" s="936"/>
      <c r="S67" s="936"/>
      <c r="U67" s="936"/>
      <c r="W67" s="936"/>
      <c r="Y67" s="936"/>
      <c r="AA67" s="936"/>
      <c r="AC67" s="936"/>
      <c r="AE67" s="945"/>
      <c r="AG67" s="945"/>
      <c r="AH67" s="935"/>
    </row>
    <row r="68" spans="1:34" ht="18" customHeight="1">
      <c r="A68" s="935" t="s">
        <v>862</v>
      </c>
      <c r="B68" s="935" t="str">
        <f>B18</f>
        <v xml:space="preserve"> </v>
      </c>
      <c r="C68" s="931">
        <v>0</v>
      </c>
      <c r="D68" s="944"/>
      <c r="E68" s="931">
        <v>4754</v>
      </c>
      <c r="F68" s="944"/>
      <c r="G68" s="931">
        <v>0</v>
      </c>
      <c r="H68" s="944"/>
      <c r="I68" s="931">
        <v>0</v>
      </c>
      <c r="J68" s="944"/>
      <c r="K68" s="931">
        <v>0</v>
      </c>
      <c r="L68" s="944"/>
      <c r="M68" s="931">
        <v>0</v>
      </c>
      <c r="N68" s="944"/>
      <c r="O68" s="931">
        <v>0</v>
      </c>
      <c r="P68" s="944"/>
      <c r="Q68" s="931">
        <v>0</v>
      </c>
      <c r="R68" s="944"/>
      <c r="S68" s="931">
        <v>0</v>
      </c>
      <c r="T68" s="944"/>
      <c r="U68" s="931">
        <f t="shared" si="0"/>
        <v>4754</v>
      </c>
      <c r="V68" s="944"/>
      <c r="W68" s="931">
        <v>29719</v>
      </c>
      <c r="X68" s="944"/>
      <c r="Y68" s="931">
        <v>41037</v>
      </c>
      <c r="Z68" s="944"/>
      <c r="AA68" s="931">
        <v>2862</v>
      </c>
      <c r="AB68" s="931"/>
      <c r="AC68" s="931">
        <v>1749</v>
      </c>
      <c r="AD68" s="944"/>
      <c r="AE68" s="944">
        <f>ROUND(SUM(U68:AD68),1)</f>
        <v>80121</v>
      </c>
      <c r="AF68" s="944"/>
      <c r="AG68" s="944">
        <v>79025</v>
      </c>
      <c r="AH68" s="935"/>
    </row>
    <row r="69" spans="1:34" ht="18" customHeight="1">
      <c r="A69" s="935" t="s">
        <v>863</v>
      </c>
      <c r="B69" s="935" t="s">
        <v>6</v>
      </c>
      <c r="C69" s="936">
        <v>0</v>
      </c>
      <c r="D69" s="935"/>
      <c r="E69" s="936">
        <v>0</v>
      </c>
      <c r="F69" s="935"/>
      <c r="G69" s="936">
        <v>0</v>
      </c>
      <c r="H69" s="935"/>
      <c r="I69" s="936">
        <v>0</v>
      </c>
      <c r="J69" s="935"/>
      <c r="K69" s="936">
        <v>0</v>
      </c>
      <c r="L69" s="935"/>
      <c r="M69" s="936">
        <v>0</v>
      </c>
      <c r="N69" s="935"/>
      <c r="O69" s="936">
        <v>0</v>
      </c>
      <c r="P69" s="935"/>
      <c r="Q69" s="936">
        <v>0</v>
      </c>
      <c r="R69" s="935"/>
      <c r="S69" s="936">
        <v>0</v>
      </c>
      <c r="T69" s="935"/>
      <c r="U69" s="936">
        <f t="shared" si="0"/>
        <v>0</v>
      </c>
      <c r="V69" s="935"/>
      <c r="W69" s="936">
        <v>0</v>
      </c>
      <c r="X69" s="930"/>
      <c r="Y69" s="936">
        <v>0</v>
      </c>
      <c r="Z69" s="935"/>
      <c r="AA69" s="936">
        <v>0</v>
      </c>
      <c r="AB69" s="957"/>
      <c r="AC69" s="936">
        <v>0</v>
      </c>
      <c r="AD69" s="935"/>
      <c r="AE69" s="945">
        <f>ROUND(SUM(U69:AD69),1)</f>
        <v>0</v>
      </c>
      <c r="AF69" s="935"/>
      <c r="AG69" s="942">
        <v>0</v>
      </c>
      <c r="AH69" s="935"/>
    </row>
    <row r="70" spans="1:34" ht="18" customHeight="1">
      <c r="A70" s="935" t="s">
        <v>864</v>
      </c>
      <c r="B70" s="935" t="s">
        <v>6</v>
      </c>
      <c r="C70" s="936">
        <v>0</v>
      </c>
      <c r="D70" s="935"/>
      <c r="E70" s="936">
        <v>0</v>
      </c>
      <c r="F70" s="935"/>
      <c r="G70" s="936">
        <v>0</v>
      </c>
      <c r="H70" s="935"/>
      <c r="I70" s="936">
        <v>0</v>
      </c>
      <c r="J70" s="935"/>
      <c r="K70" s="936">
        <v>0</v>
      </c>
      <c r="L70" s="935"/>
      <c r="M70" s="936">
        <v>0</v>
      </c>
      <c r="N70" s="935"/>
      <c r="O70" s="936">
        <v>0</v>
      </c>
      <c r="P70" s="935"/>
      <c r="Q70" s="936">
        <v>0</v>
      </c>
      <c r="R70" s="935"/>
      <c r="S70" s="936">
        <v>0</v>
      </c>
      <c r="T70" s="935"/>
      <c r="U70" s="936">
        <f t="shared" si="0"/>
        <v>0</v>
      </c>
      <c r="V70" s="935"/>
      <c r="W70" s="936">
        <v>0</v>
      </c>
      <c r="X70" s="930"/>
      <c r="Y70" s="936">
        <v>722</v>
      </c>
      <c r="Z70" s="935"/>
      <c r="AA70" s="936">
        <v>0</v>
      </c>
      <c r="AB70" s="984"/>
      <c r="AC70" s="936">
        <v>0</v>
      </c>
      <c r="AD70" s="935"/>
      <c r="AE70" s="945">
        <f t="shared" ref="AE70:AE87" si="2">ROUND(SUM(U70:AD70),1)</f>
        <v>722</v>
      </c>
      <c r="AF70" s="935"/>
      <c r="AG70" s="945">
        <v>722</v>
      </c>
      <c r="AH70" s="935"/>
    </row>
    <row r="71" spans="1:34" ht="18" customHeight="1">
      <c r="A71" s="935" t="s">
        <v>806</v>
      </c>
      <c r="B71" s="935" t="s">
        <v>6</v>
      </c>
      <c r="C71" s="936">
        <v>0</v>
      </c>
      <c r="D71" s="935"/>
      <c r="E71" s="936">
        <v>0</v>
      </c>
      <c r="F71" s="935"/>
      <c r="G71" s="936">
        <v>0</v>
      </c>
      <c r="H71" s="935"/>
      <c r="I71" s="936">
        <v>0</v>
      </c>
      <c r="J71" s="935"/>
      <c r="K71" s="936">
        <v>1872</v>
      </c>
      <c r="L71" s="935"/>
      <c r="M71" s="936">
        <v>0</v>
      </c>
      <c r="N71" s="935"/>
      <c r="O71" s="936">
        <v>89</v>
      </c>
      <c r="P71" s="935"/>
      <c r="Q71" s="936">
        <v>0</v>
      </c>
      <c r="R71" s="935"/>
      <c r="S71" s="936">
        <v>0</v>
      </c>
      <c r="T71" s="935"/>
      <c r="U71" s="936">
        <f t="shared" si="0"/>
        <v>1961</v>
      </c>
      <c r="V71" s="935"/>
      <c r="W71" s="936">
        <v>0</v>
      </c>
      <c r="X71" s="930"/>
      <c r="Y71" s="936">
        <v>76</v>
      </c>
      <c r="Z71" s="935"/>
      <c r="AA71" s="936">
        <v>70</v>
      </c>
      <c r="AB71" s="984"/>
      <c r="AC71" s="936">
        <v>0</v>
      </c>
      <c r="AD71" s="935"/>
      <c r="AE71" s="945">
        <f t="shared" si="2"/>
        <v>2107</v>
      </c>
      <c r="AF71" s="935"/>
      <c r="AG71" s="945">
        <v>2604</v>
      </c>
      <c r="AH71" s="935"/>
    </row>
    <row r="72" spans="1:34" ht="18" customHeight="1">
      <c r="A72" s="935" t="s">
        <v>865</v>
      </c>
      <c r="B72" s="930" t="s">
        <v>12</v>
      </c>
      <c r="C72" s="936">
        <v>0</v>
      </c>
      <c r="E72" s="936">
        <v>0</v>
      </c>
      <c r="G72" s="936">
        <v>0</v>
      </c>
      <c r="I72" s="936">
        <v>0</v>
      </c>
      <c r="K72" s="936">
        <v>0</v>
      </c>
      <c r="M72" s="936">
        <v>0</v>
      </c>
      <c r="O72" s="936">
        <v>0</v>
      </c>
      <c r="Q72" s="936">
        <v>0</v>
      </c>
      <c r="S72" s="936">
        <v>0</v>
      </c>
      <c r="U72" s="936">
        <f t="shared" si="0"/>
        <v>0</v>
      </c>
      <c r="W72" s="936">
        <v>10789</v>
      </c>
      <c r="Y72" s="936">
        <v>14730</v>
      </c>
      <c r="AA72" s="936">
        <v>1589</v>
      </c>
      <c r="AC72" s="936">
        <v>0</v>
      </c>
      <c r="AE72" s="945">
        <f t="shared" si="2"/>
        <v>27108</v>
      </c>
      <c r="AG72" s="945">
        <v>32861</v>
      </c>
      <c r="AH72" s="935"/>
    </row>
    <row r="73" spans="1:34" ht="18" customHeight="1">
      <c r="A73" s="935" t="s">
        <v>866</v>
      </c>
      <c r="B73" s="935" t="s">
        <v>6</v>
      </c>
      <c r="C73" s="936">
        <v>0</v>
      </c>
      <c r="D73" s="935"/>
      <c r="E73" s="936">
        <v>0</v>
      </c>
      <c r="F73" s="935"/>
      <c r="G73" s="936">
        <v>0</v>
      </c>
      <c r="H73" s="935"/>
      <c r="I73" s="936">
        <v>0</v>
      </c>
      <c r="J73" s="935"/>
      <c r="K73" s="936">
        <v>0</v>
      </c>
      <c r="L73" s="935"/>
      <c r="M73" s="936">
        <v>17531</v>
      </c>
      <c r="N73" s="935"/>
      <c r="O73" s="936">
        <v>0</v>
      </c>
      <c r="P73" s="935"/>
      <c r="Q73" s="936">
        <v>0</v>
      </c>
      <c r="R73" s="935"/>
      <c r="S73" s="936">
        <v>0</v>
      </c>
      <c r="T73" s="935"/>
      <c r="U73" s="936">
        <f t="shared" si="0"/>
        <v>17531</v>
      </c>
      <c r="V73" s="935"/>
      <c r="W73" s="936">
        <v>3070</v>
      </c>
      <c r="X73" s="935"/>
      <c r="Y73" s="936">
        <v>347</v>
      </c>
      <c r="Z73" s="935" t="s">
        <v>6</v>
      </c>
      <c r="AA73" s="936">
        <v>1512</v>
      </c>
      <c r="AB73" s="984"/>
      <c r="AC73" s="936">
        <v>0</v>
      </c>
      <c r="AD73" s="935"/>
      <c r="AE73" s="945">
        <f t="shared" si="2"/>
        <v>22460</v>
      </c>
      <c r="AF73" s="935"/>
      <c r="AG73" s="945">
        <v>29670</v>
      </c>
      <c r="AH73" s="935"/>
    </row>
    <row r="74" spans="1:34" ht="18" customHeight="1">
      <c r="A74" s="935" t="s">
        <v>867</v>
      </c>
      <c r="B74" s="935" t="s">
        <v>6</v>
      </c>
      <c r="C74" s="936">
        <v>0</v>
      </c>
      <c r="D74" s="935"/>
      <c r="E74" s="936">
        <v>0</v>
      </c>
      <c r="F74" s="935"/>
      <c r="G74" s="936">
        <v>0</v>
      </c>
      <c r="H74" s="935"/>
      <c r="I74" s="936">
        <v>0</v>
      </c>
      <c r="J74" s="935"/>
      <c r="K74" s="936">
        <v>0</v>
      </c>
      <c r="L74" s="935"/>
      <c r="M74" s="936">
        <v>0</v>
      </c>
      <c r="N74" s="935"/>
      <c r="O74" s="936">
        <v>0</v>
      </c>
      <c r="P74" s="935"/>
      <c r="Q74" s="936">
        <v>0</v>
      </c>
      <c r="R74" s="935"/>
      <c r="S74" s="936">
        <v>0</v>
      </c>
      <c r="T74" s="935"/>
      <c r="U74" s="936">
        <f t="shared" si="0"/>
        <v>0</v>
      </c>
      <c r="V74" s="935"/>
      <c r="W74" s="936">
        <v>0</v>
      </c>
      <c r="X74" s="935"/>
      <c r="Y74" s="936">
        <v>0</v>
      </c>
      <c r="Z74" s="935"/>
      <c r="AA74" s="936">
        <v>0</v>
      </c>
      <c r="AB74" s="984"/>
      <c r="AC74" s="936">
        <v>0</v>
      </c>
      <c r="AD74" s="935"/>
      <c r="AE74" s="945">
        <f t="shared" si="2"/>
        <v>0</v>
      </c>
      <c r="AF74" s="935"/>
      <c r="AG74" s="945">
        <v>0</v>
      </c>
      <c r="AH74" s="935"/>
    </row>
    <row r="75" spans="1:34" ht="18" customHeight="1">
      <c r="A75" s="935" t="s">
        <v>810</v>
      </c>
      <c r="B75" s="935" t="s">
        <v>6</v>
      </c>
      <c r="C75" s="936"/>
      <c r="D75" s="935"/>
      <c r="E75" s="936"/>
      <c r="F75" s="935"/>
      <c r="G75" s="936"/>
      <c r="H75" s="935"/>
      <c r="I75" s="936"/>
      <c r="J75" s="935"/>
      <c r="K75" s="936"/>
      <c r="L75" s="935"/>
      <c r="M75" s="936"/>
      <c r="N75" s="935"/>
      <c r="O75" s="936"/>
      <c r="P75" s="935"/>
      <c r="Q75" s="936"/>
      <c r="R75" s="935"/>
      <c r="S75" s="936"/>
      <c r="T75" s="935"/>
      <c r="U75" s="936"/>
      <c r="V75" s="935"/>
      <c r="W75" s="936"/>
      <c r="X75" s="930"/>
      <c r="Y75" s="936"/>
      <c r="Z75" s="935"/>
      <c r="AA75" s="936"/>
      <c r="AB75" s="984"/>
      <c r="AC75" s="936"/>
      <c r="AD75" s="935"/>
      <c r="AE75" s="945"/>
      <c r="AF75" s="935"/>
      <c r="AG75" s="936"/>
      <c r="AH75" s="935"/>
    </row>
    <row r="76" spans="1:34" ht="18" customHeight="1">
      <c r="A76" s="935" t="s">
        <v>868</v>
      </c>
      <c r="B76" s="935" t="s">
        <v>6</v>
      </c>
      <c r="C76" s="936">
        <v>0</v>
      </c>
      <c r="D76" s="935"/>
      <c r="E76" s="936">
        <v>0</v>
      </c>
      <c r="F76" s="935"/>
      <c r="G76" s="936">
        <v>0</v>
      </c>
      <c r="H76" s="935"/>
      <c r="I76" s="936">
        <v>0</v>
      </c>
      <c r="J76" s="935"/>
      <c r="K76" s="936">
        <v>0</v>
      </c>
      <c r="L76" s="935"/>
      <c r="M76" s="936">
        <v>0</v>
      </c>
      <c r="N76" s="935"/>
      <c r="O76" s="936">
        <v>0</v>
      </c>
      <c r="P76" s="935"/>
      <c r="Q76" s="936">
        <v>1842</v>
      </c>
      <c r="R76" s="935"/>
      <c r="S76" s="936">
        <v>0</v>
      </c>
      <c r="T76" s="935"/>
      <c r="U76" s="936">
        <f t="shared" si="0"/>
        <v>1842</v>
      </c>
      <c r="V76" s="935"/>
      <c r="W76" s="936">
        <v>1024</v>
      </c>
      <c r="X76" s="935"/>
      <c r="Y76" s="936">
        <v>506</v>
      </c>
      <c r="Z76" s="935"/>
      <c r="AA76" s="936">
        <v>535</v>
      </c>
      <c r="AB76" s="984"/>
      <c r="AC76" s="936">
        <v>0</v>
      </c>
      <c r="AD76" s="935"/>
      <c r="AE76" s="945">
        <f t="shared" si="2"/>
        <v>3907</v>
      </c>
      <c r="AF76" s="935"/>
      <c r="AG76" s="945">
        <v>11574</v>
      </c>
      <c r="AH76" s="935"/>
    </row>
    <row r="77" spans="1:34" ht="18" customHeight="1">
      <c r="A77" s="935" t="s">
        <v>869</v>
      </c>
      <c r="B77" s="935" t="s">
        <v>6</v>
      </c>
      <c r="C77" s="936">
        <v>0</v>
      </c>
      <c r="D77" s="935"/>
      <c r="E77" s="936">
        <v>0</v>
      </c>
      <c r="F77" s="935"/>
      <c r="G77" s="936">
        <v>0</v>
      </c>
      <c r="H77" s="935"/>
      <c r="I77" s="936">
        <v>0</v>
      </c>
      <c r="J77" s="935"/>
      <c r="K77" s="936">
        <v>0</v>
      </c>
      <c r="L77" s="935"/>
      <c r="M77" s="936">
        <v>0</v>
      </c>
      <c r="N77" s="935"/>
      <c r="O77" s="936">
        <v>0</v>
      </c>
      <c r="P77" s="935"/>
      <c r="Q77" s="936">
        <v>0</v>
      </c>
      <c r="R77" s="935"/>
      <c r="S77" s="936">
        <v>0</v>
      </c>
      <c r="T77" s="935"/>
      <c r="U77" s="936">
        <f t="shared" si="0"/>
        <v>0</v>
      </c>
      <c r="V77" s="935"/>
      <c r="W77" s="936">
        <v>0</v>
      </c>
      <c r="X77" s="930"/>
      <c r="Y77" s="936">
        <v>0</v>
      </c>
      <c r="Z77" s="935"/>
      <c r="AA77" s="936">
        <v>0</v>
      </c>
      <c r="AB77" s="986"/>
      <c r="AC77" s="936">
        <v>0</v>
      </c>
      <c r="AD77" s="935"/>
      <c r="AE77" s="945">
        <f t="shared" si="2"/>
        <v>0</v>
      </c>
      <c r="AF77" s="935"/>
      <c r="AG77" s="942">
        <v>0</v>
      </c>
      <c r="AH77" s="935"/>
    </row>
    <row r="78" spans="1:34" ht="18" customHeight="1">
      <c r="A78" s="935" t="s">
        <v>870</v>
      </c>
      <c r="B78" s="935" t="s">
        <v>6</v>
      </c>
      <c r="C78" s="936">
        <v>0</v>
      </c>
      <c r="D78" s="935"/>
      <c r="E78" s="936">
        <v>0</v>
      </c>
      <c r="F78" s="935"/>
      <c r="G78" s="936">
        <v>0</v>
      </c>
      <c r="H78" s="935"/>
      <c r="I78" s="936">
        <v>0</v>
      </c>
      <c r="J78" s="935"/>
      <c r="K78" s="936">
        <v>0</v>
      </c>
      <c r="L78" s="935"/>
      <c r="M78" s="936">
        <v>0</v>
      </c>
      <c r="N78" s="935"/>
      <c r="O78" s="936">
        <v>0</v>
      </c>
      <c r="P78" s="935"/>
      <c r="Q78" s="936">
        <v>0</v>
      </c>
      <c r="R78" s="935"/>
      <c r="S78" s="936">
        <v>0</v>
      </c>
      <c r="T78" s="935"/>
      <c r="U78" s="936">
        <f t="shared" si="0"/>
        <v>0</v>
      </c>
      <c r="V78" s="935"/>
      <c r="W78" s="936">
        <v>45</v>
      </c>
      <c r="X78" s="930"/>
      <c r="Y78" s="936">
        <v>35</v>
      </c>
      <c r="Z78" s="935"/>
      <c r="AA78" s="936">
        <v>20</v>
      </c>
      <c r="AB78" s="957"/>
      <c r="AC78" s="936">
        <v>0</v>
      </c>
      <c r="AD78" s="935"/>
      <c r="AE78" s="945">
        <f t="shared" si="2"/>
        <v>100</v>
      </c>
      <c r="AF78" s="935"/>
      <c r="AG78" s="942">
        <v>0</v>
      </c>
      <c r="AH78" s="935"/>
    </row>
    <row r="79" spans="1:34" ht="18" customHeight="1">
      <c r="A79" s="935" t="s">
        <v>871</v>
      </c>
      <c r="B79" s="935" t="s">
        <v>6</v>
      </c>
      <c r="C79" s="936">
        <v>0</v>
      </c>
      <c r="D79" s="935"/>
      <c r="E79" s="936">
        <v>0</v>
      </c>
      <c r="F79" s="935"/>
      <c r="G79" s="936">
        <v>0</v>
      </c>
      <c r="H79" s="935"/>
      <c r="I79" s="936">
        <v>0</v>
      </c>
      <c r="J79" s="935"/>
      <c r="K79" s="936">
        <v>0</v>
      </c>
      <c r="L79" s="935"/>
      <c r="M79" s="936">
        <v>0</v>
      </c>
      <c r="N79" s="935"/>
      <c r="O79" s="936">
        <v>0</v>
      </c>
      <c r="P79" s="935"/>
      <c r="Q79" s="936">
        <v>17190</v>
      </c>
      <c r="R79" s="935"/>
      <c r="S79" s="936">
        <v>0</v>
      </c>
      <c r="T79" s="935"/>
      <c r="U79" s="936">
        <f t="shared" si="0"/>
        <v>17190</v>
      </c>
      <c r="V79" s="935"/>
      <c r="W79" s="936">
        <v>0</v>
      </c>
      <c r="X79" s="935"/>
      <c r="Y79" s="936">
        <v>0</v>
      </c>
      <c r="Z79" s="935"/>
      <c r="AA79" s="936">
        <v>0</v>
      </c>
      <c r="AB79" s="984"/>
      <c r="AC79" s="936">
        <v>0</v>
      </c>
      <c r="AD79" s="935"/>
      <c r="AE79" s="945">
        <f t="shared" si="2"/>
        <v>17190</v>
      </c>
      <c r="AF79" s="935"/>
      <c r="AG79" s="945">
        <v>2966</v>
      </c>
      <c r="AH79" s="935"/>
    </row>
    <row r="80" spans="1:34" ht="18" customHeight="1">
      <c r="A80" s="935" t="s">
        <v>872</v>
      </c>
      <c r="B80" s="935" t="s">
        <v>6</v>
      </c>
      <c r="C80" s="936">
        <v>0</v>
      </c>
      <c r="D80" s="935"/>
      <c r="E80" s="936">
        <v>0</v>
      </c>
      <c r="F80" s="935"/>
      <c r="G80" s="936">
        <v>0</v>
      </c>
      <c r="H80" s="935"/>
      <c r="I80" s="936">
        <v>0</v>
      </c>
      <c r="J80" s="935"/>
      <c r="K80" s="936">
        <v>0</v>
      </c>
      <c r="L80" s="935"/>
      <c r="M80" s="936">
        <v>0</v>
      </c>
      <c r="N80" s="935"/>
      <c r="O80" s="936">
        <v>0</v>
      </c>
      <c r="P80" s="935"/>
      <c r="Q80" s="936">
        <v>0</v>
      </c>
      <c r="R80" s="935"/>
      <c r="S80" s="936">
        <v>0</v>
      </c>
      <c r="T80" s="935"/>
      <c r="U80" s="936">
        <f t="shared" si="0"/>
        <v>0</v>
      </c>
      <c r="V80" s="935"/>
      <c r="W80" s="936">
        <v>0</v>
      </c>
      <c r="X80" s="930"/>
      <c r="Y80" s="936">
        <v>33</v>
      </c>
      <c r="Z80" s="935"/>
      <c r="AA80" s="936">
        <v>0</v>
      </c>
      <c r="AB80" s="984"/>
      <c r="AC80" s="936">
        <v>0</v>
      </c>
      <c r="AD80" s="935"/>
      <c r="AE80" s="945">
        <f t="shared" si="2"/>
        <v>33</v>
      </c>
      <c r="AF80" s="935"/>
      <c r="AG80" s="945">
        <v>19</v>
      </c>
      <c r="AH80" s="935"/>
    </row>
    <row r="81" spans="1:34" ht="18" customHeight="1">
      <c r="A81" s="935" t="s">
        <v>873</v>
      </c>
      <c r="B81" s="935" t="s">
        <v>6</v>
      </c>
      <c r="C81" s="936">
        <v>6507226</v>
      </c>
      <c r="D81" s="935"/>
      <c r="E81" s="936">
        <v>0</v>
      </c>
      <c r="F81" s="935"/>
      <c r="G81" s="936">
        <v>1</v>
      </c>
      <c r="H81" s="935"/>
      <c r="I81" s="936">
        <v>0</v>
      </c>
      <c r="J81" s="935"/>
      <c r="K81" s="936">
        <v>125</v>
      </c>
      <c r="L81" s="935"/>
      <c r="M81" s="936">
        <v>0</v>
      </c>
      <c r="N81" s="935"/>
      <c r="O81" s="936">
        <v>0</v>
      </c>
      <c r="P81" s="935"/>
      <c r="Q81" s="936">
        <v>0</v>
      </c>
      <c r="R81" s="935"/>
      <c r="S81" s="936">
        <v>0</v>
      </c>
      <c r="T81" s="935"/>
      <c r="U81" s="936">
        <f t="shared" si="0"/>
        <v>6507352</v>
      </c>
      <c r="V81" s="935"/>
      <c r="W81" s="936">
        <v>57821</v>
      </c>
      <c r="X81" s="930"/>
      <c r="Y81" s="936">
        <v>25571</v>
      </c>
      <c r="Z81" s="935"/>
      <c r="AA81" s="936">
        <v>32021</v>
      </c>
      <c r="AB81" s="986"/>
      <c r="AC81" s="936">
        <v>0</v>
      </c>
      <c r="AD81" s="935"/>
      <c r="AE81" s="945">
        <f t="shared" si="2"/>
        <v>6622765</v>
      </c>
      <c r="AF81" s="935"/>
      <c r="AG81" s="945">
        <v>6634288</v>
      </c>
      <c r="AH81" s="935"/>
    </row>
    <row r="82" spans="1:34" ht="18" customHeight="1">
      <c r="A82" s="935" t="s">
        <v>874</v>
      </c>
      <c r="B82" s="935" t="s">
        <v>6</v>
      </c>
      <c r="C82" s="936">
        <v>0</v>
      </c>
      <c r="D82" s="935"/>
      <c r="E82" s="936">
        <v>0</v>
      </c>
      <c r="F82" s="935"/>
      <c r="G82" s="936">
        <v>0</v>
      </c>
      <c r="H82" s="935"/>
      <c r="I82" s="936">
        <v>0</v>
      </c>
      <c r="J82" s="935"/>
      <c r="K82" s="936">
        <v>0</v>
      </c>
      <c r="L82" s="935"/>
      <c r="M82" s="936">
        <v>0</v>
      </c>
      <c r="N82" s="935"/>
      <c r="O82" s="936">
        <v>0</v>
      </c>
      <c r="P82" s="935"/>
      <c r="Q82" s="936">
        <v>0</v>
      </c>
      <c r="R82" s="935"/>
      <c r="S82" s="936">
        <v>0</v>
      </c>
      <c r="T82" s="935"/>
      <c r="U82" s="936">
        <f t="shared" si="0"/>
        <v>0</v>
      </c>
      <c r="V82" s="935"/>
      <c r="W82" s="936">
        <v>141</v>
      </c>
      <c r="X82" s="930"/>
      <c r="Y82" s="936">
        <v>3</v>
      </c>
      <c r="Z82" s="935"/>
      <c r="AA82" s="936">
        <v>68</v>
      </c>
      <c r="AB82" s="984"/>
      <c r="AC82" s="936">
        <v>0</v>
      </c>
      <c r="AD82" s="935"/>
      <c r="AE82" s="945">
        <f t="shared" si="2"/>
        <v>212</v>
      </c>
      <c r="AF82" s="935"/>
      <c r="AG82" s="945">
        <v>253</v>
      </c>
      <c r="AH82" s="935"/>
    </row>
    <row r="83" spans="1:34" ht="18.75" customHeight="1">
      <c r="A83" s="935" t="s">
        <v>875</v>
      </c>
      <c r="B83" s="935" t="s">
        <v>6</v>
      </c>
      <c r="C83" s="936">
        <v>2812</v>
      </c>
      <c r="D83" s="935"/>
      <c r="E83" s="936">
        <v>0</v>
      </c>
      <c r="F83" s="935"/>
      <c r="G83" s="936">
        <v>0</v>
      </c>
      <c r="H83" s="935"/>
      <c r="I83" s="936">
        <v>0</v>
      </c>
      <c r="J83" s="935"/>
      <c r="K83" s="936">
        <v>0</v>
      </c>
      <c r="L83" s="935"/>
      <c r="M83" s="936">
        <v>0</v>
      </c>
      <c r="N83" s="935"/>
      <c r="O83" s="936">
        <v>0</v>
      </c>
      <c r="P83" s="935"/>
      <c r="Q83" s="936">
        <v>0</v>
      </c>
      <c r="R83" s="935"/>
      <c r="S83" s="936">
        <v>0</v>
      </c>
      <c r="T83" s="935"/>
      <c r="U83" s="936">
        <f t="shared" si="0"/>
        <v>2812</v>
      </c>
      <c r="V83" s="935"/>
      <c r="W83" s="936">
        <v>3626705</v>
      </c>
      <c r="X83" s="935"/>
      <c r="Y83" s="936">
        <v>2232160</v>
      </c>
      <c r="Z83" s="935"/>
      <c r="AA83" s="936">
        <v>370529</v>
      </c>
      <c r="AB83" s="986"/>
      <c r="AC83" s="936">
        <v>0</v>
      </c>
      <c r="AD83" s="935"/>
      <c r="AE83" s="945">
        <f t="shared" si="2"/>
        <v>6232206</v>
      </c>
      <c r="AF83" s="935"/>
      <c r="AG83" s="945">
        <v>6085950</v>
      </c>
      <c r="AH83" s="935"/>
    </row>
    <row r="84" spans="1:34" ht="18" customHeight="1">
      <c r="A84" s="935" t="s">
        <v>876</v>
      </c>
      <c r="B84" s="935" t="s">
        <v>6</v>
      </c>
      <c r="C84" s="936">
        <v>0</v>
      </c>
      <c r="D84" s="935"/>
      <c r="E84" s="936">
        <v>0</v>
      </c>
      <c r="F84" s="935"/>
      <c r="G84" s="936">
        <v>0</v>
      </c>
      <c r="H84" s="935"/>
      <c r="I84" s="936">
        <v>0</v>
      </c>
      <c r="J84" s="935"/>
      <c r="K84" s="936">
        <v>0</v>
      </c>
      <c r="L84" s="935"/>
      <c r="M84" s="936">
        <v>0</v>
      </c>
      <c r="N84" s="935"/>
      <c r="O84" s="936">
        <v>0</v>
      </c>
      <c r="P84" s="935"/>
      <c r="Q84" s="936">
        <v>0</v>
      </c>
      <c r="R84" s="935"/>
      <c r="S84" s="936">
        <v>0</v>
      </c>
      <c r="T84" s="935"/>
      <c r="U84" s="936">
        <f t="shared" si="0"/>
        <v>0</v>
      </c>
      <c r="V84" s="935"/>
      <c r="W84" s="936">
        <v>0</v>
      </c>
      <c r="X84" s="935"/>
      <c r="Y84" s="936">
        <v>0</v>
      </c>
      <c r="Z84" s="935"/>
      <c r="AA84" s="936">
        <v>0</v>
      </c>
      <c r="AB84" s="984"/>
      <c r="AC84" s="936">
        <v>0</v>
      </c>
      <c r="AD84" s="935"/>
      <c r="AE84" s="945">
        <f t="shared" si="2"/>
        <v>0</v>
      </c>
      <c r="AF84" s="935"/>
      <c r="AG84" s="942">
        <v>0</v>
      </c>
      <c r="AH84" s="935"/>
    </row>
    <row r="85" spans="1:34" ht="18" customHeight="1">
      <c r="A85" s="935" t="s">
        <v>877</v>
      </c>
      <c r="B85" s="935" t="s">
        <v>6</v>
      </c>
      <c r="C85" s="936">
        <v>0</v>
      </c>
      <c r="D85" s="935"/>
      <c r="E85" s="936">
        <v>0</v>
      </c>
      <c r="F85" s="935"/>
      <c r="G85" s="936">
        <v>0</v>
      </c>
      <c r="H85" s="935"/>
      <c r="I85" s="936">
        <v>0</v>
      </c>
      <c r="J85" s="935"/>
      <c r="K85" s="936">
        <v>0</v>
      </c>
      <c r="L85" s="935"/>
      <c r="M85" s="936">
        <v>0</v>
      </c>
      <c r="N85" s="935"/>
      <c r="O85" s="936">
        <v>0</v>
      </c>
      <c r="P85" s="935"/>
      <c r="Q85" s="936">
        <v>0</v>
      </c>
      <c r="R85" s="935"/>
      <c r="S85" s="936">
        <v>0</v>
      </c>
      <c r="T85" s="935"/>
      <c r="U85" s="936">
        <f t="shared" si="0"/>
        <v>0</v>
      </c>
      <c r="V85" s="935"/>
      <c r="W85" s="936">
        <v>0</v>
      </c>
      <c r="X85" s="930"/>
      <c r="Y85" s="936">
        <v>0</v>
      </c>
      <c r="Z85" s="935"/>
      <c r="AA85" s="936">
        <v>0</v>
      </c>
      <c r="AB85" s="986"/>
      <c r="AC85" s="936">
        <v>0</v>
      </c>
      <c r="AD85" s="935"/>
      <c r="AE85" s="945">
        <f t="shared" si="2"/>
        <v>0</v>
      </c>
      <c r="AF85" s="935"/>
      <c r="AG85" s="945">
        <v>2695</v>
      </c>
      <c r="AH85" s="935"/>
    </row>
    <row r="86" spans="1:34" ht="18" customHeight="1">
      <c r="A86" s="935" t="s">
        <v>878</v>
      </c>
      <c r="B86" s="935" t="s">
        <v>6</v>
      </c>
      <c r="C86" s="936">
        <v>0</v>
      </c>
      <c r="D86" s="935"/>
      <c r="E86" s="936">
        <v>0</v>
      </c>
      <c r="F86" s="935"/>
      <c r="G86" s="936">
        <v>112204</v>
      </c>
      <c r="H86" s="935"/>
      <c r="I86" s="936">
        <v>0</v>
      </c>
      <c r="J86" s="935"/>
      <c r="K86" s="936">
        <v>0</v>
      </c>
      <c r="L86" s="935"/>
      <c r="M86" s="936">
        <v>0</v>
      </c>
      <c r="N86" s="935"/>
      <c r="O86" s="936">
        <v>0</v>
      </c>
      <c r="P86" s="935"/>
      <c r="Q86" s="936">
        <v>0</v>
      </c>
      <c r="R86" s="935"/>
      <c r="S86" s="936">
        <v>0</v>
      </c>
      <c r="T86" s="935"/>
      <c r="U86" s="936">
        <f t="shared" si="0"/>
        <v>112204</v>
      </c>
      <c r="V86" s="935"/>
      <c r="W86" s="936">
        <v>58352</v>
      </c>
      <c r="X86" s="930"/>
      <c r="Y86" s="936">
        <v>62130</v>
      </c>
      <c r="Z86" s="935"/>
      <c r="AA86" s="936">
        <v>21727</v>
      </c>
      <c r="AB86" s="986"/>
      <c r="AC86" s="936">
        <v>0</v>
      </c>
      <c r="AD86" s="935"/>
      <c r="AE86" s="945">
        <f t="shared" si="2"/>
        <v>254413</v>
      </c>
      <c r="AF86" s="935"/>
      <c r="AG86" s="945">
        <v>231515</v>
      </c>
      <c r="AH86" s="935"/>
    </row>
    <row r="87" spans="1:34" ht="18" customHeight="1">
      <c r="A87" s="935" t="s">
        <v>879</v>
      </c>
      <c r="B87" s="935" t="s">
        <v>6</v>
      </c>
      <c r="C87" s="936">
        <v>0</v>
      </c>
      <c r="D87" s="935"/>
      <c r="E87" s="936">
        <v>0</v>
      </c>
      <c r="F87" s="935"/>
      <c r="G87" s="936">
        <v>0</v>
      </c>
      <c r="H87" s="935"/>
      <c r="I87" s="936">
        <v>0</v>
      </c>
      <c r="J87" s="935"/>
      <c r="K87" s="936">
        <v>0</v>
      </c>
      <c r="L87" s="935"/>
      <c r="M87" s="936">
        <v>0</v>
      </c>
      <c r="N87" s="935"/>
      <c r="O87" s="936">
        <v>0</v>
      </c>
      <c r="P87" s="935"/>
      <c r="Q87" s="936">
        <v>0</v>
      </c>
      <c r="R87" s="935"/>
      <c r="S87" s="936">
        <v>0</v>
      </c>
      <c r="T87" s="935"/>
      <c r="U87" s="936">
        <f t="shared" si="0"/>
        <v>0</v>
      </c>
      <c r="V87" s="935"/>
      <c r="W87" s="936">
        <v>78723</v>
      </c>
      <c r="X87" s="935"/>
      <c r="Y87" s="936">
        <v>60280</v>
      </c>
      <c r="Z87" s="935"/>
      <c r="AA87" s="936">
        <v>44194</v>
      </c>
      <c r="AB87" s="984"/>
      <c r="AC87" s="936">
        <v>0</v>
      </c>
      <c r="AD87" s="935"/>
      <c r="AE87" s="945">
        <f t="shared" si="2"/>
        <v>183197</v>
      </c>
      <c r="AF87" s="935"/>
      <c r="AG87" s="1772">
        <v>188011</v>
      </c>
      <c r="AH87" s="935"/>
    </row>
    <row r="88" spans="1:34" ht="21.75" customHeight="1" thickBot="1">
      <c r="A88" s="912" t="s">
        <v>822</v>
      </c>
      <c r="B88" s="935" t="s">
        <v>6</v>
      </c>
      <c r="C88" s="953">
        <f>ROUND(SUM(C15:C87),1)</f>
        <v>6529102</v>
      </c>
      <c r="D88" s="954"/>
      <c r="E88" s="953">
        <f>ROUND(SUM(E15:E87),1)</f>
        <v>4754</v>
      </c>
      <c r="F88" s="954"/>
      <c r="G88" s="953">
        <f>ROUND(SUM(G15:G87),1)</f>
        <v>204724</v>
      </c>
      <c r="H88" s="954"/>
      <c r="I88" s="953">
        <f>ROUND(SUM(I15:I87),1)</f>
        <v>5308442</v>
      </c>
      <c r="J88" s="954"/>
      <c r="K88" s="953">
        <f>ROUND(SUM(K15:K87),1)</f>
        <v>2405162</v>
      </c>
      <c r="L88" s="954"/>
      <c r="M88" s="953">
        <f>ROUND(SUM(M15:M87),1)</f>
        <v>150340</v>
      </c>
      <c r="N88" s="954"/>
      <c r="O88" s="953">
        <f>ROUND(SUM(O15:O87),1)</f>
        <v>2809</v>
      </c>
      <c r="P88" s="954"/>
      <c r="Q88" s="953">
        <f>ROUND(SUM(Q15:Q87),1)</f>
        <v>99718</v>
      </c>
      <c r="R88" s="954"/>
      <c r="S88" s="953">
        <f>ROUND(SUM(S15:S87),1)</f>
        <v>4633878</v>
      </c>
      <c r="T88" s="954"/>
      <c r="U88" s="953">
        <f>ROUND(SUM(U15:U87),1)</f>
        <v>19338929</v>
      </c>
      <c r="V88" s="954"/>
      <c r="W88" s="953">
        <f>ROUND(SUM(W15:W87),1)</f>
        <v>6969859</v>
      </c>
      <c r="X88" s="954"/>
      <c r="Y88" s="953">
        <f>ROUND(SUM(Y15:Y87),1)</f>
        <v>3620872</v>
      </c>
      <c r="Z88" s="954"/>
      <c r="AA88" s="953">
        <f>ROUND(SUM(AA15:AA87),1)</f>
        <v>2055232</v>
      </c>
      <c r="AB88" s="954"/>
      <c r="AC88" s="953">
        <f>ROUND(SUM(AC15:AC87),1)</f>
        <v>1749</v>
      </c>
      <c r="AD88" s="954"/>
      <c r="AE88" s="953">
        <f>ROUND(SUM(AE15:AE87),1)</f>
        <v>31986641</v>
      </c>
      <c r="AF88" s="955"/>
      <c r="AG88" s="953">
        <f>ROUND(SUM(AG15:AG87),1)</f>
        <v>31950248</v>
      </c>
      <c r="AH88" s="921"/>
    </row>
    <row r="89" spans="1:34" ht="7.5" customHeight="1" thickTop="1">
      <c r="A89" s="935"/>
      <c r="B89" s="935"/>
      <c r="C89" s="1780"/>
      <c r="D89" s="935"/>
      <c r="E89" s="1780"/>
      <c r="F89" s="935"/>
      <c r="G89" s="1780"/>
      <c r="H89" s="935"/>
      <c r="I89" s="1780"/>
      <c r="J89" s="935"/>
      <c r="K89" s="1780"/>
      <c r="L89" s="935"/>
      <c r="M89" s="1780"/>
      <c r="N89" s="935"/>
      <c r="O89" s="1780"/>
      <c r="P89" s="935"/>
      <c r="Q89" s="1780"/>
      <c r="R89" s="935"/>
      <c r="S89" s="1780"/>
      <c r="T89" s="935"/>
      <c r="U89" s="1774"/>
      <c r="V89" s="935"/>
      <c r="W89" s="994"/>
      <c r="X89" s="935"/>
      <c r="Y89" s="994"/>
      <c r="Z89" s="935"/>
      <c r="AA89" s="929"/>
      <c r="AB89" s="929"/>
      <c r="AC89" s="929"/>
      <c r="AD89" s="935"/>
      <c r="AE89" s="1781"/>
      <c r="AF89" s="929"/>
      <c r="AG89" s="996"/>
      <c r="AH89" s="935"/>
    </row>
    <row r="90" spans="1:34" ht="12" customHeight="1">
      <c r="A90" s="935"/>
      <c r="B90" s="935"/>
      <c r="C90" s="929"/>
      <c r="D90" s="935"/>
      <c r="E90" s="935"/>
      <c r="F90" s="935"/>
      <c r="G90" s="929"/>
      <c r="H90" s="935"/>
      <c r="I90" s="929"/>
      <c r="J90" s="935"/>
      <c r="K90" s="929"/>
      <c r="L90" s="935"/>
      <c r="M90" s="929"/>
      <c r="N90" s="935"/>
      <c r="O90" s="929"/>
      <c r="P90" s="935"/>
      <c r="Q90" s="935"/>
      <c r="R90" s="935"/>
      <c r="S90" s="929"/>
      <c r="T90" s="935"/>
      <c r="U90" s="1775"/>
      <c r="V90" s="935"/>
      <c r="W90" s="951"/>
      <c r="X90" s="935"/>
      <c r="Y90" s="951"/>
      <c r="Z90" s="935"/>
      <c r="AA90" s="929"/>
      <c r="AB90" s="929"/>
      <c r="AC90" s="929"/>
      <c r="AD90" s="935"/>
      <c r="AE90" s="929"/>
      <c r="AF90" s="929"/>
      <c r="AG90" s="998"/>
      <c r="AH90" s="935"/>
    </row>
    <row r="91" spans="1:34" ht="7.5" customHeight="1">
      <c r="A91" s="935"/>
      <c r="B91" s="935"/>
      <c r="C91" s="929"/>
      <c r="D91" s="935"/>
      <c r="E91" s="935"/>
      <c r="F91" s="935"/>
      <c r="G91" s="929"/>
      <c r="H91" s="935"/>
      <c r="I91" s="929"/>
      <c r="J91" s="935"/>
      <c r="K91" s="929"/>
      <c r="L91" s="935"/>
      <c r="M91" s="929"/>
      <c r="N91" s="935"/>
      <c r="O91" s="929"/>
      <c r="P91" s="935"/>
      <c r="Q91" s="935"/>
      <c r="R91" s="935"/>
      <c r="S91" s="929"/>
      <c r="T91" s="935"/>
      <c r="U91" s="1775"/>
      <c r="V91" s="935"/>
      <c r="W91" s="951"/>
      <c r="X91" s="935"/>
      <c r="Y91" s="951"/>
      <c r="Z91" s="935"/>
      <c r="AA91" s="929"/>
      <c r="AB91" s="929"/>
      <c r="AC91" s="929"/>
      <c r="AD91" s="935"/>
      <c r="AE91" s="929"/>
      <c r="AF91" s="929"/>
      <c r="AG91" s="998"/>
      <c r="AH91" s="935"/>
    </row>
    <row r="92" spans="1:34">
      <c r="B92" s="960"/>
      <c r="T92" s="961"/>
      <c r="U92" s="962"/>
      <c r="V92" s="961"/>
      <c r="AC92" s="1782"/>
      <c r="AH92" s="960"/>
    </row>
    <row r="93" spans="1:34">
      <c r="B93" s="960"/>
      <c r="T93" s="961"/>
      <c r="V93" s="961"/>
      <c r="AE93" s="958"/>
      <c r="AH93" s="960"/>
    </row>
    <row r="94" spans="1:34">
      <c r="B94" s="960"/>
      <c r="T94" s="961"/>
      <c r="V94" s="961"/>
      <c r="AH94" s="960"/>
    </row>
    <row r="95" spans="1:34">
      <c r="B95" s="960"/>
      <c r="T95" s="961"/>
      <c r="V95" s="961"/>
      <c r="AH95" s="960"/>
    </row>
    <row r="96" spans="1:34">
      <c r="B96" s="960"/>
      <c r="T96" s="961"/>
      <c r="V96" s="961"/>
      <c r="AH96" s="960"/>
    </row>
    <row r="97" spans="2:34">
      <c r="B97" s="960"/>
      <c r="T97" s="961"/>
      <c r="V97" s="961"/>
      <c r="AH97" s="960"/>
    </row>
    <row r="98" spans="2:34">
      <c r="B98" s="960"/>
      <c r="T98" s="961"/>
      <c r="V98" s="961"/>
      <c r="AH98" s="960"/>
    </row>
    <row r="99" spans="2:34">
      <c r="B99" s="960"/>
      <c r="T99" s="961"/>
      <c r="V99" s="961"/>
      <c r="AH99" s="960"/>
    </row>
    <row r="100" spans="2:34">
      <c r="AH100" s="960"/>
    </row>
    <row r="101" spans="2:34">
      <c r="AH101" s="960"/>
    </row>
    <row r="102" spans="2:34">
      <c r="AH102" s="960"/>
    </row>
    <row r="103" spans="2:34">
      <c r="AH103" s="960"/>
    </row>
    <row r="104" spans="2:34">
      <c r="AH104" s="960"/>
    </row>
    <row r="105" spans="2:34">
      <c r="AH105" s="960"/>
    </row>
    <row r="106" spans="2:34">
      <c r="AH106" s="960"/>
    </row>
    <row r="107" spans="2:34">
      <c r="AH107" s="960"/>
    </row>
    <row r="108" spans="2:34">
      <c r="AH108" s="960"/>
    </row>
    <row r="109" spans="2:34">
      <c r="AH109" s="960"/>
    </row>
    <row r="110" spans="2:34">
      <c r="AH110" s="960"/>
    </row>
    <row r="111" spans="2:34">
      <c r="AH111" s="960"/>
    </row>
    <row r="112" spans="2:34">
      <c r="AH112" s="960"/>
    </row>
    <row r="113" spans="34:34">
      <c r="AH113" s="960"/>
    </row>
    <row r="114" spans="34:34">
      <c r="AH114" s="960"/>
    </row>
    <row r="115" spans="34:34">
      <c r="AH115" s="960"/>
    </row>
    <row r="116" spans="34:34">
      <c r="AH116" s="960"/>
    </row>
    <row r="117" spans="34:34">
      <c r="AH117" s="960"/>
    </row>
    <row r="118" spans="34:34">
      <c r="AH118" s="960"/>
    </row>
    <row r="119" spans="34:34">
      <c r="AH119" s="960"/>
    </row>
    <row r="120" spans="34:34">
      <c r="AH120" s="960"/>
    </row>
    <row r="121" spans="34:34">
      <c r="AH121" s="960"/>
    </row>
    <row r="122" spans="34:34">
      <c r="AH122" s="960"/>
    </row>
    <row r="123" spans="34:34">
      <c r="AH123" s="960"/>
    </row>
    <row r="124" spans="34:34">
      <c r="AH124" s="960"/>
    </row>
    <row r="125" spans="34:34">
      <c r="AH125" s="960"/>
    </row>
    <row r="126" spans="34:34">
      <c r="AH126" s="960"/>
    </row>
    <row r="127" spans="34:34">
      <c r="AH127" s="960"/>
    </row>
    <row r="128" spans="34:34">
      <c r="AH128" s="960"/>
    </row>
    <row r="129" spans="34:34">
      <c r="AH129" s="960"/>
    </row>
    <row r="130" spans="34:34">
      <c r="AH130" s="960"/>
    </row>
    <row r="131" spans="34:34">
      <c r="AH131" s="960"/>
    </row>
    <row r="132" spans="34:34">
      <c r="AH132" s="960"/>
    </row>
    <row r="133" spans="34:34">
      <c r="AH133" s="960"/>
    </row>
    <row r="134" spans="34:34">
      <c r="AH134" s="960"/>
    </row>
  </sheetData>
  <mergeCells count="4">
    <mergeCell ref="AE5:AG5"/>
    <mergeCell ref="W9:Y9"/>
    <mergeCell ref="AE58:AG58"/>
    <mergeCell ref="W62:Y62"/>
  </mergeCells>
  <pageMargins left="0.5" right="0.5" top="0.6" bottom="0.25" header="0" footer="0.25"/>
  <pageSetup scale="51" firstPageNumber="109" fitToHeight="2" orientation="landscape" useFirstPageNumber="1"/>
  <headerFooter scaleWithDoc="0">
    <oddFooter>&amp;R&amp;8&amp;P</oddFooter>
  </headerFooter>
  <rowBreaks count="1" manualBreakCount="1">
    <brk id="55" max="32"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0"/>
  <sheetViews>
    <sheetView showGridLines="0" showOutlineSymbols="0" zoomScale="70" zoomScaleNormal="70" zoomScaleSheetLayoutView="100" zoomScalePageLayoutView="70" workbookViewId="0"/>
  </sheetViews>
  <sheetFormatPr baseColWidth="10" defaultColWidth="8.85546875" defaultRowHeight="12" x14ac:dyDescent="0"/>
  <cols>
    <col min="1" max="1" width="37" style="1661" customWidth="1"/>
    <col min="2" max="2" width="13.5703125" style="232" customWidth="1"/>
    <col min="3" max="3" width="1.5703125" style="232" customWidth="1"/>
    <col min="4" max="4" width="13.42578125" style="232" customWidth="1"/>
    <col min="5" max="5" width="1.5703125" style="232" customWidth="1"/>
    <col min="6" max="6" width="14.140625" style="232" bestFit="1" customWidth="1"/>
    <col min="7" max="7" width="1.5703125" style="232" customWidth="1"/>
    <col min="8" max="8" width="12" style="232" bestFit="1" customWidth="1"/>
    <col min="9" max="9" width="1.5703125" style="232" customWidth="1"/>
    <col min="10" max="10" width="13.85546875" style="232" customWidth="1"/>
    <col min="11" max="11" width="1.5703125" style="232" customWidth="1"/>
    <col min="12" max="12" width="15.42578125" style="232" customWidth="1"/>
    <col min="13" max="13" width="1.5703125" style="232" customWidth="1"/>
    <col min="14" max="14" width="12.5703125" style="232" customWidth="1"/>
    <col min="15" max="15" width="1.5703125" style="232" customWidth="1"/>
    <col min="16" max="16" width="13.85546875" style="232" customWidth="1"/>
    <col min="17" max="17" width="1.5703125" style="232" customWidth="1"/>
    <col min="18" max="18" width="17.85546875" style="232" customWidth="1"/>
    <col min="19" max="19" width="1.5703125" style="232" customWidth="1"/>
    <col min="20" max="20" width="13.5703125" style="232" customWidth="1"/>
    <col min="21" max="21" width="1.5703125" style="232" customWidth="1"/>
    <col min="22" max="22" width="13.85546875" style="232" customWidth="1"/>
    <col min="23" max="23" width="1.5703125" style="232" customWidth="1"/>
    <col min="24" max="24" width="11.5703125" style="1661" customWidth="1"/>
    <col min="25" max="25" width="1.5703125" style="232" customWidth="1"/>
    <col min="26" max="26" width="13.5703125" style="232" customWidth="1"/>
    <col min="27" max="27" width="1.5703125" style="232" customWidth="1"/>
    <col min="28" max="28" width="11.5703125" style="1661" customWidth="1"/>
    <col min="29" max="29" width="1.5703125" style="232" customWidth="1"/>
    <col min="30" max="30" width="13.85546875" style="232" customWidth="1"/>
    <col min="31" max="31" width="1.5703125" style="232" customWidth="1"/>
    <col min="32" max="32" width="13.85546875" style="1661" customWidth="1"/>
    <col min="33" max="16384" width="8.85546875" style="232"/>
  </cols>
  <sheetData>
    <row r="1" spans="1:59" ht="15" customHeight="1">
      <c r="A1" s="1660" t="s">
        <v>1443</v>
      </c>
    </row>
    <row r="3" spans="1:59" ht="37.5" customHeight="1">
      <c r="A3" s="1662" t="s">
        <v>0</v>
      </c>
      <c r="B3" s="1465"/>
      <c r="C3" s="1465"/>
      <c r="D3" s="1465"/>
      <c r="E3" s="1465"/>
      <c r="F3" s="1465"/>
      <c r="G3" s="1465"/>
      <c r="H3" s="1465"/>
      <c r="I3" s="1465"/>
      <c r="J3" s="1465"/>
      <c r="K3" s="1143"/>
      <c r="L3" s="1143"/>
      <c r="M3" s="1143"/>
      <c r="N3" s="1143"/>
      <c r="O3" s="1143"/>
      <c r="P3" s="1143"/>
      <c r="Q3" s="1143"/>
      <c r="R3" s="1143"/>
      <c r="S3" s="1143"/>
      <c r="T3" s="1143"/>
      <c r="U3" s="1143"/>
      <c r="V3" s="1143"/>
      <c r="W3" s="1143"/>
      <c r="X3" s="1663"/>
      <c r="Y3" s="1143"/>
      <c r="Z3" s="1143"/>
      <c r="AA3" s="1143"/>
      <c r="AB3" s="1663"/>
      <c r="AC3" s="1143"/>
      <c r="AD3" s="1664"/>
      <c r="AE3" s="1143"/>
      <c r="AF3" s="1663"/>
    </row>
    <row r="4" spans="1:59" ht="21.75" customHeight="1">
      <c r="A4" s="1665" t="s">
        <v>880</v>
      </c>
      <c r="B4" s="1465"/>
      <c r="C4" s="1465"/>
      <c r="D4" s="1465"/>
      <c r="E4" s="1465"/>
      <c r="F4" s="1465"/>
      <c r="G4" s="1465"/>
      <c r="H4" s="1465"/>
      <c r="I4" s="1465"/>
      <c r="J4" s="1465"/>
      <c r="K4" s="1143"/>
      <c r="L4" s="1143"/>
      <c r="M4" s="1143"/>
      <c r="N4" s="1143"/>
      <c r="O4" s="1143"/>
      <c r="P4" s="1143"/>
      <c r="Q4" s="1143"/>
      <c r="R4" s="1143"/>
      <c r="S4" s="1143"/>
      <c r="T4" s="1143"/>
      <c r="U4" s="1143"/>
      <c r="V4" s="1143"/>
      <c r="W4" s="1143"/>
      <c r="X4" s="1663"/>
      <c r="Y4" s="1143"/>
      <c r="Z4" s="1143"/>
      <c r="AA4" s="1143"/>
      <c r="AB4" s="1663"/>
      <c r="AC4" s="1143"/>
      <c r="AD4" s="1448"/>
      <c r="AE4" s="1666"/>
      <c r="AF4" s="1667" t="s">
        <v>2447</v>
      </c>
    </row>
    <row r="5" spans="1:59" ht="21.75" customHeight="1">
      <c r="A5" s="1665" t="s">
        <v>881</v>
      </c>
      <c r="B5" s="1465"/>
      <c r="C5" s="1465"/>
      <c r="D5" s="1465"/>
      <c r="E5" s="1465"/>
      <c r="F5" s="1465"/>
      <c r="G5" s="1465"/>
      <c r="H5" s="1465"/>
      <c r="I5" s="1465"/>
      <c r="J5" s="1465"/>
      <c r="K5" s="1143"/>
      <c r="L5" s="1143"/>
      <c r="M5" s="1143"/>
      <c r="N5" s="1143"/>
      <c r="O5" s="1143"/>
      <c r="P5" s="1143"/>
      <c r="Q5" s="1143"/>
      <c r="R5" s="1143"/>
      <c r="S5" s="1143"/>
      <c r="T5" s="1143"/>
      <c r="U5" s="1143"/>
      <c r="V5" s="1143"/>
      <c r="W5" s="1143"/>
      <c r="X5" s="1663"/>
      <c r="Y5" s="1143"/>
      <c r="Z5" s="1143"/>
      <c r="AA5" s="1143"/>
      <c r="AB5" s="1663"/>
      <c r="AC5" s="1143"/>
      <c r="AE5" s="1143"/>
      <c r="AF5" s="1668"/>
    </row>
    <row r="6" spans="1:59" ht="21.75" customHeight="1">
      <c r="A6" s="1665" t="s">
        <v>2585</v>
      </c>
      <c r="B6" s="1465"/>
      <c r="C6" s="1465"/>
      <c r="D6" s="1465"/>
      <c r="E6" s="1465"/>
      <c r="F6" s="1465"/>
      <c r="G6" s="1465"/>
      <c r="H6" s="1465"/>
      <c r="I6" s="1465"/>
      <c r="J6" s="1465"/>
      <c r="K6" s="1143"/>
      <c r="L6" s="1143"/>
      <c r="M6" s="1143"/>
      <c r="N6" s="1143"/>
      <c r="O6" s="1143"/>
      <c r="P6" s="1143"/>
      <c r="Q6" s="1143"/>
      <c r="R6" s="1143"/>
      <c r="S6" s="1143"/>
      <c r="T6" s="1143"/>
      <c r="U6" s="1143"/>
      <c r="V6" s="1143"/>
      <c r="W6" s="1143"/>
      <c r="X6" s="1663"/>
      <c r="Y6" s="1143"/>
      <c r="Z6" s="1143"/>
      <c r="AA6" s="1143"/>
      <c r="AB6" s="1663"/>
      <c r="AC6" s="1143"/>
      <c r="AD6" s="1143"/>
    </row>
    <row r="7" spans="1:59" ht="21.75" customHeight="1">
      <c r="A7" s="1665" t="s">
        <v>882</v>
      </c>
      <c r="B7" s="1465"/>
      <c r="C7" s="1465"/>
      <c r="D7" s="1465"/>
      <c r="E7" s="1465"/>
      <c r="F7" s="1465"/>
      <c r="G7" s="1465"/>
      <c r="H7" s="1465"/>
      <c r="I7" s="1465"/>
      <c r="J7" s="1465"/>
      <c r="K7" s="1143"/>
      <c r="L7" s="1143"/>
      <c r="M7" s="1143"/>
      <c r="N7" s="1143"/>
      <c r="O7" s="1143"/>
      <c r="P7" s="1143"/>
      <c r="Q7" s="1143"/>
      <c r="R7" s="1143"/>
      <c r="S7" s="1143"/>
      <c r="T7" s="1143"/>
      <c r="U7" s="1143"/>
      <c r="V7" s="1143"/>
      <c r="W7" s="1143"/>
      <c r="X7" s="1663"/>
      <c r="Y7" s="1143"/>
      <c r="Z7" s="1143"/>
      <c r="AA7" s="1143"/>
      <c r="AB7" s="1663"/>
      <c r="AC7" s="1143"/>
      <c r="AD7" s="1143"/>
    </row>
    <row r="8" spans="1:59" ht="18" customHeight="1">
      <c r="A8" s="1663"/>
      <c r="B8" s="1143"/>
      <c r="C8" s="1143"/>
      <c r="D8" s="1143"/>
      <c r="E8" s="1143"/>
      <c r="F8" s="1143"/>
      <c r="G8" s="1143"/>
      <c r="H8" s="1143"/>
      <c r="I8" s="1143"/>
      <c r="J8" s="1143"/>
      <c r="K8" s="1143"/>
      <c r="L8" s="1143"/>
      <c r="M8" s="1143"/>
      <c r="N8" s="1143"/>
      <c r="O8" s="1143"/>
      <c r="P8" s="1143"/>
      <c r="Q8" s="1143"/>
      <c r="R8" s="1143"/>
      <c r="S8" s="1143"/>
      <c r="T8" s="1143"/>
      <c r="U8" s="1143"/>
      <c r="V8" s="1143"/>
      <c r="W8" s="1143"/>
      <c r="X8" s="1663"/>
      <c r="Y8" s="1143"/>
      <c r="Z8" s="1143"/>
      <c r="AA8" s="1143"/>
      <c r="AB8" s="1663"/>
      <c r="AC8" s="1143"/>
      <c r="AD8" s="1143"/>
    </row>
    <row r="9" spans="1:59" ht="14.25" customHeight="1">
      <c r="A9" s="1662"/>
      <c r="B9" s="111"/>
      <c r="C9" s="111"/>
      <c r="D9" s="111"/>
      <c r="E9" s="111"/>
      <c r="F9" s="111"/>
      <c r="G9" s="111"/>
      <c r="H9" s="111"/>
      <c r="I9" s="111"/>
      <c r="J9" s="111"/>
      <c r="K9" s="111"/>
      <c r="L9" s="111"/>
      <c r="M9" s="111"/>
      <c r="N9" s="111"/>
      <c r="O9" s="111"/>
      <c r="P9" s="111"/>
      <c r="Q9" s="111"/>
      <c r="R9" s="111"/>
      <c r="S9" s="111"/>
      <c r="T9" s="111"/>
      <c r="U9" s="111"/>
      <c r="V9" s="111"/>
      <c r="W9" s="111"/>
      <c r="X9" s="1691"/>
      <c r="Y9" s="111"/>
      <c r="Z9" s="111"/>
      <c r="AA9" s="111"/>
      <c r="AB9" s="236"/>
      <c r="AC9" s="111"/>
      <c r="AD9" s="1690"/>
      <c r="AE9" s="111"/>
      <c r="AF9" s="236"/>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row>
    <row r="10" spans="1:59" ht="7.5" customHeight="1">
      <c r="A10" s="1669" t="s">
        <v>6</v>
      </c>
      <c r="B10" s="1064"/>
      <c r="C10" s="1064"/>
      <c r="AB10" s="1669"/>
      <c r="AC10" s="1064"/>
      <c r="AD10" s="1064"/>
      <c r="AE10" s="1064"/>
      <c r="AF10" s="1669"/>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row>
    <row r="11" spans="1:59" ht="15">
      <c r="A11" s="1669"/>
      <c r="B11" s="1064"/>
      <c r="C11" s="1064"/>
      <c r="D11" s="1670"/>
      <c r="E11" s="1670"/>
      <c r="F11" s="1670"/>
      <c r="G11" s="1670"/>
      <c r="H11" s="1670"/>
      <c r="I11" s="1670"/>
      <c r="J11" s="1670"/>
      <c r="K11" s="1670" t="s">
        <v>883</v>
      </c>
      <c r="L11" s="1670"/>
      <c r="M11" s="1670"/>
      <c r="N11" s="1670"/>
      <c r="O11" s="1670"/>
      <c r="P11" s="1670"/>
      <c r="Q11" s="1670"/>
      <c r="R11" s="1670"/>
      <c r="S11" s="1670"/>
      <c r="T11" s="1670"/>
      <c r="U11" s="1670"/>
      <c r="V11" s="1670"/>
      <c r="W11" s="1064"/>
      <c r="X11" s="1671" t="s">
        <v>740</v>
      </c>
      <c r="Y11" s="1672"/>
      <c r="Z11" s="1673"/>
      <c r="AA11" s="1064"/>
      <c r="AB11" s="1669"/>
      <c r="AC11" s="1064"/>
      <c r="AD11" s="1673" t="s">
        <v>276</v>
      </c>
      <c r="AE11" s="1673"/>
      <c r="AF11" s="167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row>
    <row r="12" spans="1:59" ht="15">
      <c r="A12" s="1669"/>
      <c r="B12" s="1064"/>
      <c r="C12" s="1064"/>
      <c r="D12" s="1674"/>
      <c r="E12" s="1674"/>
      <c r="F12" s="1674"/>
      <c r="G12" s="1674"/>
      <c r="H12" s="1674"/>
      <c r="I12" s="1674"/>
      <c r="J12" s="1674"/>
      <c r="K12" s="1674"/>
      <c r="L12" s="1674"/>
      <c r="M12" s="1674"/>
      <c r="N12" s="1674"/>
      <c r="O12" s="1674"/>
      <c r="P12" s="1674"/>
      <c r="Q12" s="1674"/>
      <c r="R12" s="1675" t="s">
        <v>12</v>
      </c>
      <c r="S12" s="1674"/>
      <c r="T12" s="1674"/>
      <c r="U12" s="1674"/>
      <c r="V12" s="1674"/>
      <c r="W12" s="1064"/>
      <c r="X12" s="1676"/>
      <c r="Y12" s="1677"/>
      <c r="Z12" s="1678"/>
      <c r="AA12" s="1064"/>
      <c r="AB12" s="1669"/>
      <c r="AC12" s="1064"/>
      <c r="AD12" s="1678"/>
      <c r="AE12" s="1678"/>
      <c r="AF12" s="1676"/>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row>
    <row r="13" spans="1:59" ht="15">
      <c r="A13" s="1669"/>
      <c r="B13" s="1064"/>
      <c r="C13" s="1064"/>
      <c r="D13" s="1064"/>
      <c r="E13" s="1064"/>
      <c r="F13" s="1679" t="s">
        <v>741</v>
      </c>
      <c r="G13" s="1064"/>
      <c r="H13" s="1064"/>
      <c r="I13" s="1064"/>
      <c r="J13" s="1064"/>
      <c r="K13" s="1064"/>
      <c r="L13" s="1064"/>
      <c r="M13" s="1064"/>
      <c r="N13" s="1064"/>
      <c r="O13" s="1064"/>
      <c r="P13" s="1064"/>
      <c r="Q13" s="1064"/>
      <c r="R13" s="1680" t="s">
        <v>6</v>
      </c>
      <c r="S13" s="1064"/>
      <c r="T13" s="1064"/>
      <c r="U13" s="1064"/>
      <c r="V13" s="1064"/>
      <c r="W13" s="1064"/>
      <c r="X13" s="1669"/>
      <c r="Y13" s="1064"/>
      <c r="Z13" s="1064"/>
      <c r="AA13" s="1064"/>
      <c r="AB13" s="1681" t="s">
        <v>742</v>
      </c>
      <c r="AC13" s="1064"/>
      <c r="AD13" s="1077"/>
      <c r="AE13" s="1077"/>
      <c r="AF13" s="1682"/>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row>
    <row r="14" spans="1:59" ht="15">
      <c r="A14" s="1669"/>
      <c r="B14" s="1064"/>
      <c r="C14" s="1064"/>
      <c r="D14" s="1679" t="s">
        <v>6</v>
      </c>
      <c r="E14" s="1683"/>
      <c r="F14" s="1679" t="s">
        <v>743</v>
      </c>
      <c r="G14" s="1683"/>
      <c r="H14" s="1679" t="s">
        <v>744</v>
      </c>
      <c r="I14" s="1683"/>
      <c r="J14" s="1679" t="s">
        <v>6</v>
      </c>
      <c r="K14" s="1683"/>
      <c r="L14" s="1679" t="s">
        <v>745</v>
      </c>
      <c r="M14" s="1683"/>
      <c r="N14" s="1679" t="s">
        <v>746</v>
      </c>
      <c r="O14" s="1683"/>
      <c r="P14" s="1679" t="s">
        <v>746</v>
      </c>
      <c r="Q14" s="1683"/>
      <c r="R14" s="1679" t="s">
        <v>747</v>
      </c>
      <c r="S14" s="1683"/>
      <c r="T14" s="1679" t="s">
        <v>6</v>
      </c>
      <c r="U14" s="1064"/>
      <c r="V14" s="1680" t="s">
        <v>748</v>
      </c>
      <c r="W14" s="1064"/>
      <c r="X14" s="1681" t="s">
        <v>749</v>
      </c>
      <c r="Y14" s="1064"/>
      <c r="Z14" s="1680" t="s">
        <v>750</v>
      </c>
      <c r="AA14" s="1064"/>
      <c r="AB14" s="1681" t="s">
        <v>751</v>
      </c>
      <c r="AC14" s="1064"/>
      <c r="AD14" s="1674"/>
      <c r="AE14" s="1674"/>
      <c r="AF14" s="55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row>
    <row r="15" spans="1:59" ht="15">
      <c r="A15" s="1681" t="s">
        <v>752</v>
      </c>
      <c r="B15" s="1064"/>
      <c r="C15" s="1064"/>
      <c r="D15" s="1679" t="s">
        <v>512</v>
      </c>
      <c r="E15" s="1683"/>
      <c r="F15" s="1684" t="s">
        <v>753</v>
      </c>
      <c r="G15" s="1683"/>
      <c r="H15" s="1684" t="s">
        <v>827</v>
      </c>
      <c r="I15" s="1683"/>
      <c r="J15" s="1679" t="s">
        <v>754</v>
      </c>
      <c r="K15" s="1683"/>
      <c r="L15" s="1683" t="s">
        <v>755</v>
      </c>
      <c r="M15" s="1683"/>
      <c r="N15" s="1679" t="s">
        <v>828</v>
      </c>
      <c r="O15" s="1683"/>
      <c r="P15" s="1679" t="s">
        <v>756</v>
      </c>
      <c r="Q15" s="1683"/>
      <c r="R15" s="1679" t="s">
        <v>2580</v>
      </c>
      <c r="S15" s="1683"/>
      <c r="T15" s="1684" t="s">
        <v>525</v>
      </c>
      <c r="U15" s="1064"/>
      <c r="V15" s="1680" t="s">
        <v>758</v>
      </c>
      <c r="W15" s="1064"/>
      <c r="X15" s="1681" t="s">
        <v>759</v>
      </c>
      <c r="Y15" s="1064"/>
      <c r="Z15" s="1680" t="s">
        <v>759</v>
      </c>
      <c r="AA15" s="1064"/>
      <c r="AB15" s="1681" t="s">
        <v>760</v>
      </c>
      <c r="AC15" s="1064"/>
      <c r="AD15" s="1680" t="s">
        <v>2584</v>
      </c>
      <c r="AE15" s="1064"/>
      <c r="AF15" s="1680" t="s">
        <v>1917</v>
      </c>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row>
    <row r="16" spans="1:59" ht="15">
      <c r="A16" s="1685"/>
      <c r="B16" s="1686"/>
      <c r="C16" s="111"/>
      <c r="D16" s="1686"/>
      <c r="E16" s="111"/>
      <c r="F16" s="111"/>
      <c r="G16" s="111"/>
      <c r="H16" s="1686"/>
      <c r="I16" s="111"/>
      <c r="J16" s="1686"/>
      <c r="K16" s="111"/>
      <c r="L16" s="1686"/>
      <c r="M16" s="111"/>
      <c r="N16" s="1686"/>
      <c r="O16" s="111"/>
      <c r="P16" s="1686"/>
      <c r="Q16" s="1687"/>
      <c r="R16" s="1686"/>
      <c r="S16" s="111"/>
      <c r="T16" s="1686"/>
      <c r="U16" s="111"/>
      <c r="V16" s="1686"/>
      <c r="W16" s="111"/>
      <c r="X16" s="1692"/>
      <c r="Y16" s="111"/>
      <c r="Z16" s="1686"/>
      <c r="AA16" s="111"/>
      <c r="AB16" s="1685"/>
      <c r="AC16" s="111"/>
      <c r="AD16" s="1696"/>
      <c r="AE16" s="111"/>
      <c r="AF16" s="1685"/>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row>
    <row r="17" spans="1:59" ht="21" customHeight="1">
      <c r="A17" s="236" t="s">
        <v>884</v>
      </c>
      <c r="B17" s="111"/>
      <c r="C17" s="111" t="s">
        <v>6</v>
      </c>
      <c r="D17" s="89">
        <v>0</v>
      </c>
      <c r="E17" s="1005"/>
      <c r="F17" s="89">
        <v>0</v>
      </c>
      <c r="G17" s="1005"/>
      <c r="H17" s="89">
        <v>0</v>
      </c>
      <c r="I17" s="1005"/>
      <c r="J17" s="89">
        <v>0</v>
      </c>
      <c r="K17" s="1005"/>
      <c r="L17" s="89">
        <v>0</v>
      </c>
      <c r="M17" s="1005"/>
      <c r="N17" s="89">
        <v>0</v>
      </c>
      <c r="O17" s="1005"/>
      <c r="P17" s="89">
        <v>0</v>
      </c>
      <c r="Q17" s="1005"/>
      <c r="R17" s="89">
        <v>0</v>
      </c>
      <c r="S17" s="89"/>
      <c r="T17" s="89">
        <v>0</v>
      </c>
      <c r="U17" s="1005"/>
      <c r="V17" s="89">
        <f>ROUND(SUM(D17:T17),1)</f>
        <v>0</v>
      </c>
      <c r="W17" s="1005"/>
      <c r="X17" s="1693">
        <v>0</v>
      </c>
      <c r="Y17" s="1005"/>
      <c r="Z17" s="89">
        <v>53</v>
      </c>
      <c r="AA17" s="1005"/>
      <c r="AB17" s="89">
        <v>0</v>
      </c>
      <c r="AC17" s="1005"/>
      <c r="AD17" s="1693">
        <f>ROUND(SUM(V17:AB17),1)</f>
        <v>53</v>
      </c>
      <c r="AE17" s="1005"/>
      <c r="AF17" s="900">
        <v>140</v>
      </c>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row>
    <row r="18" spans="1:59" ht="21" customHeight="1">
      <c r="A18" s="236" t="s">
        <v>885</v>
      </c>
      <c r="B18" s="111"/>
      <c r="C18" s="111" t="s">
        <v>6</v>
      </c>
      <c r="D18" s="111">
        <v>0</v>
      </c>
      <c r="E18" s="111"/>
      <c r="F18" s="111">
        <v>0</v>
      </c>
      <c r="G18" s="111"/>
      <c r="H18" s="111">
        <v>493</v>
      </c>
      <c r="I18" s="111"/>
      <c r="J18" s="111">
        <v>0</v>
      </c>
      <c r="K18" s="111"/>
      <c r="L18" s="111">
        <v>0</v>
      </c>
      <c r="M18" s="111"/>
      <c r="N18" s="111">
        <v>0</v>
      </c>
      <c r="O18" s="111"/>
      <c r="P18" s="111">
        <v>0</v>
      </c>
      <c r="Q18" s="111"/>
      <c r="R18" s="111">
        <v>0</v>
      </c>
      <c r="S18" s="111"/>
      <c r="T18" s="111">
        <v>0</v>
      </c>
      <c r="U18" s="111"/>
      <c r="V18" s="111">
        <f t="shared" ref="V18:V60" si="0">ROUND(SUM(D18:T18),1)</f>
        <v>493</v>
      </c>
      <c r="W18" s="111"/>
      <c r="X18" s="1690">
        <v>91</v>
      </c>
      <c r="Y18" s="111"/>
      <c r="Z18" s="111">
        <v>3945</v>
      </c>
      <c r="AA18" s="111"/>
      <c r="AB18" s="2203">
        <v>0</v>
      </c>
      <c r="AC18" s="111"/>
      <c r="AD18" s="1690">
        <f t="shared" ref="AD18:AD60" si="1">ROUND(SUM(V18:AB18),1)</f>
        <v>4529</v>
      </c>
      <c r="AE18" s="111"/>
      <c r="AF18" s="236">
        <v>3718</v>
      </c>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row>
    <row r="19" spans="1:59" s="1661" customFormat="1" ht="21" customHeight="1">
      <c r="A19" s="236" t="s">
        <v>886</v>
      </c>
      <c r="B19" s="111"/>
      <c r="C19" s="111" t="s">
        <v>6</v>
      </c>
      <c r="D19" s="111">
        <v>0</v>
      </c>
      <c r="E19" s="111"/>
      <c r="F19" s="111">
        <v>0</v>
      </c>
      <c r="G19" s="111"/>
      <c r="H19" s="111">
        <v>0</v>
      </c>
      <c r="I19" s="111"/>
      <c r="J19" s="111">
        <v>0</v>
      </c>
      <c r="K19" s="111"/>
      <c r="L19" s="111">
        <v>0</v>
      </c>
      <c r="M19" s="111"/>
      <c r="N19" s="111">
        <v>0</v>
      </c>
      <c r="O19" s="111"/>
      <c r="P19" s="111">
        <v>0</v>
      </c>
      <c r="Q19" s="189"/>
      <c r="R19" s="111">
        <v>0</v>
      </c>
      <c r="S19" s="111"/>
      <c r="T19" s="111">
        <v>0</v>
      </c>
      <c r="U19" s="111"/>
      <c r="V19" s="111">
        <f t="shared" si="0"/>
        <v>0</v>
      </c>
      <c r="W19" s="111"/>
      <c r="X19" s="1690">
        <v>0</v>
      </c>
      <c r="Y19" s="111"/>
      <c r="Z19" s="111">
        <v>7633</v>
      </c>
      <c r="AA19" s="111"/>
      <c r="AB19" s="2203">
        <v>0</v>
      </c>
      <c r="AC19" s="111"/>
      <c r="AD19" s="1690">
        <f t="shared" si="1"/>
        <v>7633</v>
      </c>
      <c r="AE19" s="111"/>
      <c r="AF19" s="535">
        <v>6731</v>
      </c>
      <c r="AG19" s="111"/>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row>
    <row r="20" spans="1:59" ht="21" customHeight="1">
      <c r="A20" s="1691" t="s">
        <v>1448</v>
      </c>
      <c r="B20" s="1690"/>
      <c r="C20" s="1690" t="s">
        <v>6</v>
      </c>
      <c r="D20" s="1690">
        <v>0</v>
      </c>
      <c r="E20" s="1690"/>
      <c r="F20" s="1690">
        <v>0</v>
      </c>
      <c r="G20" s="1690"/>
      <c r="H20" s="1690">
        <v>0</v>
      </c>
      <c r="I20" s="1690"/>
      <c r="J20" s="1690">
        <v>0</v>
      </c>
      <c r="K20" s="1690"/>
      <c r="L20" s="1690">
        <v>0</v>
      </c>
      <c r="M20" s="1690"/>
      <c r="N20" s="1690">
        <v>0</v>
      </c>
      <c r="O20" s="1690"/>
      <c r="P20" s="1690">
        <v>0</v>
      </c>
      <c r="Q20" s="1765"/>
      <c r="R20" s="1690">
        <v>0</v>
      </c>
      <c r="S20" s="1690"/>
      <c r="T20" s="1690">
        <v>0</v>
      </c>
      <c r="U20" s="1690"/>
      <c r="V20" s="1690">
        <f t="shared" si="0"/>
        <v>0</v>
      </c>
      <c r="W20" s="1690"/>
      <c r="X20" s="1690">
        <v>0</v>
      </c>
      <c r="Y20" s="1690"/>
      <c r="Z20" s="1690">
        <v>0</v>
      </c>
      <c r="AA20" s="1690"/>
      <c r="AB20" s="2203">
        <v>0</v>
      </c>
      <c r="AC20" s="1690"/>
      <c r="AD20" s="1690">
        <f t="shared" si="1"/>
        <v>0</v>
      </c>
      <c r="AE20" s="1690"/>
      <c r="AF20" s="1691">
        <v>0</v>
      </c>
      <c r="AG20" s="1690"/>
      <c r="AH20" s="1690"/>
      <c r="AI20" s="1690"/>
      <c r="AJ20" s="1690"/>
      <c r="AK20" s="1690"/>
      <c r="AL20" s="1690"/>
      <c r="AM20" s="1690"/>
      <c r="AN20" s="1690"/>
      <c r="AO20" s="1690"/>
      <c r="AP20" s="1690"/>
      <c r="AQ20" s="1690"/>
      <c r="AR20" s="1690"/>
      <c r="AS20" s="1690"/>
      <c r="AT20" s="1690"/>
      <c r="AU20" s="1690"/>
      <c r="AV20" s="1690"/>
      <c r="AW20" s="1690"/>
      <c r="AX20" s="1690"/>
      <c r="AY20" s="1690"/>
      <c r="AZ20" s="1690"/>
      <c r="BA20" s="1690"/>
      <c r="BB20" s="1690"/>
      <c r="BC20" s="1690"/>
      <c r="BD20" s="1690"/>
      <c r="BE20" s="1690"/>
      <c r="BF20" s="1690"/>
      <c r="BG20" s="1690"/>
    </row>
    <row r="21" spans="1:59" ht="21" customHeight="1">
      <c r="A21" s="236" t="s">
        <v>887</v>
      </c>
      <c r="B21" s="111"/>
      <c r="C21" s="111" t="s">
        <v>6</v>
      </c>
      <c r="D21" s="111">
        <v>359</v>
      </c>
      <c r="E21" s="111"/>
      <c r="F21" s="111">
        <v>0</v>
      </c>
      <c r="G21" s="111"/>
      <c r="H21" s="111">
        <v>0</v>
      </c>
      <c r="I21" s="111"/>
      <c r="J21" s="111">
        <v>0</v>
      </c>
      <c r="K21" s="111"/>
      <c r="L21" s="111">
        <v>0</v>
      </c>
      <c r="M21" s="111"/>
      <c r="N21" s="111">
        <v>0</v>
      </c>
      <c r="O21" s="111"/>
      <c r="P21" s="111">
        <v>0</v>
      </c>
      <c r="Q21" s="189"/>
      <c r="R21" s="111">
        <v>0</v>
      </c>
      <c r="S21" s="111"/>
      <c r="T21" s="111">
        <v>0</v>
      </c>
      <c r="U21" s="111"/>
      <c r="V21" s="111">
        <f t="shared" si="0"/>
        <v>359</v>
      </c>
      <c r="W21" s="111"/>
      <c r="X21" s="1690">
        <v>0</v>
      </c>
      <c r="Y21" s="111"/>
      <c r="Z21" s="111">
        <v>0</v>
      </c>
      <c r="AA21" s="111"/>
      <c r="AB21" s="2203">
        <v>0</v>
      </c>
      <c r="AC21" s="111"/>
      <c r="AD21" s="1690">
        <f t="shared" si="1"/>
        <v>359</v>
      </c>
      <c r="AE21" s="111"/>
      <c r="AF21" s="111">
        <v>965</v>
      </c>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row>
    <row r="22" spans="1:59" ht="21" customHeight="1">
      <c r="A22" s="1691" t="s">
        <v>2704</v>
      </c>
      <c r="B22" s="111"/>
      <c r="C22" s="111" t="s">
        <v>6</v>
      </c>
      <c r="D22" s="111">
        <v>0</v>
      </c>
      <c r="E22" s="189"/>
      <c r="F22" s="111">
        <v>0</v>
      </c>
      <c r="G22" s="189"/>
      <c r="H22" s="111">
        <v>0</v>
      </c>
      <c r="I22" s="189"/>
      <c r="J22" s="111">
        <v>0</v>
      </c>
      <c r="K22" s="189"/>
      <c r="L22" s="111">
        <v>0</v>
      </c>
      <c r="M22" s="189"/>
      <c r="N22" s="111">
        <v>0</v>
      </c>
      <c r="O22" s="189"/>
      <c r="P22" s="111">
        <v>750</v>
      </c>
      <c r="Q22" s="189"/>
      <c r="R22" s="111">
        <v>0</v>
      </c>
      <c r="S22" s="189"/>
      <c r="T22" s="111">
        <v>0</v>
      </c>
      <c r="U22" s="189"/>
      <c r="V22" s="111">
        <f>ROUND(SUM(D22:T22),1)</f>
        <v>750</v>
      </c>
      <c r="W22" s="189"/>
      <c r="X22" s="1690">
        <v>4193</v>
      </c>
      <c r="Y22" s="189"/>
      <c r="Z22" s="111">
        <v>9287</v>
      </c>
      <c r="AA22" s="189"/>
      <c r="AB22" s="111">
        <v>2057</v>
      </c>
      <c r="AC22" s="189"/>
      <c r="AD22" s="1690">
        <f>ROUND(SUM(V22:AB22),1)</f>
        <v>16287</v>
      </c>
      <c r="AE22" s="189"/>
      <c r="AF22" s="236">
        <v>14928</v>
      </c>
      <c r="AG22" s="2391"/>
      <c r="AH22" s="2391"/>
      <c r="AI22" s="2391"/>
      <c r="AJ22" s="2391"/>
      <c r="AK22" s="2391"/>
      <c r="AL22" s="2391"/>
      <c r="AM22" s="2391"/>
      <c r="AN22" s="2391"/>
      <c r="AO22" s="2391"/>
      <c r="AP22" s="2391"/>
      <c r="AQ22" s="2391"/>
      <c r="AR22" s="2391"/>
      <c r="AS22" s="2391"/>
      <c r="AT22" s="2391"/>
      <c r="AU22" s="2391"/>
      <c r="AV22" s="2391"/>
      <c r="AW22" s="2391"/>
      <c r="AX22" s="2391"/>
      <c r="AY22" s="2391"/>
      <c r="AZ22" s="2391"/>
      <c r="BA22" s="2391"/>
      <c r="BB22" s="2391"/>
      <c r="BC22" s="2391"/>
      <c r="BD22" s="2391"/>
      <c r="BE22" s="2391"/>
      <c r="BF22" s="2391"/>
      <c r="BG22" s="2391"/>
    </row>
    <row r="23" spans="1:59" ht="21" customHeight="1">
      <c r="A23" s="236" t="s">
        <v>888</v>
      </c>
      <c r="B23" s="111"/>
      <c r="C23" s="111" t="s">
        <v>6</v>
      </c>
      <c r="D23" s="111">
        <v>0</v>
      </c>
      <c r="E23" s="111"/>
      <c r="F23" s="111">
        <v>0</v>
      </c>
      <c r="G23" s="111"/>
      <c r="H23" s="111">
        <v>0</v>
      </c>
      <c r="I23" s="111"/>
      <c r="J23" s="111">
        <v>0</v>
      </c>
      <c r="K23" s="111"/>
      <c r="L23" s="111">
        <v>0</v>
      </c>
      <c r="M23" s="111"/>
      <c r="N23" s="111">
        <v>0</v>
      </c>
      <c r="O23" s="111"/>
      <c r="P23" s="111">
        <v>0</v>
      </c>
      <c r="Q23" s="189"/>
      <c r="R23" s="111">
        <v>0</v>
      </c>
      <c r="S23" s="111"/>
      <c r="T23" s="111">
        <v>0</v>
      </c>
      <c r="U23" s="111"/>
      <c r="V23" s="111">
        <f t="shared" si="0"/>
        <v>0</v>
      </c>
      <c r="W23" s="111"/>
      <c r="X23" s="1690">
        <v>23483</v>
      </c>
      <c r="Y23" s="111"/>
      <c r="Z23" s="111">
        <v>1023</v>
      </c>
      <c r="AA23" s="111"/>
      <c r="AB23" s="2203">
        <v>904</v>
      </c>
      <c r="AC23" s="111"/>
      <c r="AD23" s="1690">
        <f t="shared" si="1"/>
        <v>25410</v>
      </c>
      <c r="AE23" s="111"/>
      <c r="AF23" s="236">
        <v>3934</v>
      </c>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row>
    <row r="24" spans="1:59" ht="21" customHeight="1">
      <c r="A24" s="236" t="s">
        <v>889</v>
      </c>
      <c r="B24" s="111"/>
      <c r="C24" s="111" t="s">
        <v>6</v>
      </c>
      <c r="D24" s="111">
        <v>0</v>
      </c>
      <c r="E24" s="111"/>
      <c r="F24" s="111">
        <v>0</v>
      </c>
      <c r="G24" s="111"/>
      <c r="H24" s="111">
        <v>0</v>
      </c>
      <c r="I24" s="111"/>
      <c r="J24" s="111">
        <v>0</v>
      </c>
      <c r="K24" s="111"/>
      <c r="L24" s="111">
        <v>0</v>
      </c>
      <c r="M24" s="111"/>
      <c r="N24" s="111">
        <v>0</v>
      </c>
      <c r="O24" s="111"/>
      <c r="P24" s="111">
        <v>0</v>
      </c>
      <c r="Q24" s="189"/>
      <c r="R24" s="111">
        <v>7716</v>
      </c>
      <c r="S24" s="111"/>
      <c r="T24" s="111">
        <v>0</v>
      </c>
      <c r="U24" s="111"/>
      <c r="V24" s="111">
        <f t="shared" si="0"/>
        <v>7716</v>
      </c>
      <c r="W24" s="111"/>
      <c r="X24" s="1690">
        <v>0</v>
      </c>
      <c r="Y24" s="111"/>
      <c r="Z24" s="111">
        <v>592</v>
      </c>
      <c r="AA24" s="111"/>
      <c r="AB24" s="2203">
        <v>0</v>
      </c>
      <c r="AC24" s="111"/>
      <c r="AD24" s="1690">
        <f t="shared" si="1"/>
        <v>8308</v>
      </c>
      <c r="AE24" s="111"/>
      <c r="AF24" s="111">
        <v>6167</v>
      </c>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row>
    <row r="25" spans="1:59" ht="21" customHeight="1">
      <c r="A25" s="236" t="s">
        <v>890</v>
      </c>
      <c r="B25" s="111"/>
      <c r="C25" s="111" t="s">
        <v>6</v>
      </c>
      <c r="D25" s="111">
        <v>0</v>
      </c>
      <c r="E25" s="111"/>
      <c r="F25" s="111">
        <v>0</v>
      </c>
      <c r="G25" s="111"/>
      <c r="H25" s="111">
        <v>0</v>
      </c>
      <c r="I25" s="111"/>
      <c r="J25" s="111">
        <v>0</v>
      </c>
      <c r="K25" s="111"/>
      <c r="L25" s="111">
        <v>0</v>
      </c>
      <c r="M25" s="111"/>
      <c r="N25" s="111">
        <v>0</v>
      </c>
      <c r="O25" s="111"/>
      <c r="P25" s="111">
        <v>0</v>
      </c>
      <c r="Q25" s="189"/>
      <c r="R25" s="111">
        <v>0</v>
      </c>
      <c r="S25" s="111"/>
      <c r="T25" s="111">
        <v>0</v>
      </c>
      <c r="U25" s="111"/>
      <c r="V25" s="111">
        <f t="shared" si="0"/>
        <v>0</v>
      </c>
      <c r="W25" s="111"/>
      <c r="X25" s="1690">
        <v>25858</v>
      </c>
      <c r="Y25" s="111"/>
      <c r="Z25" s="111">
        <v>16689</v>
      </c>
      <c r="AA25" s="111"/>
      <c r="AB25" s="2203">
        <v>12315</v>
      </c>
      <c r="AC25" s="111"/>
      <c r="AD25" s="1690">
        <f t="shared" si="1"/>
        <v>54862</v>
      </c>
      <c r="AE25" s="111"/>
      <c r="AF25" s="236">
        <v>55720</v>
      </c>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row>
    <row r="26" spans="1:59" ht="21" customHeight="1">
      <c r="A26" s="236" t="s">
        <v>891</v>
      </c>
      <c r="B26" s="111"/>
      <c r="C26" s="111" t="s">
        <v>6</v>
      </c>
      <c r="D26" s="111">
        <v>0</v>
      </c>
      <c r="E26" s="111"/>
      <c r="F26" s="111">
        <v>0</v>
      </c>
      <c r="G26" s="111"/>
      <c r="H26" s="111">
        <v>0</v>
      </c>
      <c r="I26" s="111"/>
      <c r="J26" s="111">
        <v>0</v>
      </c>
      <c r="K26" s="111"/>
      <c r="L26" s="111">
        <v>0</v>
      </c>
      <c r="M26" s="111"/>
      <c r="N26" s="111">
        <v>0</v>
      </c>
      <c r="O26" s="111"/>
      <c r="P26" s="111">
        <v>0</v>
      </c>
      <c r="Q26" s="189"/>
      <c r="R26" s="111">
        <v>0</v>
      </c>
      <c r="S26" s="111"/>
      <c r="T26" s="111">
        <v>0</v>
      </c>
      <c r="U26" s="111"/>
      <c r="V26" s="111">
        <f t="shared" si="0"/>
        <v>0</v>
      </c>
      <c r="W26" s="111"/>
      <c r="X26" s="1690">
        <v>0</v>
      </c>
      <c r="Y26" s="111"/>
      <c r="Z26" s="111">
        <v>1409</v>
      </c>
      <c r="AA26" s="111"/>
      <c r="AB26" s="2203">
        <v>15</v>
      </c>
      <c r="AC26" s="111"/>
      <c r="AD26" s="1690">
        <f t="shared" si="1"/>
        <v>1424</v>
      </c>
      <c r="AE26" s="111"/>
      <c r="AF26" s="236">
        <v>2717</v>
      </c>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row>
    <row r="27" spans="1:59" s="1661" customFormat="1" ht="21" customHeight="1">
      <c r="A27" s="236" t="s">
        <v>892</v>
      </c>
      <c r="B27" s="236"/>
      <c r="C27" s="236" t="s">
        <v>6</v>
      </c>
      <c r="D27" s="236">
        <v>0</v>
      </c>
      <c r="E27" s="236"/>
      <c r="F27" s="236">
        <v>0</v>
      </c>
      <c r="G27" s="236"/>
      <c r="H27" s="236">
        <v>0</v>
      </c>
      <c r="I27" s="236"/>
      <c r="J27" s="236">
        <f>30897823-44009</f>
        <v>30853814</v>
      </c>
      <c r="K27" s="236"/>
      <c r="L27" s="236">
        <v>3210197</v>
      </c>
      <c r="M27" s="236"/>
      <c r="N27" s="236">
        <v>0</v>
      </c>
      <c r="O27" s="236"/>
      <c r="P27" s="236">
        <v>7524</v>
      </c>
      <c r="Q27" s="594"/>
      <c r="R27" s="236">
        <v>0</v>
      </c>
      <c r="S27" s="236"/>
      <c r="T27" s="236">
        <v>0</v>
      </c>
      <c r="U27" s="236"/>
      <c r="V27" s="111">
        <f t="shared" si="0"/>
        <v>34071535</v>
      </c>
      <c r="W27" s="236"/>
      <c r="X27" s="1691">
        <v>84597</v>
      </c>
      <c r="Y27" s="535"/>
      <c r="Z27" s="236">
        <v>548153</v>
      </c>
      <c r="AA27" s="535"/>
      <c r="AB27" s="2203">
        <v>33917</v>
      </c>
      <c r="AC27" s="236"/>
      <c r="AD27" s="1690">
        <f t="shared" si="1"/>
        <v>34738202</v>
      </c>
      <c r="AE27" s="236"/>
      <c r="AF27" s="236">
        <v>31198636</v>
      </c>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row>
    <row r="28" spans="1:59" ht="21" customHeight="1">
      <c r="A28" s="236" t="s">
        <v>893</v>
      </c>
      <c r="B28" s="111"/>
      <c r="C28" s="111" t="s">
        <v>6</v>
      </c>
      <c r="D28" s="111">
        <v>0</v>
      </c>
      <c r="E28" s="111"/>
      <c r="F28" s="111">
        <v>0</v>
      </c>
      <c r="G28" s="111"/>
      <c r="H28" s="111">
        <v>0</v>
      </c>
      <c r="I28" s="111"/>
      <c r="J28" s="111">
        <v>0</v>
      </c>
      <c r="K28" s="111"/>
      <c r="L28" s="111">
        <v>0</v>
      </c>
      <c r="M28" s="111"/>
      <c r="N28" s="111">
        <v>0</v>
      </c>
      <c r="O28" s="111"/>
      <c r="P28" s="111">
        <v>156329</v>
      </c>
      <c r="Q28" s="189"/>
      <c r="R28" s="111">
        <v>0</v>
      </c>
      <c r="S28" s="111"/>
      <c r="T28" s="111">
        <v>0</v>
      </c>
      <c r="U28" s="111"/>
      <c r="V28" s="111">
        <f t="shared" si="0"/>
        <v>156329</v>
      </c>
      <c r="W28" s="111"/>
      <c r="X28" s="1690">
        <v>170288</v>
      </c>
      <c r="Y28" s="1400"/>
      <c r="Z28" s="111">
        <v>54507</v>
      </c>
      <c r="AA28" s="1400"/>
      <c r="AB28" s="2203">
        <v>92493</v>
      </c>
      <c r="AC28" s="111"/>
      <c r="AD28" s="1690">
        <f t="shared" si="1"/>
        <v>473617</v>
      </c>
      <c r="AE28" s="111"/>
      <c r="AF28" s="535">
        <v>547621</v>
      </c>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row>
    <row r="29" spans="1:59" ht="21" customHeight="1">
      <c r="A29" s="1691" t="s">
        <v>894</v>
      </c>
      <c r="B29" s="111"/>
      <c r="C29" s="111" t="s">
        <v>6</v>
      </c>
      <c r="D29" s="111">
        <v>0</v>
      </c>
      <c r="E29" s="111"/>
      <c r="F29" s="111">
        <v>0</v>
      </c>
      <c r="G29" s="111"/>
      <c r="H29" s="111">
        <v>0</v>
      </c>
      <c r="I29" s="111"/>
      <c r="J29" s="111">
        <v>0</v>
      </c>
      <c r="K29" s="111"/>
      <c r="L29" s="111">
        <v>0</v>
      </c>
      <c r="M29" s="111"/>
      <c r="N29" s="111">
        <v>0</v>
      </c>
      <c r="O29" s="111"/>
      <c r="P29" s="111">
        <v>0</v>
      </c>
      <c r="Q29" s="189"/>
      <c r="R29" s="111">
        <v>0</v>
      </c>
      <c r="S29" s="111"/>
      <c r="T29" s="111">
        <v>0</v>
      </c>
      <c r="U29" s="111"/>
      <c r="V29" s="111">
        <f t="shared" si="0"/>
        <v>0</v>
      </c>
      <c r="W29" s="111"/>
      <c r="X29" s="1690">
        <v>17508</v>
      </c>
      <c r="Y29" s="1400"/>
      <c r="Z29" s="111">
        <v>8847</v>
      </c>
      <c r="AA29" s="1400"/>
      <c r="AB29" s="2203">
        <v>12178</v>
      </c>
      <c r="AC29" s="111"/>
      <c r="AD29" s="1690">
        <f t="shared" si="1"/>
        <v>38533</v>
      </c>
      <c r="AE29" s="111"/>
      <c r="AF29" s="236">
        <v>31696</v>
      </c>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row>
    <row r="30" spans="1:59" ht="21" customHeight="1">
      <c r="A30" s="236" t="s">
        <v>895</v>
      </c>
      <c r="B30" s="111"/>
      <c r="C30" s="111" t="s">
        <v>6</v>
      </c>
      <c r="D30" s="111">
        <v>0</v>
      </c>
      <c r="E30" s="111"/>
      <c r="F30" s="111">
        <v>0</v>
      </c>
      <c r="G30" s="111"/>
      <c r="H30" s="111">
        <v>0</v>
      </c>
      <c r="I30" s="111"/>
      <c r="J30" s="111">
        <v>0</v>
      </c>
      <c r="K30" s="111"/>
      <c r="L30" s="111">
        <v>0</v>
      </c>
      <c r="M30" s="111"/>
      <c r="N30" s="111">
        <v>0</v>
      </c>
      <c r="O30" s="111"/>
      <c r="P30" s="111">
        <v>0</v>
      </c>
      <c r="Q30" s="189"/>
      <c r="R30" s="111">
        <v>0</v>
      </c>
      <c r="S30" s="111"/>
      <c r="T30" s="111">
        <v>14681</v>
      </c>
      <c r="U30" s="111"/>
      <c r="V30" s="111">
        <f t="shared" si="0"/>
        <v>14681</v>
      </c>
      <c r="W30" s="111"/>
      <c r="X30" s="1690">
        <v>1203</v>
      </c>
      <c r="Y30" s="111"/>
      <c r="Z30" s="111">
        <v>2322</v>
      </c>
      <c r="AA30" s="111"/>
      <c r="AB30" s="2203">
        <v>599</v>
      </c>
      <c r="AC30" s="111"/>
      <c r="AD30" s="1690">
        <f t="shared" si="1"/>
        <v>18805</v>
      </c>
      <c r="AE30" s="111"/>
      <c r="AF30" s="236">
        <v>17476</v>
      </c>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row>
    <row r="31" spans="1:59" ht="21" customHeight="1">
      <c r="A31" s="236" t="s">
        <v>896</v>
      </c>
      <c r="B31" s="111"/>
      <c r="C31" s="111" t="s">
        <v>6</v>
      </c>
      <c r="D31" s="111">
        <v>0</v>
      </c>
      <c r="E31" s="111"/>
      <c r="F31" s="111">
        <v>0</v>
      </c>
      <c r="G31" s="111"/>
      <c r="H31" s="111">
        <v>0</v>
      </c>
      <c r="I31" s="111"/>
      <c r="J31" s="111">
        <v>0</v>
      </c>
      <c r="K31" s="111"/>
      <c r="L31" s="111">
        <v>0</v>
      </c>
      <c r="M31" s="111"/>
      <c r="N31" s="111">
        <v>0</v>
      </c>
      <c r="O31" s="111"/>
      <c r="P31" s="111">
        <v>0</v>
      </c>
      <c r="Q31" s="189"/>
      <c r="R31" s="111">
        <v>0</v>
      </c>
      <c r="S31" s="111"/>
      <c r="T31" s="111">
        <v>0</v>
      </c>
      <c r="U31" s="111"/>
      <c r="V31" s="111">
        <f t="shared" si="0"/>
        <v>0</v>
      </c>
      <c r="W31" s="111"/>
      <c r="X31" s="1690">
        <v>1934</v>
      </c>
      <c r="Y31" s="111"/>
      <c r="Z31" s="111">
        <v>126</v>
      </c>
      <c r="AA31" s="111"/>
      <c r="AB31" s="2203">
        <v>547</v>
      </c>
      <c r="AC31" s="111"/>
      <c r="AD31" s="1690">
        <f t="shared" si="1"/>
        <v>2607</v>
      </c>
      <c r="AE31" s="111"/>
      <c r="AF31" s="236">
        <v>2726</v>
      </c>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row>
    <row r="32" spans="1:59" ht="21" customHeight="1">
      <c r="A32" s="236" t="s">
        <v>897</v>
      </c>
      <c r="B32" s="111"/>
      <c r="C32" s="111" t="s">
        <v>6</v>
      </c>
      <c r="D32" s="111">
        <v>0</v>
      </c>
      <c r="E32" s="111"/>
      <c r="F32" s="111">
        <v>0</v>
      </c>
      <c r="G32" s="111"/>
      <c r="H32" s="111">
        <v>54665</v>
      </c>
      <c r="I32" s="111"/>
      <c r="J32" s="111">
        <v>0</v>
      </c>
      <c r="K32" s="111"/>
      <c r="L32" s="111">
        <v>0</v>
      </c>
      <c r="M32" s="111"/>
      <c r="N32" s="111">
        <v>0</v>
      </c>
      <c r="O32" s="111"/>
      <c r="P32" s="111">
        <v>0</v>
      </c>
      <c r="Q32" s="189"/>
      <c r="R32" s="111">
        <v>0</v>
      </c>
      <c r="S32" s="111"/>
      <c r="T32" s="111">
        <v>0</v>
      </c>
      <c r="U32" s="111"/>
      <c r="V32" s="111">
        <f t="shared" si="0"/>
        <v>54665</v>
      </c>
      <c r="W32" s="111"/>
      <c r="X32" s="1690">
        <v>2174</v>
      </c>
      <c r="Y32" s="111"/>
      <c r="Z32" s="111">
        <v>973</v>
      </c>
      <c r="AA32" s="111"/>
      <c r="AB32" s="2203">
        <v>1062</v>
      </c>
      <c r="AC32" s="111"/>
      <c r="AD32" s="1690">
        <f t="shared" si="1"/>
        <v>58874</v>
      </c>
      <c r="AE32" s="111"/>
      <c r="AF32" s="236">
        <v>61249</v>
      </c>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row>
    <row r="33" spans="1:59" ht="21" customHeight="1">
      <c r="A33" s="236" t="s">
        <v>898</v>
      </c>
      <c r="B33" s="111"/>
      <c r="C33" s="111" t="s">
        <v>6</v>
      </c>
      <c r="D33" s="111">
        <v>0</v>
      </c>
      <c r="E33" s="111"/>
      <c r="F33" s="111">
        <v>0</v>
      </c>
      <c r="G33" s="111"/>
      <c r="H33" s="111">
        <v>0</v>
      </c>
      <c r="I33" s="111"/>
      <c r="J33" s="111">
        <v>0</v>
      </c>
      <c r="K33" s="111"/>
      <c r="L33" s="111">
        <v>0</v>
      </c>
      <c r="M33" s="111"/>
      <c r="N33" s="111">
        <v>0</v>
      </c>
      <c r="O33" s="111"/>
      <c r="P33" s="111">
        <v>0</v>
      </c>
      <c r="Q33" s="189"/>
      <c r="R33" s="111">
        <v>0</v>
      </c>
      <c r="S33" s="111"/>
      <c r="T33" s="111">
        <v>0</v>
      </c>
      <c r="U33" s="111"/>
      <c r="V33" s="111">
        <f t="shared" si="0"/>
        <v>0</v>
      </c>
      <c r="W33" s="111"/>
      <c r="X33" s="1690">
        <v>0</v>
      </c>
      <c r="Y33" s="111"/>
      <c r="Z33" s="111">
        <v>189</v>
      </c>
      <c r="AA33" s="111"/>
      <c r="AB33" s="2203">
        <v>0</v>
      </c>
      <c r="AC33" s="111"/>
      <c r="AD33" s="1690">
        <f t="shared" si="1"/>
        <v>189</v>
      </c>
      <c r="AE33" s="111"/>
      <c r="AF33" s="535">
        <v>874</v>
      </c>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row>
    <row r="34" spans="1:59" ht="21" customHeight="1">
      <c r="A34" s="236" t="s">
        <v>899</v>
      </c>
      <c r="B34" s="111"/>
      <c r="C34" s="111" t="s">
        <v>6</v>
      </c>
      <c r="D34" s="111">
        <v>0</v>
      </c>
      <c r="E34" s="111"/>
      <c r="F34" s="111">
        <v>0</v>
      </c>
      <c r="G34" s="111"/>
      <c r="H34" s="111">
        <v>0</v>
      </c>
      <c r="I34" s="111"/>
      <c r="J34" s="111">
        <v>0</v>
      </c>
      <c r="K34" s="111"/>
      <c r="L34" s="111">
        <v>0</v>
      </c>
      <c r="M34" s="111"/>
      <c r="N34" s="111">
        <v>0</v>
      </c>
      <c r="O34" s="111"/>
      <c r="P34" s="111">
        <v>149</v>
      </c>
      <c r="Q34" s="189"/>
      <c r="R34" s="111">
        <v>0</v>
      </c>
      <c r="S34" s="111"/>
      <c r="T34" s="111">
        <v>22705</v>
      </c>
      <c r="U34" s="111"/>
      <c r="V34" s="111">
        <f t="shared" si="0"/>
        <v>22854</v>
      </c>
      <c r="W34" s="111"/>
      <c r="X34" s="1690">
        <v>3802</v>
      </c>
      <c r="Y34" s="111"/>
      <c r="Z34" s="111">
        <v>1297</v>
      </c>
      <c r="AA34" s="111"/>
      <c r="AB34" s="2203">
        <v>2107</v>
      </c>
      <c r="AC34" s="111"/>
      <c r="AD34" s="1690">
        <f t="shared" si="1"/>
        <v>30060</v>
      </c>
      <c r="AE34" s="111"/>
      <c r="AF34" s="236">
        <v>53956</v>
      </c>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row>
    <row r="35" spans="1:59" ht="21" customHeight="1">
      <c r="A35" s="236" t="s">
        <v>900</v>
      </c>
      <c r="B35" s="111"/>
      <c r="C35" s="111" t="s">
        <v>6</v>
      </c>
      <c r="D35" s="111">
        <v>0</v>
      </c>
      <c r="E35" s="111"/>
      <c r="F35" s="111">
        <v>0</v>
      </c>
      <c r="G35" s="111"/>
      <c r="H35" s="111">
        <v>0</v>
      </c>
      <c r="I35" s="111"/>
      <c r="J35" s="111">
        <v>0</v>
      </c>
      <c r="K35" s="111"/>
      <c r="L35" s="111">
        <v>0</v>
      </c>
      <c r="M35" s="111"/>
      <c r="N35" s="111">
        <v>15907</v>
      </c>
      <c r="O35" s="111"/>
      <c r="P35" s="111">
        <v>0</v>
      </c>
      <c r="Q35" s="1400"/>
      <c r="R35" s="111">
        <v>0</v>
      </c>
      <c r="S35" s="111"/>
      <c r="T35" s="111">
        <v>1929</v>
      </c>
      <c r="U35" s="111"/>
      <c r="V35" s="111">
        <f t="shared" si="0"/>
        <v>17836</v>
      </c>
      <c r="W35" s="111"/>
      <c r="X35" s="1690">
        <v>5059</v>
      </c>
      <c r="Y35" s="111"/>
      <c r="Z35" s="111">
        <v>2618</v>
      </c>
      <c r="AA35" s="111"/>
      <c r="AB35" s="2203">
        <v>259</v>
      </c>
      <c r="AC35" s="111"/>
      <c r="AD35" s="1690">
        <f t="shared" si="1"/>
        <v>25772</v>
      </c>
      <c r="AE35" s="111"/>
      <c r="AF35" s="236">
        <v>22590</v>
      </c>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row>
    <row r="36" spans="1:59" ht="21" customHeight="1">
      <c r="A36" s="236" t="s">
        <v>901</v>
      </c>
      <c r="B36" s="111"/>
      <c r="C36" s="111" t="s">
        <v>6</v>
      </c>
      <c r="D36" s="111">
        <v>0</v>
      </c>
      <c r="E36" s="111"/>
      <c r="F36" s="111">
        <v>0</v>
      </c>
      <c r="G36" s="111"/>
      <c r="H36" s="111">
        <v>0</v>
      </c>
      <c r="I36" s="111"/>
      <c r="J36" s="111">
        <v>0</v>
      </c>
      <c r="K36" s="111"/>
      <c r="L36" s="111">
        <v>0</v>
      </c>
      <c r="M36" s="111"/>
      <c r="N36" s="111">
        <v>1722015</v>
      </c>
      <c r="O36" s="111"/>
      <c r="P36" s="111">
        <v>0</v>
      </c>
      <c r="Q36" s="189"/>
      <c r="R36" s="111">
        <v>0</v>
      </c>
      <c r="S36" s="111"/>
      <c r="T36" s="111">
        <v>0</v>
      </c>
      <c r="U36" s="189"/>
      <c r="V36" s="111">
        <f t="shared" si="0"/>
        <v>1722015</v>
      </c>
      <c r="W36" s="111"/>
      <c r="X36" s="1690">
        <v>14020</v>
      </c>
      <c r="Y36" s="189"/>
      <c r="Z36" s="111">
        <v>74364</v>
      </c>
      <c r="AA36" s="1400"/>
      <c r="AB36" s="2203">
        <v>9523</v>
      </c>
      <c r="AC36" s="111"/>
      <c r="AD36" s="1690">
        <f t="shared" si="1"/>
        <v>1819922</v>
      </c>
      <c r="AE36" s="189"/>
      <c r="AF36" s="535">
        <v>2338592</v>
      </c>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row>
    <row r="37" spans="1:59" ht="21" customHeight="1">
      <c r="A37" s="236" t="s">
        <v>902</v>
      </c>
      <c r="B37" s="111"/>
      <c r="C37" s="111" t="s">
        <v>6</v>
      </c>
      <c r="D37" s="111">
        <v>0</v>
      </c>
      <c r="E37" s="111"/>
      <c r="F37" s="111">
        <v>0</v>
      </c>
      <c r="G37" s="111"/>
      <c r="H37" s="111">
        <v>0</v>
      </c>
      <c r="I37" s="111"/>
      <c r="J37" s="111">
        <v>0</v>
      </c>
      <c r="K37" s="111"/>
      <c r="L37" s="111">
        <v>0</v>
      </c>
      <c r="M37" s="111"/>
      <c r="N37" s="111">
        <v>0</v>
      </c>
      <c r="O37" s="111"/>
      <c r="P37" s="111">
        <v>50831</v>
      </c>
      <c r="Q37" s="189"/>
      <c r="R37" s="111">
        <v>0</v>
      </c>
      <c r="S37" s="111"/>
      <c r="T37" s="111">
        <v>0</v>
      </c>
      <c r="U37" s="111"/>
      <c r="V37" s="111">
        <f t="shared" si="0"/>
        <v>50831</v>
      </c>
      <c r="W37" s="111"/>
      <c r="X37" s="1690">
        <v>6781</v>
      </c>
      <c r="Y37" s="1400"/>
      <c r="Z37" s="111">
        <v>1120</v>
      </c>
      <c r="AA37" s="1400"/>
      <c r="AB37" s="2203">
        <v>3513</v>
      </c>
      <c r="AC37" s="111"/>
      <c r="AD37" s="1690">
        <f t="shared" si="1"/>
        <v>62245</v>
      </c>
      <c r="AE37" s="111"/>
      <c r="AF37" s="236">
        <v>62111</v>
      </c>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row>
    <row r="38" spans="1:59" ht="21" customHeight="1">
      <c r="A38" s="236" t="s">
        <v>903</v>
      </c>
      <c r="B38" s="111"/>
      <c r="C38" s="111" t="s">
        <v>6</v>
      </c>
      <c r="D38" s="111">
        <v>0</v>
      </c>
      <c r="E38" s="111"/>
      <c r="F38" s="111">
        <v>0</v>
      </c>
      <c r="G38" s="111"/>
      <c r="H38" s="111">
        <v>0</v>
      </c>
      <c r="I38" s="111"/>
      <c r="J38" s="111">
        <v>0</v>
      </c>
      <c r="K38" s="111"/>
      <c r="L38" s="111">
        <v>0</v>
      </c>
      <c r="M38" s="111"/>
      <c r="N38" s="111">
        <v>0</v>
      </c>
      <c r="O38" s="111"/>
      <c r="P38" s="111">
        <v>0</v>
      </c>
      <c r="Q38" s="189"/>
      <c r="R38" s="111">
        <v>0</v>
      </c>
      <c r="S38" s="111"/>
      <c r="T38" s="111">
        <v>0</v>
      </c>
      <c r="U38" s="189"/>
      <c r="V38" s="111">
        <f t="shared" si="0"/>
        <v>0</v>
      </c>
      <c r="W38" s="111"/>
      <c r="X38" s="1690">
        <v>2501</v>
      </c>
      <c r="Y38" s="189"/>
      <c r="Z38" s="111">
        <v>1874</v>
      </c>
      <c r="AA38" s="1400"/>
      <c r="AB38" s="2203">
        <v>0</v>
      </c>
      <c r="AC38" s="111"/>
      <c r="AD38" s="1690">
        <f t="shared" si="1"/>
        <v>4375</v>
      </c>
      <c r="AE38" s="111"/>
      <c r="AF38" s="236">
        <v>3701</v>
      </c>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row>
    <row r="39" spans="1:59" ht="21" customHeight="1">
      <c r="A39" s="236" t="s">
        <v>904</v>
      </c>
      <c r="B39" s="111"/>
      <c r="C39" s="111" t="s">
        <v>6</v>
      </c>
      <c r="D39" s="111">
        <v>0</v>
      </c>
      <c r="E39" s="111"/>
      <c r="F39" s="111">
        <v>0</v>
      </c>
      <c r="G39" s="111"/>
      <c r="H39" s="111">
        <v>0</v>
      </c>
      <c r="I39" s="111"/>
      <c r="J39" s="111">
        <v>0</v>
      </c>
      <c r="K39" s="111"/>
      <c r="L39" s="111">
        <v>0</v>
      </c>
      <c r="M39" s="111"/>
      <c r="N39" s="111">
        <v>0</v>
      </c>
      <c r="O39" s="111"/>
      <c r="P39" s="111">
        <v>0</v>
      </c>
      <c r="Q39" s="189"/>
      <c r="R39" s="111">
        <v>0</v>
      </c>
      <c r="S39" s="111"/>
      <c r="T39" s="111">
        <v>0</v>
      </c>
      <c r="U39" s="111"/>
      <c r="V39" s="111">
        <f t="shared" si="0"/>
        <v>0</v>
      </c>
      <c r="W39" s="111"/>
      <c r="X39" s="1690">
        <v>18388</v>
      </c>
      <c r="Y39" s="111"/>
      <c r="Z39" s="111">
        <v>13448</v>
      </c>
      <c r="AA39" s="111"/>
      <c r="AB39" s="2203">
        <v>5728</v>
      </c>
      <c r="AC39" s="111"/>
      <c r="AD39" s="1690">
        <f t="shared" si="1"/>
        <v>37564</v>
      </c>
      <c r="AE39" s="111"/>
      <c r="AF39" s="236">
        <v>57495</v>
      </c>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row>
    <row r="40" spans="1:59" ht="21" customHeight="1">
      <c r="A40" s="236" t="s">
        <v>905</v>
      </c>
      <c r="B40" s="111"/>
      <c r="C40" s="111" t="s">
        <v>6</v>
      </c>
      <c r="D40" s="111">
        <v>0</v>
      </c>
      <c r="E40" s="111"/>
      <c r="F40" s="111">
        <v>0</v>
      </c>
      <c r="G40" s="111"/>
      <c r="H40" s="111">
        <v>0</v>
      </c>
      <c r="I40" s="111"/>
      <c r="J40" s="111">
        <v>0</v>
      </c>
      <c r="K40" s="111"/>
      <c r="L40" s="111">
        <v>0</v>
      </c>
      <c r="M40" s="111"/>
      <c r="N40" s="111">
        <v>0</v>
      </c>
      <c r="O40" s="111"/>
      <c r="P40" s="111">
        <v>0</v>
      </c>
      <c r="Q40" s="189"/>
      <c r="R40" s="111">
        <v>0</v>
      </c>
      <c r="S40" s="111"/>
      <c r="T40" s="111">
        <v>0</v>
      </c>
      <c r="U40" s="111"/>
      <c r="V40" s="111">
        <f t="shared" si="0"/>
        <v>0</v>
      </c>
      <c r="W40" s="111"/>
      <c r="X40" s="1690">
        <v>10425</v>
      </c>
      <c r="Y40" s="111"/>
      <c r="Z40" s="111">
        <v>6767</v>
      </c>
      <c r="AA40" s="111"/>
      <c r="AB40" s="2203">
        <v>1418</v>
      </c>
      <c r="AC40" s="111"/>
      <c r="AD40" s="1690">
        <f t="shared" si="1"/>
        <v>18610</v>
      </c>
      <c r="AE40" s="111"/>
      <c r="AF40" s="236">
        <v>20558</v>
      </c>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row>
    <row r="41" spans="1:59" ht="21" customHeight="1">
      <c r="A41" s="236" t="s">
        <v>906</v>
      </c>
      <c r="B41" s="111"/>
      <c r="C41" s="111" t="s">
        <v>6</v>
      </c>
      <c r="D41" s="111">
        <v>0</v>
      </c>
      <c r="E41" s="111"/>
      <c r="F41" s="111">
        <v>0</v>
      </c>
      <c r="G41" s="111"/>
      <c r="H41" s="111">
        <v>0</v>
      </c>
      <c r="I41" s="111"/>
      <c r="J41" s="111">
        <v>0</v>
      </c>
      <c r="K41" s="111"/>
      <c r="L41" s="111">
        <v>0</v>
      </c>
      <c r="M41" s="111"/>
      <c r="N41" s="111">
        <v>0</v>
      </c>
      <c r="O41" s="111"/>
      <c r="P41" s="111">
        <v>0</v>
      </c>
      <c r="Q41" s="189"/>
      <c r="R41" s="111">
        <v>0</v>
      </c>
      <c r="S41" s="111"/>
      <c r="T41" s="111">
        <v>0</v>
      </c>
      <c r="U41" s="111"/>
      <c r="V41" s="111">
        <f t="shared" si="0"/>
        <v>0</v>
      </c>
      <c r="W41" s="111"/>
      <c r="X41" s="1690">
        <v>386</v>
      </c>
      <c r="Y41" s="1400"/>
      <c r="Z41" s="111">
        <v>100</v>
      </c>
      <c r="AA41" s="1400"/>
      <c r="AB41" s="2203">
        <v>204</v>
      </c>
      <c r="AC41" s="111"/>
      <c r="AD41" s="1690">
        <f t="shared" si="1"/>
        <v>690</v>
      </c>
      <c r="AE41" s="111"/>
      <c r="AF41" s="535">
        <v>688</v>
      </c>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row>
    <row r="42" spans="1:59" s="1661" customFormat="1" ht="21" customHeight="1">
      <c r="A42" s="236" t="s">
        <v>907</v>
      </c>
      <c r="B42" s="111"/>
      <c r="C42" s="111" t="s">
        <v>6</v>
      </c>
      <c r="D42" s="111">
        <v>0</v>
      </c>
      <c r="E42" s="111"/>
      <c r="F42" s="111">
        <v>0</v>
      </c>
      <c r="G42" s="111"/>
      <c r="H42" s="111">
        <v>0</v>
      </c>
      <c r="I42" s="111"/>
      <c r="J42" s="111">
        <v>0</v>
      </c>
      <c r="K42" s="111"/>
      <c r="L42" s="111">
        <v>0</v>
      </c>
      <c r="M42" s="111"/>
      <c r="N42" s="111">
        <v>38</v>
      </c>
      <c r="O42" s="111"/>
      <c r="P42" s="111">
        <v>0</v>
      </c>
      <c r="Q42" s="189"/>
      <c r="R42" s="111">
        <v>0</v>
      </c>
      <c r="S42" s="111"/>
      <c r="T42" s="111">
        <v>0</v>
      </c>
      <c r="U42" s="111"/>
      <c r="V42" s="1690">
        <f t="shared" si="0"/>
        <v>38</v>
      </c>
      <c r="W42" s="111"/>
      <c r="X42" s="1690">
        <v>3</v>
      </c>
      <c r="Y42" s="1400"/>
      <c r="Z42" s="1690">
        <v>6486</v>
      </c>
      <c r="AA42" s="1400"/>
      <c r="AB42" s="2203">
        <v>1</v>
      </c>
      <c r="AC42" s="111"/>
      <c r="AD42" s="1690">
        <f>ROUND(SUM(V42:AB42),1)</f>
        <v>6528</v>
      </c>
      <c r="AE42" s="111"/>
      <c r="AF42" s="236">
        <v>6009</v>
      </c>
      <c r="AG42" s="111"/>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row>
    <row r="43" spans="1:59" s="1661" customFormat="1" ht="21" customHeight="1">
      <c r="A43" s="1766" t="s">
        <v>2545</v>
      </c>
      <c r="B43" s="1690"/>
      <c r="C43" s="2201" t="s">
        <v>6</v>
      </c>
      <c r="D43" s="1690">
        <v>0</v>
      </c>
      <c r="E43" s="1690">
        <v>0</v>
      </c>
      <c r="F43" s="1690">
        <v>0</v>
      </c>
      <c r="G43" s="1690">
        <v>0</v>
      </c>
      <c r="H43" s="1690">
        <v>0</v>
      </c>
      <c r="I43" s="1690">
        <v>0</v>
      </c>
      <c r="J43" s="1690">
        <v>0</v>
      </c>
      <c r="K43" s="1690">
        <v>0</v>
      </c>
      <c r="L43" s="1690">
        <v>0</v>
      </c>
      <c r="M43" s="1690">
        <v>0</v>
      </c>
      <c r="N43" s="1690">
        <v>0</v>
      </c>
      <c r="O43" s="1690">
        <v>0</v>
      </c>
      <c r="P43" s="1690">
        <v>0</v>
      </c>
      <c r="Q43" s="1690">
        <v>0</v>
      </c>
      <c r="R43" s="1690">
        <v>0</v>
      </c>
      <c r="S43" s="1690">
        <v>0</v>
      </c>
      <c r="T43" s="1690">
        <v>0</v>
      </c>
      <c r="U43" s="1690">
        <v>0</v>
      </c>
      <c r="V43" s="1690">
        <f t="shared" si="0"/>
        <v>0</v>
      </c>
      <c r="W43" s="1690"/>
      <c r="X43" s="1690">
        <v>67</v>
      </c>
      <c r="Y43" s="1767"/>
      <c r="Z43" s="1690">
        <v>625</v>
      </c>
      <c r="AA43" s="1767"/>
      <c r="AB43" s="2203">
        <v>36</v>
      </c>
      <c r="AC43" s="1690"/>
      <c r="AD43" s="1690">
        <f>ROUND(SUM(V43:AB43),1)</f>
        <v>728</v>
      </c>
      <c r="AE43" s="1690"/>
      <c r="AF43" s="1691">
        <v>1000</v>
      </c>
      <c r="AG43" s="1690"/>
      <c r="AH43" s="1691"/>
      <c r="AI43" s="1691"/>
      <c r="AJ43" s="1691"/>
      <c r="AK43" s="1691"/>
      <c r="AL43" s="1691"/>
      <c r="AM43" s="1691"/>
      <c r="AN43" s="1691"/>
      <c r="AO43" s="1691"/>
      <c r="AP43" s="1691"/>
      <c r="AQ43" s="1691"/>
      <c r="AR43" s="1691"/>
      <c r="AS43" s="1691"/>
      <c r="AT43" s="1691"/>
      <c r="AU43" s="1691"/>
      <c r="AV43" s="1691"/>
      <c r="AW43" s="1691"/>
      <c r="AX43" s="1691"/>
      <c r="AY43" s="1691"/>
      <c r="AZ43" s="1691"/>
      <c r="BA43" s="1691"/>
      <c r="BB43" s="1691"/>
      <c r="BC43" s="1691"/>
      <c r="BD43" s="1691"/>
      <c r="BE43" s="1691"/>
      <c r="BF43" s="1691"/>
      <c r="BG43" s="1691"/>
    </row>
    <row r="44" spans="1:59" s="1661" customFormat="1" ht="21" customHeight="1">
      <c r="A44" s="1766" t="s">
        <v>2677</v>
      </c>
      <c r="B44" s="1690"/>
      <c r="C44" s="2201" t="s">
        <v>6</v>
      </c>
      <c r="D44" s="1690">
        <v>0</v>
      </c>
      <c r="E44" s="1690"/>
      <c r="F44" s="1690">
        <v>0</v>
      </c>
      <c r="G44" s="1690"/>
      <c r="H44" s="1690">
        <v>0</v>
      </c>
      <c r="I44" s="1690"/>
      <c r="J44" s="1690">
        <v>0</v>
      </c>
      <c r="K44" s="1690"/>
      <c r="L44" s="1690">
        <v>0</v>
      </c>
      <c r="M44" s="1690"/>
      <c r="N44" s="1690">
        <v>0</v>
      </c>
      <c r="O44" s="1690"/>
      <c r="P44" s="1690">
        <v>0</v>
      </c>
      <c r="Q44" s="1690"/>
      <c r="R44" s="1690">
        <v>0</v>
      </c>
      <c r="S44" s="1690"/>
      <c r="T44" s="1690">
        <v>0</v>
      </c>
      <c r="U44" s="1690"/>
      <c r="V44" s="1690">
        <f t="shared" si="0"/>
        <v>0</v>
      </c>
      <c r="W44" s="1690"/>
      <c r="X44" s="1690">
        <v>245</v>
      </c>
      <c r="Y44" s="1767"/>
      <c r="Z44" s="1690">
        <v>14386</v>
      </c>
      <c r="AA44" s="1767"/>
      <c r="AB44" s="2370">
        <v>0</v>
      </c>
      <c r="AC44" s="1690"/>
      <c r="AD44" s="1690">
        <f>ROUND(SUM(V44:AB44),1)</f>
        <v>14631</v>
      </c>
      <c r="AE44" s="1690"/>
      <c r="AF44" s="1691">
        <v>16999</v>
      </c>
      <c r="AG44" s="1690"/>
      <c r="AH44" s="1691"/>
      <c r="AI44" s="1691"/>
      <c r="AJ44" s="1691"/>
      <c r="AK44" s="1691"/>
      <c r="AL44" s="1691"/>
      <c r="AM44" s="1691"/>
      <c r="AN44" s="1691"/>
      <c r="AO44" s="1691"/>
      <c r="AP44" s="1691"/>
      <c r="AQ44" s="1691"/>
      <c r="AR44" s="1691"/>
      <c r="AS44" s="1691"/>
      <c r="AT44" s="1691"/>
      <c r="AU44" s="1691"/>
      <c r="AV44" s="1691"/>
      <c r="AW44" s="1691"/>
      <c r="AX44" s="1691"/>
      <c r="AY44" s="1691"/>
      <c r="AZ44" s="1691"/>
      <c r="BA44" s="1691"/>
      <c r="BB44" s="1691"/>
      <c r="BC44" s="1691"/>
      <c r="BD44" s="1691"/>
      <c r="BE44" s="1691"/>
      <c r="BF44" s="1691"/>
      <c r="BG44" s="1691"/>
    </row>
    <row r="45" spans="1:59" s="1661" customFormat="1" ht="21" customHeight="1">
      <c r="A45" s="1691" t="s">
        <v>2676</v>
      </c>
      <c r="B45" s="1691"/>
      <c r="C45" s="1691" t="s">
        <v>6</v>
      </c>
      <c r="D45" s="1691">
        <v>0</v>
      </c>
      <c r="E45" s="1691"/>
      <c r="F45" s="1691">
        <v>0</v>
      </c>
      <c r="G45" s="1691"/>
      <c r="H45" s="1691">
        <v>0</v>
      </c>
      <c r="I45" s="1691"/>
      <c r="J45" s="1691">
        <v>37992</v>
      </c>
      <c r="K45" s="1691"/>
      <c r="L45" s="1691">
        <v>0</v>
      </c>
      <c r="M45" s="1691"/>
      <c r="N45" s="1691">
        <v>0</v>
      </c>
      <c r="O45" s="1691"/>
      <c r="P45" s="1691">
        <v>0</v>
      </c>
      <c r="Q45" s="1768"/>
      <c r="R45" s="1691">
        <v>0</v>
      </c>
      <c r="S45" s="1691"/>
      <c r="T45" s="1691">
        <v>0</v>
      </c>
      <c r="U45" s="1691"/>
      <c r="V45" s="1690">
        <f t="shared" si="0"/>
        <v>37992</v>
      </c>
      <c r="W45" s="1691"/>
      <c r="X45" s="1691">
        <v>838</v>
      </c>
      <c r="Y45" s="1691"/>
      <c r="Z45" s="1691">
        <v>2380</v>
      </c>
      <c r="AA45" s="1691"/>
      <c r="AB45" s="2203">
        <v>454</v>
      </c>
      <c r="AC45" s="1691"/>
      <c r="AD45" s="1690">
        <f t="shared" si="1"/>
        <v>41664</v>
      </c>
      <c r="AE45" s="1691"/>
      <c r="AF45" s="1691">
        <v>4505</v>
      </c>
      <c r="AG45" s="1691"/>
      <c r="AH45" s="1691"/>
      <c r="AI45" s="1691"/>
      <c r="AJ45" s="1691"/>
      <c r="AK45" s="1691"/>
      <c r="AL45" s="1691"/>
      <c r="AM45" s="1691"/>
      <c r="AN45" s="1691"/>
      <c r="AO45" s="1691"/>
      <c r="AP45" s="1691"/>
      <c r="AQ45" s="1691"/>
      <c r="AR45" s="1691"/>
      <c r="AS45" s="1691"/>
      <c r="AT45" s="1691"/>
      <c r="AU45" s="1691"/>
      <c r="AV45" s="1691"/>
      <c r="AW45" s="1691"/>
      <c r="AX45" s="1691"/>
      <c r="AY45" s="1691"/>
      <c r="AZ45" s="1691"/>
      <c r="BA45" s="1691"/>
      <c r="BB45" s="1691"/>
      <c r="BC45" s="1691"/>
      <c r="BD45" s="1691"/>
      <c r="BE45" s="1691"/>
      <c r="BF45" s="1691"/>
      <c r="BG45" s="1691"/>
    </row>
    <row r="46" spans="1:59" s="1661" customFormat="1" ht="21" customHeight="1">
      <c r="A46" s="236" t="s">
        <v>908</v>
      </c>
      <c r="B46" s="519"/>
      <c r="C46" s="236" t="s">
        <v>6</v>
      </c>
      <c r="D46" s="236">
        <v>0</v>
      </c>
      <c r="E46" s="236"/>
      <c r="F46" s="236">
        <v>0</v>
      </c>
      <c r="G46" s="236"/>
      <c r="H46" s="236">
        <v>0</v>
      </c>
      <c r="I46" s="236"/>
      <c r="J46" s="236">
        <v>5789</v>
      </c>
      <c r="K46" s="236"/>
      <c r="L46" s="236">
        <v>123562</v>
      </c>
      <c r="M46" s="236"/>
      <c r="N46" s="236">
        <v>0</v>
      </c>
      <c r="O46" s="236"/>
      <c r="P46" s="236">
        <v>0</v>
      </c>
      <c r="Q46" s="594"/>
      <c r="R46" s="236">
        <v>0</v>
      </c>
      <c r="S46" s="236"/>
      <c r="T46" s="236">
        <v>0</v>
      </c>
      <c r="U46" s="236"/>
      <c r="V46" s="111">
        <f t="shared" si="0"/>
        <v>129351</v>
      </c>
      <c r="W46" s="236"/>
      <c r="X46" s="1691">
        <v>5107</v>
      </c>
      <c r="Y46" s="236"/>
      <c r="Z46" s="236">
        <v>1887</v>
      </c>
      <c r="AA46" s="236"/>
      <c r="AB46" s="2203">
        <v>0</v>
      </c>
      <c r="AC46" s="236"/>
      <c r="AD46" s="1690">
        <f t="shared" si="1"/>
        <v>136345</v>
      </c>
      <c r="AE46" s="236"/>
      <c r="AF46" s="236">
        <v>116670</v>
      </c>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row>
    <row r="47" spans="1:59" s="1661" customFormat="1" ht="21" customHeight="1">
      <c r="A47" s="236" t="s">
        <v>909</v>
      </c>
      <c r="B47" s="236"/>
      <c r="C47" s="236" t="s">
        <v>6</v>
      </c>
      <c r="D47" s="236">
        <v>0</v>
      </c>
      <c r="E47" s="236"/>
      <c r="F47" s="236">
        <v>0</v>
      </c>
      <c r="G47" s="236"/>
      <c r="H47" s="236">
        <v>0</v>
      </c>
      <c r="I47" s="236"/>
      <c r="J47" s="236">
        <v>0</v>
      </c>
      <c r="K47" s="236"/>
      <c r="L47" s="236">
        <v>1677</v>
      </c>
      <c r="M47" s="236"/>
      <c r="N47" s="236">
        <v>66257</v>
      </c>
      <c r="O47" s="236"/>
      <c r="P47" s="236">
        <v>828283</v>
      </c>
      <c r="Q47" s="594"/>
      <c r="R47" s="236">
        <v>0</v>
      </c>
      <c r="S47" s="236"/>
      <c r="T47" s="236">
        <v>0</v>
      </c>
      <c r="U47" s="236"/>
      <c r="V47" s="111">
        <f t="shared" si="0"/>
        <v>896217</v>
      </c>
      <c r="W47" s="236"/>
      <c r="X47" s="1691">
        <v>23309</v>
      </c>
      <c r="Y47" s="535"/>
      <c r="Z47" s="236">
        <v>58854</v>
      </c>
      <c r="AA47" s="535"/>
      <c r="AB47" s="2203">
        <v>13810</v>
      </c>
      <c r="AC47" s="236"/>
      <c r="AD47" s="1690">
        <f t="shared" si="1"/>
        <v>992190</v>
      </c>
      <c r="AE47" s="236"/>
      <c r="AF47" s="535">
        <v>1162795</v>
      </c>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row>
    <row r="48" spans="1:59" s="1661" customFormat="1" ht="21" customHeight="1">
      <c r="A48" s="1766" t="s">
        <v>2546</v>
      </c>
      <c r="B48" s="1690"/>
      <c r="C48" s="2201" t="s">
        <v>6</v>
      </c>
      <c r="D48" s="1690">
        <v>0</v>
      </c>
      <c r="E48" s="1690">
        <v>0</v>
      </c>
      <c r="F48" s="1690">
        <v>0</v>
      </c>
      <c r="G48" s="1690">
        <v>0</v>
      </c>
      <c r="H48" s="1690">
        <v>0</v>
      </c>
      <c r="I48" s="1690">
        <v>0</v>
      </c>
      <c r="J48" s="1690">
        <v>0</v>
      </c>
      <c r="K48" s="1690">
        <v>0</v>
      </c>
      <c r="L48" s="1690">
        <v>0</v>
      </c>
      <c r="M48" s="1690">
        <v>0</v>
      </c>
      <c r="N48" s="1690">
        <v>0</v>
      </c>
      <c r="O48" s="1690">
        <v>0</v>
      </c>
      <c r="P48" s="1690">
        <v>0</v>
      </c>
      <c r="Q48" s="1690">
        <v>0</v>
      </c>
      <c r="R48" s="1690">
        <v>0</v>
      </c>
      <c r="S48" s="1690">
        <v>0</v>
      </c>
      <c r="T48" s="1690">
        <v>0</v>
      </c>
      <c r="U48" s="1690">
        <v>0</v>
      </c>
      <c r="V48" s="1690">
        <v>0</v>
      </c>
      <c r="W48" s="1690"/>
      <c r="X48" s="1690">
        <v>436</v>
      </c>
      <c r="Y48" s="1767"/>
      <c r="Z48" s="1690">
        <v>435</v>
      </c>
      <c r="AA48" s="1767"/>
      <c r="AB48" s="2203">
        <v>234</v>
      </c>
      <c r="AC48" s="1690"/>
      <c r="AD48" s="1690">
        <f>ROUND(SUM(V48:AB48),1)</f>
        <v>1105</v>
      </c>
      <c r="AE48" s="1690"/>
      <c r="AF48" s="1691">
        <v>1287</v>
      </c>
      <c r="AG48" s="1690"/>
      <c r="AH48" s="1691"/>
      <c r="AI48" s="1691"/>
      <c r="AJ48" s="1691"/>
      <c r="AK48" s="1691"/>
      <c r="AL48" s="1691"/>
      <c r="AM48" s="1691"/>
      <c r="AN48" s="1691"/>
      <c r="AO48" s="1691"/>
      <c r="AP48" s="1691"/>
      <c r="AQ48" s="1691"/>
      <c r="AR48" s="1691"/>
      <c r="AS48" s="1691"/>
      <c r="AT48" s="1691"/>
      <c r="AU48" s="1691"/>
      <c r="AV48" s="1691"/>
      <c r="AW48" s="1691"/>
      <c r="AX48" s="1691"/>
      <c r="AY48" s="1691"/>
      <c r="AZ48" s="1691"/>
      <c r="BA48" s="1691"/>
      <c r="BB48" s="1691"/>
      <c r="BC48" s="1691"/>
      <c r="BD48" s="1691"/>
      <c r="BE48" s="1691"/>
      <c r="BF48" s="1691"/>
      <c r="BG48" s="1691"/>
    </row>
    <row r="49" spans="1:59" ht="21" customHeight="1">
      <c r="A49" s="236" t="s">
        <v>910</v>
      </c>
      <c r="B49" s="111"/>
      <c r="C49" s="111" t="s">
        <v>6</v>
      </c>
      <c r="D49" s="111">
        <v>0</v>
      </c>
      <c r="E49" s="111"/>
      <c r="F49" s="111">
        <v>0</v>
      </c>
      <c r="G49" s="111"/>
      <c r="H49" s="111">
        <v>0</v>
      </c>
      <c r="I49" s="111"/>
      <c r="J49" s="111">
        <v>0</v>
      </c>
      <c r="K49" s="111"/>
      <c r="L49" s="111">
        <v>0</v>
      </c>
      <c r="M49" s="111"/>
      <c r="N49" s="111">
        <v>0</v>
      </c>
      <c r="O49" s="111"/>
      <c r="P49" s="111">
        <v>0</v>
      </c>
      <c r="Q49" s="189"/>
      <c r="R49" s="111">
        <v>0</v>
      </c>
      <c r="S49" s="111"/>
      <c r="T49" s="111">
        <v>0</v>
      </c>
      <c r="U49" s="111"/>
      <c r="V49" s="111">
        <f t="shared" si="0"/>
        <v>0</v>
      </c>
      <c r="W49" s="111"/>
      <c r="X49" s="1690">
        <v>0</v>
      </c>
      <c r="Y49" s="111"/>
      <c r="Z49" s="111">
        <v>6908</v>
      </c>
      <c r="AA49" s="111"/>
      <c r="AB49" s="2203">
        <v>0</v>
      </c>
      <c r="AC49" s="111"/>
      <c r="AD49" s="1690">
        <f t="shared" si="1"/>
        <v>6908</v>
      </c>
      <c r="AE49" s="111"/>
      <c r="AF49" s="236">
        <v>5962</v>
      </c>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row>
    <row r="50" spans="1:59" ht="21" customHeight="1">
      <c r="A50" s="1766" t="s">
        <v>911</v>
      </c>
      <c r="B50" s="111"/>
      <c r="C50" s="111" t="s">
        <v>6</v>
      </c>
      <c r="D50" s="111">
        <v>0</v>
      </c>
      <c r="E50" s="111"/>
      <c r="F50" s="111">
        <v>0</v>
      </c>
      <c r="G50" s="189"/>
      <c r="H50" s="111">
        <v>0</v>
      </c>
      <c r="I50" s="111"/>
      <c r="J50" s="111">
        <v>0</v>
      </c>
      <c r="K50" s="111"/>
      <c r="L50" s="111">
        <v>0</v>
      </c>
      <c r="M50" s="111"/>
      <c r="N50" s="111">
        <v>0</v>
      </c>
      <c r="O50" s="111"/>
      <c r="P50" s="111">
        <v>0</v>
      </c>
      <c r="Q50" s="189"/>
      <c r="R50" s="111">
        <v>0</v>
      </c>
      <c r="S50" s="111"/>
      <c r="T50" s="111">
        <v>0</v>
      </c>
      <c r="U50" s="111"/>
      <c r="V50" s="111">
        <f t="shared" si="0"/>
        <v>0</v>
      </c>
      <c r="W50" s="111"/>
      <c r="X50" s="1690">
        <v>16501</v>
      </c>
      <c r="Y50" s="1400"/>
      <c r="Z50" s="111">
        <v>5919</v>
      </c>
      <c r="AA50" s="1400"/>
      <c r="AB50" s="2203">
        <v>8954</v>
      </c>
      <c r="AC50" s="111"/>
      <c r="AD50" s="1690">
        <f t="shared" si="1"/>
        <v>31374</v>
      </c>
      <c r="AE50" s="111"/>
      <c r="AF50" s="535">
        <v>32151</v>
      </c>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row>
    <row r="51" spans="1:59" ht="21" customHeight="1">
      <c r="A51" s="236" t="s">
        <v>912</v>
      </c>
      <c r="B51" s="111"/>
      <c r="C51" s="111" t="s">
        <v>6</v>
      </c>
      <c r="D51" s="111">
        <v>0</v>
      </c>
      <c r="E51" s="111"/>
      <c r="F51" s="111">
        <v>0</v>
      </c>
      <c r="G51" s="111"/>
      <c r="H51" s="111">
        <v>0</v>
      </c>
      <c r="I51" s="111"/>
      <c r="J51" s="111">
        <v>9190</v>
      </c>
      <c r="K51" s="111"/>
      <c r="L51" s="111">
        <v>32743</v>
      </c>
      <c r="M51" s="111"/>
      <c r="N51" s="111">
        <v>0</v>
      </c>
      <c r="O51" s="111"/>
      <c r="P51" s="111">
        <v>0</v>
      </c>
      <c r="Q51" s="189"/>
      <c r="R51" s="111">
        <v>0</v>
      </c>
      <c r="S51" s="111"/>
      <c r="T51" s="111">
        <v>0</v>
      </c>
      <c r="U51" s="111"/>
      <c r="V51" s="111">
        <f t="shared" si="0"/>
        <v>41933</v>
      </c>
      <c r="W51" s="111"/>
      <c r="X51" s="1690">
        <v>913</v>
      </c>
      <c r="Y51" s="111"/>
      <c r="Z51" s="111">
        <v>401</v>
      </c>
      <c r="AA51" s="111"/>
      <c r="AB51" s="2203">
        <v>488</v>
      </c>
      <c r="AC51" s="111"/>
      <c r="AD51" s="1690">
        <f t="shared" si="1"/>
        <v>43735</v>
      </c>
      <c r="AE51" s="111"/>
      <c r="AF51" s="535">
        <v>53363</v>
      </c>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row>
    <row r="52" spans="1:59" ht="21" customHeight="1">
      <c r="A52" s="236" t="s">
        <v>913</v>
      </c>
      <c r="B52" s="236"/>
      <c r="C52" s="236" t="s">
        <v>6</v>
      </c>
      <c r="D52" s="111">
        <v>0</v>
      </c>
      <c r="E52" s="236"/>
      <c r="F52" s="111">
        <v>2955</v>
      </c>
      <c r="G52" s="236"/>
      <c r="H52" s="111">
        <v>0</v>
      </c>
      <c r="I52" s="236"/>
      <c r="J52" s="111">
        <v>0</v>
      </c>
      <c r="K52" s="236"/>
      <c r="L52" s="111">
        <v>0</v>
      </c>
      <c r="M52" s="236"/>
      <c r="N52" s="111">
        <v>1072</v>
      </c>
      <c r="O52" s="236"/>
      <c r="P52" s="111">
        <v>0</v>
      </c>
      <c r="Q52" s="594"/>
      <c r="R52" s="111">
        <v>0</v>
      </c>
      <c r="S52" s="236"/>
      <c r="T52" s="111">
        <v>0</v>
      </c>
      <c r="U52" s="236"/>
      <c r="V52" s="111">
        <f t="shared" si="0"/>
        <v>4027</v>
      </c>
      <c r="W52" s="236"/>
      <c r="X52" s="1690">
        <v>1759</v>
      </c>
      <c r="Y52" s="236"/>
      <c r="Z52" s="111">
        <v>2233</v>
      </c>
      <c r="AA52" s="236"/>
      <c r="AB52" s="2203">
        <v>0</v>
      </c>
      <c r="AC52" s="236"/>
      <c r="AD52" s="1690">
        <f t="shared" si="1"/>
        <v>8019</v>
      </c>
      <c r="AE52" s="236"/>
      <c r="AF52" s="236">
        <v>5660</v>
      </c>
      <c r="AG52" s="236"/>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row>
    <row r="53" spans="1:59" ht="21" customHeight="1">
      <c r="A53" s="236" t="s">
        <v>914</v>
      </c>
      <c r="B53" s="111"/>
      <c r="C53" s="111" t="s">
        <v>6</v>
      </c>
      <c r="D53" s="111">
        <v>0</v>
      </c>
      <c r="E53" s="111"/>
      <c r="F53" s="111">
        <v>0</v>
      </c>
      <c r="G53" s="111"/>
      <c r="H53" s="111">
        <v>0</v>
      </c>
      <c r="I53" s="111"/>
      <c r="J53" s="111">
        <v>0</v>
      </c>
      <c r="K53" s="111"/>
      <c r="L53" s="111">
        <v>0</v>
      </c>
      <c r="M53" s="111"/>
      <c r="N53" s="111">
        <v>0</v>
      </c>
      <c r="O53" s="111"/>
      <c r="P53" s="111">
        <v>0</v>
      </c>
      <c r="Q53" s="189"/>
      <c r="R53" s="111">
        <v>0</v>
      </c>
      <c r="S53" s="111"/>
      <c r="T53" s="111">
        <v>0</v>
      </c>
      <c r="U53" s="189"/>
      <c r="V53" s="111">
        <f t="shared" si="0"/>
        <v>0</v>
      </c>
      <c r="W53" s="111"/>
      <c r="X53" s="1690">
        <v>17</v>
      </c>
      <c r="Y53" s="111"/>
      <c r="Z53" s="111">
        <v>0</v>
      </c>
      <c r="AA53" s="111"/>
      <c r="AB53" s="2203">
        <v>0</v>
      </c>
      <c r="AC53" s="111"/>
      <c r="AD53" s="1690">
        <f t="shared" si="1"/>
        <v>17</v>
      </c>
      <c r="AE53" s="111"/>
      <c r="AF53" s="236">
        <v>59</v>
      </c>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row>
    <row r="54" spans="1:59" ht="21" customHeight="1">
      <c r="A54" s="236" t="s">
        <v>915</v>
      </c>
      <c r="B54" s="111"/>
      <c r="C54" s="111" t="s">
        <v>6</v>
      </c>
      <c r="D54" s="111">
        <v>0</v>
      </c>
      <c r="E54" s="111"/>
      <c r="F54" s="111">
        <v>0</v>
      </c>
      <c r="G54" s="111"/>
      <c r="H54" s="111">
        <v>0</v>
      </c>
      <c r="I54" s="1400"/>
      <c r="J54" s="111">
        <v>441679</v>
      </c>
      <c r="K54" s="111"/>
      <c r="L54" s="111">
        <v>4564</v>
      </c>
      <c r="M54" s="111"/>
      <c r="N54" s="111">
        <v>0</v>
      </c>
      <c r="O54" s="111"/>
      <c r="P54" s="111">
        <v>3690066</v>
      </c>
      <c r="Q54" s="189"/>
      <c r="R54" s="111">
        <v>0</v>
      </c>
      <c r="S54" s="111"/>
      <c r="T54" s="111">
        <v>0</v>
      </c>
      <c r="U54" s="111"/>
      <c r="V54" s="1690">
        <f t="shared" si="0"/>
        <v>4136309</v>
      </c>
      <c r="W54" s="111"/>
      <c r="X54" s="1690">
        <v>72753</v>
      </c>
      <c r="Y54" s="111"/>
      <c r="Z54" s="111">
        <v>70072</v>
      </c>
      <c r="AA54" s="111"/>
      <c r="AB54" s="2203">
        <v>39031</v>
      </c>
      <c r="AC54" s="111"/>
      <c r="AD54" s="1690">
        <f t="shared" si="1"/>
        <v>4318165</v>
      </c>
      <c r="AE54" s="111"/>
      <c r="AF54" s="535">
        <v>4095208</v>
      </c>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row>
    <row r="55" spans="1:59" ht="21" customHeight="1">
      <c r="A55" s="236" t="s">
        <v>916</v>
      </c>
      <c r="B55" s="236"/>
      <c r="C55" s="236" t="s">
        <v>6</v>
      </c>
      <c r="D55" s="111">
        <v>0</v>
      </c>
      <c r="E55" s="236"/>
      <c r="F55" s="111">
        <v>0</v>
      </c>
      <c r="G55" s="236"/>
      <c r="H55" s="111">
        <v>0</v>
      </c>
      <c r="I55" s="236"/>
      <c r="J55" s="111">
        <v>0</v>
      </c>
      <c r="K55" s="236"/>
      <c r="L55" s="111">
        <v>0</v>
      </c>
      <c r="M55" s="236"/>
      <c r="N55" s="111">
        <v>38713</v>
      </c>
      <c r="O55" s="236"/>
      <c r="P55" s="232">
        <v>0</v>
      </c>
      <c r="Q55" s="594"/>
      <c r="R55" s="111">
        <v>0</v>
      </c>
      <c r="S55" s="236"/>
      <c r="T55" s="111">
        <v>0</v>
      </c>
      <c r="U55" s="236"/>
      <c r="V55" s="111">
        <f t="shared" si="0"/>
        <v>38713</v>
      </c>
      <c r="W55" s="236"/>
      <c r="X55" s="1690">
        <v>920</v>
      </c>
      <c r="Y55" s="535"/>
      <c r="Z55" s="111">
        <v>176</v>
      </c>
      <c r="AA55" s="535"/>
      <c r="AB55" s="2203">
        <v>0</v>
      </c>
      <c r="AC55" s="236"/>
      <c r="AD55" s="1690">
        <f t="shared" si="1"/>
        <v>39809</v>
      </c>
      <c r="AE55" s="236"/>
      <c r="AF55" s="236">
        <v>31142</v>
      </c>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row>
    <row r="56" spans="1:59" ht="21" customHeight="1">
      <c r="A56" s="236" t="s">
        <v>917</v>
      </c>
      <c r="B56" s="111"/>
      <c r="C56" s="111" t="s">
        <v>6</v>
      </c>
      <c r="D56" s="111">
        <v>3658190</v>
      </c>
      <c r="E56" s="111"/>
      <c r="F56" s="111">
        <v>0</v>
      </c>
      <c r="G56" s="111"/>
      <c r="H56" s="111">
        <v>0</v>
      </c>
      <c r="I56" s="111"/>
      <c r="J56" s="111">
        <v>0</v>
      </c>
      <c r="K56" s="111"/>
      <c r="L56" s="111">
        <v>0</v>
      </c>
      <c r="M56" s="111"/>
      <c r="N56" s="111">
        <v>0</v>
      </c>
      <c r="O56" s="111"/>
      <c r="P56" s="111">
        <v>454</v>
      </c>
      <c r="Q56" s="189"/>
      <c r="R56" s="111">
        <v>0</v>
      </c>
      <c r="S56" s="111"/>
      <c r="T56" s="111">
        <v>0</v>
      </c>
      <c r="U56" s="111"/>
      <c r="V56" s="111">
        <f t="shared" si="0"/>
        <v>3658644</v>
      </c>
      <c r="W56" s="111"/>
      <c r="X56" s="1690">
        <v>85455</v>
      </c>
      <c r="Y56" s="111"/>
      <c r="Z56" s="111">
        <v>117338</v>
      </c>
      <c r="AA56" s="111"/>
      <c r="AB56" s="2203">
        <v>44505</v>
      </c>
      <c r="AC56" s="111"/>
      <c r="AD56" s="1690">
        <f t="shared" si="1"/>
        <v>3905942</v>
      </c>
      <c r="AE56" s="111"/>
      <c r="AF56" s="236">
        <v>3432953</v>
      </c>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row>
    <row r="57" spans="1:59" ht="21" customHeight="1">
      <c r="A57" s="236" t="s">
        <v>918</v>
      </c>
      <c r="B57" s="111"/>
      <c r="C57" s="111" t="s">
        <v>6</v>
      </c>
      <c r="D57" s="111">
        <v>0</v>
      </c>
      <c r="E57" s="111"/>
      <c r="F57" s="111">
        <v>0</v>
      </c>
      <c r="G57" s="111"/>
      <c r="H57" s="111">
        <v>0</v>
      </c>
      <c r="I57" s="111"/>
      <c r="J57" s="111">
        <v>1670</v>
      </c>
      <c r="K57" s="111"/>
      <c r="L57" s="111">
        <v>90347</v>
      </c>
      <c r="M57" s="111"/>
      <c r="N57" s="111">
        <v>0</v>
      </c>
      <c r="O57" s="111"/>
      <c r="P57" s="111">
        <v>312</v>
      </c>
      <c r="Q57" s="189"/>
      <c r="R57" s="111">
        <v>0</v>
      </c>
      <c r="S57" s="111"/>
      <c r="T57" s="111">
        <v>0</v>
      </c>
      <c r="U57" s="111"/>
      <c r="V57" s="111">
        <f t="shared" si="0"/>
        <v>92329</v>
      </c>
      <c r="W57" s="111"/>
      <c r="X57" s="1690">
        <v>5915</v>
      </c>
      <c r="Y57" s="111"/>
      <c r="Z57" s="111">
        <v>4498</v>
      </c>
      <c r="AA57" s="111"/>
      <c r="AB57" s="2203">
        <v>0</v>
      </c>
      <c r="AC57" s="111"/>
      <c r="AD57" s="1690">
        <f t="shared" si="1"/>
        <v>102742</v>
      </c>
      <c r="AE57" s="111"/>
      <c r="AF57" s="236">
        <v>108811</v>
      </c>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row>
    <row r="58" spans="1:59" ht="21" customHeight="1">
      <c r="A58" s="236" t="s">
        <v>919</v>
      </c>
      <c r="B58" s="111"/>
      <c r="C58" s="111" t="s">
        <v>6</v>
      </c>
      <c r="D58" s="111">
        <v>0</v>
      </c>
      <c r="E58" s="111"/>
      <c r="F58" s="111">
        <v>0</v>
      </c>
      <c r="G58" s="111"/>
      <c r="H58" s="111">
        <v>0</v>
      </c>
      <c r="I58" s="111"/>
      <c r="J58" s="111">
        <v>0</v>
      </c>
      <c r="K58" s="111"/>
      <c r="L58" s="111">
        <v>0</v>
      </c>
      <c r="M58" s="111"/>
      <c r="N58" s="111">
        <v>0</v>
      </c>
      <c r="O58" s="111"/>
      <c r="P58" s="111">
        <v>7129</v>
      </c>
      <c r="Q58" s="189"/>
      <c r="R58" s="111">
        <v>0</v>
      </c>
      <c r="S58" s="111"/>
      <c r="T58" s="111">
        <v>0</v>
      </c>
      <c r="U58" s="111"/>
      <c r="V58" s="111">
        <f t="shared" si="0"/>
        <v>7129</v>
      </c>
      <c r="W58" s="111"/>
      <c r="X58" s="1690">
        <v>9027</v>
      </c>
      <c r="Y58" s="111"/>
      <c r="Z58" s="111">
        <v>309520</v>
      </c>
      <c r="AA58" s="111"/>
      <c r="AB58" s="2203">
        <v>108</v>
      </c>
      <c r="AC58" s="111"/>
      <c r="AD58" s="1690">
        <f t="shared" si="1"/>
        <v>325784</v>
      </c>
      <c r="AE58" s="111"/>
      <c r="AF58" s="236">
        <v>315339</v>
      </c>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row>
    <row r="59" spans="1:59" ht="21" customHeight="1">
      <c r="A59" s="236" t="s">
        <v>920</v>
      </c>
      <c r="B59" s="111"/>
      <c r="C59" s="111" t="s">
        <v>6</v>
      </c>
      <c r="D59" s="111">
        <v>0</v>
      </c>
      <c r="E59" s="111"/>
      <c r="F59" s="111">
        <v>0</v>
      </c>
      <c r="G59" s="111"/>
      <c r="H59" s="111">
        <v>0</v>
      </c>
      <c r="I59" s="111"/>
      <c r="J59" s="111">
        <v>0</v>
      </c>
      <c r="K59" s="111"/>
      <c r="L59" s="111">
        <v>0</v>
      </c>
      <c r="M59" s="111"/>
      <c r="N59" s="111">
        <v>0</v>
      </c>
      <c r="O59" s="111"/>
      <c r="P59" s="111">
        <v>0</v>
      </c>
      <c r="Q59" s="189"/>
      <c r="R59" s="111">
        <v>0</v>
      </c>
      <c r="S59" s="111"/>
      <c r="T59" s="111">
        <v>0</v>
      </c>
      <c r="U59" s="111"/>
      <c r="V59" s="111">
        <f t="shared" si="0"/>
        <v>0</v>
      </c>
      <c r="W59" s="111"/>
      <c r="X59" s="1690">
        <v>1444</v>
      </c>
      <c r="Y59" s="111"/>
      <c r="Z59" s="111">
        <v>4223</v>
      </c>
      <c r="AA59" s="111"/>
      <c r="AB59" s="2203">
        <v>265</v>
      </c>
      <c r="AC59" s="111"/>
      <c r="AD59" s="1690">
        <f t="shared" si="1"/>
        <v>5932</v>
      </c>
      <c r="AE59" s="111"/>
      <c r="AF59" s="236">
        <v>5349</v>
      </c>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row>
    <row r="60" spans="1:59" ht="21" customHeight="1">
      <c r="A60" s="236" t="s">
        <v>921</v>
      </c>
      <c r="B60" s="111"/>
      <c r="C60" s="111" t="s">
        <v>6</v>
      </c>
      <c r="D60" s="111">
        <v>0</v>
      </c>
      <c r="E60" s="111"/>
      <c r="F60" s="111">
        <v>0</v>
      </c>
      <c r="G60" s="111"/>
      <c r="H60" s="111">
        <v>0</v>
      </c>
      <c r="I60" s="111"/>
      <c r="J60" s="111">
        <v>0</v>
      </c>
      <c r="K60" s="111"/>
      <c r="L60" s="111">
        <v>0</v>
      </c>
      <c r="M60" s="111"/>
      <c r="N60" s="111">
        <v>0</v>
      </c>
      <c r="O60" s="111"/>
      <c r="P60" s="111">
        <v>0</v>
      </c>
      <c r="Q60" s="189"/>
      <c r="R60" s="111">
        <v>0</v>
      </c>
      <c r="S60" s="111"/>
      <c r="T60" s="111">
        <v>0</v>
      </c>
      <c r="U60" s="111"/>
      <c r="V60" s="111">
        <f t="shared" si="0"/>
        <v>0</v>
      </c>
      <c r="W60" s="111"/>
      <c r="X60" s="1690">
        <v>0</v>
      </c>
      <c r="Y60" s="1400"/>
      <c r="Z60" s="111">
        <v>8643</v>
      </c>
      <c r="AA60" s="1400"/>
      <c r="AB60" s="2203">
        <v>0</v>
      </c>
      <c r="AC60" s="111"/>
      <c r="AD60" s="1690">
        <f t="shared" si="1"/>
        <v>8643</v>
      </c>
      <c r="AE60" s="111"/>
      <c r="AF60" s="535">
        <v>6216</v>
      </c>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row>
    <row r="61" spans="1:59" ht="25" customHeight="1" thickBot="1">
      <c r="A61" s="1669" t="s">
        <v>922</v>
      </c>
      <c r="B61" s="1064"/>
      <c r="C61" s="111" t="s">
        <v>6</v>
      </c>
      <c r="D61" s="1007">
        <f>ROUND(SUM(D17:D60),1)</f>
        <v>3658549</v>
      </c>
      <c r="E61" s="1008" t="s">
        <v>6</v>
      </c>
      <c r="F61" s="1007">
        <f>ROUND(SUM(F17:F60),1)</f>
        <v>2955</v>
      </c>
      <c r="G61" s="1008" t="s">
        <v>6</v>
      </c>
      <c r="H61" s="1007">
        <f>ROUND(SUM(H17:H60),1)</f>
        <v>55158</v>
      </c>
      <c r="I61" s="1008" t="s">
        <v>6</v>
      </c>
      <c r="J61" s="1007">
        <f>ROUND(SUM(J17:J60),1)</f>
        <v>31350134</v>
      </c>
      <c r="K61" s="1008" t="s">
        <v>6</v>
      </c>
      <c r="L61" s="1007">
        <f>ROUND(SUM(L17:L60),1)</f>
        <v>3463090</v>
      </c>
      <c r="M61" s="115"/>
      <c r="N61" s="1007">
        <f>ROUND(SUM(N17:N60),1)</f>
        <v>1844002</v>
      </c>
      <c r="O61" s="115"/>
      <c r="P61" s="1007">
        <f>ROUND(SUM(P17:P60),1)</f>
        <v>4741827</v>
      </c>
      <c r="Q61" s="115"/>
      <c r="R61" s="1007">
        <f>ROUND(SUM(R17:R60),1)</f>
        <v>7716</v>
      </c>
      <c r="S61" s="115"/>
      <c r="T61" s="1007">
        <f>ROUND(SUM(T17:T60),1)</f>
        <v>39315</v>
      </c>
      <c r="U61" s="115"/>
      <c r="V61" s="1007">
        <f>ROUND(SUM(V17:V60),1)</f>
        <v>45162746</v>
      </c>
      <c r="W61" s="115"/>
      <c r="X61" s="1007">
        <f>ROUND(SUM(X17:X60),1)</f>
        <v>617400</v>
      </c>
      <c r="Y61" s="115"/>
      <c r="Z61" s="1007">
        <f>ROUND(SUM(Z17:Z60),1)</f>
        <v>1372320</v>
      </c>
      <c r="AA61" s="115"/>
      <c r="AB61" s="1007">
        <f>ROUND(SUM(AB17:AB60),1)</f>
        <v>286725</v>
      </c>
      <c r="AC61" s="115"/>
      <c r="AD61" s="1007">
        <f>ROUND(SUM(AD17:AD60),1)</f>
        <v>47439191</v>
      </c>
      <c r="AE61" s="115"/>
      <c r="AF61" s="1007">
        <f>ROUND(SUM(AF17:AF60),1)</f>
        <v>43916467</v>
      </c>
      <c r="AG61" s="1064"/>
      <c r="AH61" s="1064"/>
      <c r="AI61" s="1064"/>
      <c r="AJ61" s="1064"/>
      <c r="AK61" s="1064"/>
      <c r="AL61" s="1064"/>
      <c r="AM61" s="111"/>
      <c r="AN61" s="111"/>
      <c r="AO61" s="111"/>
      <c r="AP61" s="111"/>
      <c r="AQ61" s="111"/>
      <c r="AR61" s="111"/>
      <c r="AS61" s="111"/>
      <c r="AT61" s="111"/>
      <c r="AU61" s="111"/>
      <c r="AV61" s="111"/>
      <c r="AW61" s="111"/>
      <c r="AX61" s="111"/>
      <c r="AY61" s="111"/>
      <c r="AZ61" s="111"/>
      <c r="BA61" s="111"/>
      <c r="BB61" s="111"/>
      <c r="BC61" s="111"/>
      <c r="BD61" s="111"/>
      <c r="BE61" s="111"/>
      <c r="BF61" s="111"/>
      <c r="BG61" s="111"/>
    </row>
    <row r="62" spans="1:59" ht="17" customHeight="1" thickTop="1">
      <c r="A62" s="236"/>
      <c r="B62" s="111"/>
      <c r="C62" s="111"/>
      <c r="D62" s="1688"/>
      <c r="E62" s="111"/>
      <c r="F62" s="1688"/>
      <c r="G62" s="111"/>
      <c r="H62" s="1688"/>
      <c r="I62" s="111"/>
      <c r="J62" s="1688"/>
      <c r="K62" s="111"/>
      <c r="L62" s="1688"/>
      <c r="M62" s="111"/>
      <c r="N62" s="1688"/>
      <c r="O62" s="111"/>
      <c r="P62" s="1688"/>
      <c r="Q62" s="1687"/>
      <c r="R62" s="1688"/>
      <c r="S62" s="111"/>
      <c r="T62" s="1688"/>
      <c r="U62" s="111"/>
      <c r="V62" s="1688"/>
      <c r="W62" s="111"/>
      <c r="X62" s="1694"/>
      <c r="Y62" s="111"/>
      <c r="Z62" s="1688"/>
      <c r="AA62" s="111"/>
      <c r="AB62" s="1689"/>
      <c r="AC62" s="111"/>
      <c r="AD62" s="1697"/>
      <c r="AE62" s="111"/>
      <c r="AF62" s="1689"/>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row>
    <row r="63" spans="1:59" ht="17" customHeight="1">
      <c r="A63" s="236"/>
      <c r="B63" s="111"/>
      <c r="C63" s="111"/>
      <c r="D63" s="1687"/>
      <c r="E63" s="111"/>
      <c r="F63" s="111"/>
      <c r="G63" s="111"/>
      <c r="H63" s="1687"/>
      <c r="I63" s="111"/>
      <c r="J63" s="1687"/>
      <c r="K63" s="111"/>
      <c r="L63" s="1687"/>
      <c r="M63" s="111"/>
      <c r="N63" s="1687"/>
      <c r="O63" s="111"/>
      <c r="P63" s="1687"/>
      <c r="Q63" s="1687"/>
      <c r="R63" s="1687"/>
      <c r="S63" s="111"/>
      <c r="T63" s="1687"/>
      <c r="U63" s="111"/>
      <c r="V63" s="1687"/>
      <c r="W63" s="111"/>
      <c r="X63" s="1695"/>
      <c r="Y63" s="111"/>
      <c r="Z63" s="1687"/>
      <c r="AA63" s="111"/>
      <c r="AB63" s="516"/>
      <c r="AC63" s="111"/>
      <c r="AD63" s="1698"/>
      <c r="AE63" s="111"/>
      <c r="AF63" s="516"/>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row>
    <row r="64" spans="1:59" ht="17" customHeight="1">
      <c r="A64" s="236"/>
      <c r="B64" s="111"/>
      <c r="C64" s="111"/>
      <c r="D64" s="1687"/>
      <c r="E64" s="111"/>
      <c r="F64" s="111"/>
      <c r="G64" s="111"/>
      <c r="H64" s="1687"/>
      <c r="I64" s="111"/>
      <c r="J64" s="1687"/>
      <c r="K64" s="111"/>
      <c r="L64" s="1687"/>
      <c r="M64" s="111"/>
      <c r="N64" s="1687"/>
      <c r="O64" s="111"/>
      <c r="P64" s="1687"/>
      <c r="Q64" s="1687"/>
      <c r="R64" s="1687"/>
      <c r="S64" s="111"/>
      <c r="T64" s="1687"/>
      <c r="U64" s="111"/>
      <c r="V64" s="1687"/>
      <c r="W64" s="111"/>
      <c r="X64" s="1695"/>
      <c r="Y64" s="111"/>
      <c r="Z64" s="1687"/>
      <c r="AA64" s="111"/>
      <c r="AB64" s="516"/>
      <c r="AC64" s="111"/>
      <c r="AD64" s="1698"/>
      <c r="AE64" s="111"/>
      <c r="AF64" s="516"/>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row>
    <row r="65" spans="1:59" ht="17" customHeight="1">
      <c r="A65" s="236"/>
      <c r="B65" s="111"/>
      <c r="C65" s="111"/>
      <c r="D65" s="1687"/>
      <c r="E65" s="111"/>
      <c r="F65" s="111"/>
      <c r="G65" s="111"/>
      <c r="H65" s="1687"/>
      <c r="I65" s="111"/>
      <c r="J65" s="1687"/>
      <c r="K65" s="111"/>
      <c r="L65" s="1687"/>
      <c r="M65" s="111"/>
      <c r="N65" s="1687"/>
      <c r="O65" s="111"/>
      <c r="P65" s="1687"/>
      <c r="Q65" s="1687"/>
      <c r="R65" s="1687"/>
      <c r="S65" s="111"/>
      <c r="T65" s="1687"/>
      <c r="U65" s="111"/>
      <c r="V65" s="1687"/>
      <c r="W65" s="111"/>
      <c r="X65" s="1695"/>
      <c r="Y65" s="111"/>
      <c r="Z65" s="1687"/>
      <c r="AA65" s="111"/>
      <c r="AB65" s="516"/>
      <c r="AC65" s="111"/>
      <c r="AD65" s="1698"/>
      <c r="AE65" s="111"/>
      <c r="AF65" s="516"/>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row>
    <row r="66" spans="1:59" ht="17" customHeight="1">
      <c r="A66" s="2476"/>
      <c r="B66" s="2477"/>
      <c r="C66" s="2477"/>
      <c r="D66" s="2477"/>
      <c r="E66" s="2477"/>
      <c r="F66" s="2477"/>
      <c r="G66" s="2477"/>
      <c r="H66" s="2477"/>
      <c r="I66" s="2477"/>
      <c r="J66" s="2477"/>
      <c r="K66" s="2477"/>
      <c r="L66" s="2477"/>
      <c r="M66" s="2477"/>
      <c r="N66" s="2477"/>
      <c r="O66" s="2477"/>
      <c r="P66" s="2477"/>
      <c r="Q66" s="2477"/>
      <c r="R66" s="2477"/>
      <c r="S66" s="2477"/>
      <c r="T66" s="2477"/>
      <c r="U66" s="2477"/>
      <c r="V66" s="2477"/>
      <c r="W66" s="111"/>
      <c r="X66" s="1695"/>
      <c r="Y66" s="111"/>
      <c r="Z66" s="1687"/>
      <c r="AA66" s="111"/>
      <c r="AB66" s="516"/>
      <c r="AC66" s="111"/>
      <c r="AD66" s="1698"/>
      <c r="AE66" s="111"/>
      <c r="AF66" s="516"/>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row>
    <row r="67" spans="1:59" ht="17" customHeight="1">
      <c r="A67" s="2476" t="s">
        <v>6</v>
      </c>
      <c r="B67" s="2477"/>
      <c r="C67" s="2477"/>
      <c r="D67" s="2477"/>
      <c r="E67" s="2477"/>
      <c r="F67" s="2477"/>
      <c r="G67" s="2477"/>
      <c r="H67" s="2477"/>
      <c r="I67" s="2477"/>
      <c r="J67" s="2477"/>
      <c r="K67" s="2477"/>
      <c r="L67" s="2477"/>
      <c r="M67" s="2477"/>
      <c r="N67" s="2477"/>
      <c r="O67" s="2477"/>
      <c r="P67" s="2477"/>
      <c r="Q67" s="2477"/>
      <c r="R67" s="2477"/>
      <c r="S67" s="2477"/>
      <c r="T67" s="2477"/>
      <c r="U67" s="111"/>
      <c r="V67" s="1687"/>
      <c r="W67" s="111"/>
      <c r="X67" s="1695"/>
      <c r="Y67" s="111"/>
      <c r="Z67" s="1687"/>
      <c r="AA67" s="111"/>
      <c r="AB67" s="516"/>
      <c r="AC67" s="111"/>
      <c r="AD67" s="1698"/>
      <c r="AE67" s="111"/>
      <c r="AF67" s="516"/>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row>
    <row r="68" spans="1:59" ht="17" customHeight="1">
      <c r="A68" s="236"/>
      <c r="B68" s="111"/>
      <c r="C68" s="111"/>
      <c r="D68" s="1687"/>
      <c r="E68" s="111"/>
      <c r="F68" s="111"/>
      <c r="G68" s="111"/>
      <c r="H68" s="1687"/>
      <c r="I68" s="111"/>
      <c r="J68" s="1687"/>
      <c r="K68" s="111"/>
      <c r="L68" s="1687"/>
      <c r="M68" s="111"/>
      <c r="N68" s="1687"/>
      <c r="O68" s="111"/>
      <c r="P68" s="1687"/>
      <c r="Q68" s="1687"/>
      <c r="R68" s="1687"/>
      <c r="S68" s="111"/>
      <c r="T68" s="1687"/>
      <c r="U68" s="111"/>
      <c r="V68" s="1687"/>
      <c r="W68" s="111"/>
      <c r="X68" s="1695"/>
      <c r="Y68" s="111"/>
      <c r="Z68" s="1687"/>
      <c r="AA68" s="111"/>
      <c r="AB68" s="516"/>
      <c r="AC68" s="111"/>
      <c r="AD68" s="1698"/>
      <c r="AE68" s="111"/>
      <c r="AF68" s="516"/>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row>
    <row r="69" spans="1:59" ht="15">
      <c r="A69" s="236"/>
      <c r="B69" s="111"/>
      <c r="C69" s="111"/>
      <c r="D69" s="111"/>
      <c r="E69" s="111"/>
      <c r="F69" s="111"/>
      <c r="G69" s="111"/>
      <c r="H69" s="111"/>
      <c r="I69" s="111"/>
      <c r="J69" s="111"/>
      <c r="K69" s="111"/>
      <c r="L69" s="111"/>
      <c r="M69" s="111"/>
      <c r="N69" s="111"/>
      <c r="O69" s="111"/>
      <c r="P69" s="111"/>
      <c r="Q69" s="111"/>
      <c r="R69" s="111"/>
      <c r="S69" s="111"/>
      <c r="T69" s="111"/>
      <c r="U69" s="111"/>
      <c r="V69" s="111"/>
      <c r="W69" s="111"/>
      <c r="X69" s="1691"/>
      <c r="Y69" s="111"/>
      <c r="Z69" s="111"/>
      <c r="AA69" s="111"/>
      <c r="AB69" s="236"/>
      <c r="AC69" s="111"/>
      <c r="AD69" s="1690"/>
      <c r="AE69" s="111"/>
      <c r="AF69" s="236"/>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row>
    <row r="70" spans="1:59" ht="15">
      <c r="A70" s="535"/>
      <c r="B70" s="111"/>
      <c r="C70" s="111"/>
      <c r="D70" s="111"/>
      <c r="E70" s="111"/>
      <c r="F70" s="111"/>
      <c r="G70" s="111"/>
      <c r="H70" s="111"/>
      <c r="I70" s="111"/>
      <c r="J70" s="111"/>
      <c r="K70" s="111"/>
      <c r="L70" s="111"/>
      <c r="M70" s="111"/>
      <c r="N70" s="111"/>
      <c r="O70" s="111"/>
      <c r="P70" s="111"/>
      <c r="Q70" s="111"/>
      <c r="R70" s="111"/>
      <c r="S70" s="111"/>
      <c r="T70" s="111"/>
      <c r="U70" s="111"/>
      <c r="V70" s="111"/>
      <c r="W70" s="111"/>
      <c r="X70" s="1691"/>
      <c r="Y70" s="111"/>
      <c r="Z70" s="111"/>
      <c r="AA70" s="111"/>
      <c r="AB70" s="236"/>
      <c r="AC70" s="111"/>
      <c r="AD70" s="1690"/>
      <c r="AE70" s="111"/>
      <c r="AF70" s="236"/>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row>
    <row r="71" spans="1:59" ht="15">
      <c r="A71" s="236"/>
      <c r="B71" s="111"/>
      <c r="C71" s="111"/>
      <c r="D71" s="111"/>
      <c r="E71" s="111"/>
      <c r="F71" s="111"/>
      <c r="G71" s="111"/>
      <c r="H71" s="111"/>
      <c r="I71" s="111"/>
      <c r="J71" s="111"/>
      <c r="K71" s="111"/>
      <c r="L71" s="111"/>
      <c r="M71" s="111"/>
      <c r="N71" s="111"/>
      <c r="O71" s="111"/>
      <c r="P71" s="111"/>
      <c r="Q71" s="111"/>
      <c r="R71" s="111"/>
      <c r="S71" s="111"/>
      <c r="T71" s="111"/>
      <c r="U71" s="111"/>
      <c r="V71" s="111"/>
      <c r="W71" s="111"/>
      <c r="X71" s="1691"/>
      <c r="Y71" s="111"/>
      <c r="Z71" s="111"/>
      <c r="AA71" s="111"/>
      <c r="AB71" s="236"/>
      <c r="AC71" s="111"/>
      <c r="AD71" s="1690"/>
      <c r="AE71" s="111"/>
      <c r="AF71" s="236"/>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row>
    <row r="72" spans="1:59" ht="15">
      <c r="A72" s="236"/>
      <c r="B72" s="111"/>
      <c r="C72" s="111"/>
      <c r="D72" s="111"/>
      <c r="E72" s="111"/>
      <c r="F72" s="111"/>
      <c r="G72" s="111"/>
      <c r="H72" s="111"/>
      <c r="I72" s="111"/>
      <c r="J72" s="111"/>
      <c r="K72" s="111"/>
      <c r="L72" s="111"/>
      <c r="M72" s="111"/>
      <c r="N72" s="111"/>
      <c r="O72" s="111"/>
      <c r="P72" s="111"/>
      <c r="Q72" s="111"/>
      <c r="R72" s="111"/>
      <c r="S72" s="111"/>
      <c r="T72" s="111"/>
      <c r="U72" s="111"/>
      <c r="V72" s="111"/>
      <c r="W72" s="111"/>
      <c r="X72" s="1691"/>
      <c r="Y72" s="111"/>
      <c r="Z72" s="111"/>
      <c r="AA72" s="111"/>
      <c r="AB72" s="236"/>
      <c r="AC72" s="111"/>
      <c r="AD72" s="1690"/>
      <c r="AE72" s="111"/>
      <c r="AF72" s="236"/>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row>
    <row r="73" spans="1:59" ht="15">
      <c r="A73" s="236"/>
      <c r="B73" s="111"/>
      <c r="C73" s="111"/>
      <c r="D73" s="111"/>
      <c r="E73" s="111"/>
      <c r="F73" s="111"/>
      <c r="G73" s="111"/>
      <c r="H73" s="111"/>
      <c r="I73" s="111"/>
      <c r="J73" s="111"/>
      <c r="K73" s="111"/>
      <c r="L73" s="111"/>
      <c r="M73" s="111"/>
      <c r="N73" s="111"/>
      <c r="O73" s="111"/>
      <c r="P73" s="111"/>
      <c r="Q73" s="111"/>
      <c r="R73" s="111"/>
      <c r="S73" s="111"/>
      <c r="T73" s="111"/>
      <c r="U73" s="111"/>
      <c r="V73" s="111"/>
      <c r="W73" s="111"/>
      <c r="X73" s="1691"/>
      <c r="Y73" s="111"/>
      <c r="Z73" s="111"/>
      <c r="AA73" s="111"/>
      <c r="AB73" s="236"/>
      <c r="AC73" s="111"/>
      <c r="AD73" s="1690"/>
      <c r="AE73" s="111"/>
      <c r="AF73" s="236"/>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row>
    <row r="74" spans="1:59" ht="15">
      <c r="A74" s="236"/>
      <c r="B74" s="111"/>
      <c r="C74" s="111"/>
      <c r="D74" s="111"/>
      <c r="E74" s="111"/>
      <c r="F74" s="111"/>
      <c r="G74" s="111"/>
      <c r="H74" s="111"/>
      <c r="I74" s="111"/>
      <c r="J74" s="111"/>
      <c r="K74" s="111"/>
      <c r="L74" s="111"/>
      <c r="M74" s="111"/>
      <c r="N74" s="111"/>
      <c r="O74" s="111"/>
      <c r="P74" s="111"/>
      <c r="Q74" s="111"/>
      <c r="R74" s="111"/>
      <c r="S74" s="111"/>
      <c r="T74" s="111"/>
      <c r="U74" s="111"/>
      <c r="V74" s="111"/>
      <c r="W74" s="111"/>
      <c r="X74" s="1691"/>
      <c r="Y74" s="111"/>
      <c r="Z74" s="111"/>
      <c r="AA74" s="111"/>
      <c r="AB74" s="236"/>
      <c r="AC74" s="111"/>
      <c r="AD74" s="1690"/>
      <c r="AE74" s="111"/>
      <c r="AF74" s="236"/>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row>
    <row r="75" spans="1:59" ht="15">
      <c r="A75" s="236"/>
      <c r="B75" s="111"/>
      <c r="C75" s="111"/>
      <c r="D75" s="111"/>
      <c r="E75" s="111"/>
      <c r="F75" s="111"/>
      <c r="G75" s="111"/>
      <c r="H75" s="111"/>
      <c r="I75" s="111"/>
      <c r="J75" s="111"/>
      <c r="K75" s="111"/>
      <c r="L75" s="111"/>
      <c r="M75" s="111"/>
      <c r="N75" s="111"/>
      <c r="O75" s="111"/>
      <c r="P75" s="111"/>
      <c r="Q75" s="111"/>
      <c r="R75" s="111"/>
      <c r="S75" s="111"/>
      <c r="T75" s="111"/>
      <c r="U75" s="111"/>
      <c r="V75" s="111"/>
      <c r="W75" s="111"/>
      <c r="X75" s="1691"/>
      <c r="Y75" s="111"/>
      <c r="Z75" s="111"/>
      <c r="AA75" s="111"/>
      <c r="AB75" s="236"/>
      <c r="AC75" s="111"/>
      <c r="AD75" s="1690"/>
      <c r="AE75" s="111"/>
      <c r="AF75" s="236"/>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row>
    <row r="76" spans="1:59" ht="15">
      <c r="A76" s="236"/>
      <c r="B76" s="111"/>
      <c r="C76" s="111"/>
      <c r="D76" s="111"/>
      <c r="E76" s="111"/>
      <c r="F76" s="111"/>
      <c r="G76" s="111"/>
      <c r="H76" s="111"/>
      <c r="I76" s="111"/>
      <c r="J76" s="111"/>
      <c r="K76" s="111"/>
      <c r="L76" s="111"/>
      <c r="M76" s="111"/>
      <c r="N76" s="111"/>
      <c r="O76" s="111"/>
      <c r="P76" s="111"/>
      <c r="Q76" s="111"/>
      <c r="R76" s="111"/>
      <c r="S76" s="111"/>
      <c r="T76" s="111"/>
      <c r="U76" s="111"/>
      <c r="V76" s="111"/>
      <c r="W76" s="111"/>
      <c r="X76" s="1691"/>
      <c r="Y76" s="111"/>
      <c r="Z76" s="111"/>
      <c r="AA76" s="111"/>
      <c r="AB76" s="236"/>
      <c r="AC76" s="111"/>
      <c r="AD76" s="1690"/>
      <c r="AE76" s="111"/>
      <c r="AF76" s="236"/>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row>
    <row r="77" spans="1:59" ht="15">
      <c r="A77" s="236"/>
      <c r="B77" s="111"/>
      <c r="C77" s="111"/>
      <c r="D77" s="111"/>
      <c r="E77" s="111"/>
      <c r="F77" s="111"/>
      <c r="G77" s="111"/>
      <c r="H77" s="111"/>
      <c r="I77" s="111"/>
      <c r="J77" s="111"/>
      <c r="K77" s="111"/>
      <c r="L77" s="111"/>
      <c r="M77" s="111"/>
      <c r="N77" s="111"/>
      <c r="O77" s="111"/>
      <c r="P77" s="111"/>
      <c r="Q77" s="111"/>
      <c r="R77" s="111"/>
      <c r="S77" s="111"/>
      <c r="T77" s="111"/>
      <c r="U77" s="111"/>
      <c r="V77" s="111"/>
      <c r="W77" s="111"/>
      <c r="X77" s="1691"/>
      <c r="Y77" s="111"/>
      <c r="Z77" s="111"/>
      <c r="AA77" s="111"/>
      <c r="AB77" s="236"/>
      <c r="AC77" s="111"/>
      <c r="AD77" s="1690"/>
      <c r="AE77" s="111"/>
      <c r="AF77" s="236"/>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row>
    <row r="78" spans="1:59" ht="15">
      <c r="A78" s="236"/>
      <c r="B78" s="111"/>
      <c r="C78" s="111"/>
      <c r="D78" s="111"/>
      <c r="E78" s="111"/>
      <c r="F78" s="111"/>
      <c r="G78" s="111"/>
      <c r="H78" s="111"/>
      <c r="I78" s="111"/>
      <c r="J78" s="111"/>
      <c r="K78" s="111"/>
      <c r="L78" s="111"/>
      <c r="M78" s="111"/>
      <c r="N78" s="111"/>
      <c r="O78" s="111"/>
      <c r="P78" s="111"/>
      <c r="Q78" s="111"/>
      <c r="R78" s="111"/>
      <c r="S78" s="111"/>
      <c r="T78" s="111"/>
      <c r="U78" s="111"/>
      <c r="V78" s="111"/>
      <c r="W78" s="111"/>
      <c r="X78" s="1691"/>
      <c r="Y78" s="111"/>
      <c r="Z78" s="111"/>
      <c r="AA78" s="111"/>
      <c r="AB78" s="236"/>
      <c r="AC78" s="111"/>
      <c r="AD78" s="1690"/>
      <c r="AE78" s="111"/>
      <c r="AF78" s="236"/>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row>
    <row r="79" spans="1:59" ht="15">
      <c r="A79" s="236"/>
      <c r="B79" s="111"/>
      <c r="C79" s="111"/>
      <c r="D79" s="111"/>
      <c r="E79" s="111"/>
      <c r="F79" s="111"/>
      <c r="G79" s="111"/>
      <c r="H79" s="111"/>
      <c r="I79" s="111"/>
      <c r="J79" s="111"/>
      <c r="K79" s="111"/>
      <c r="L79" s="111"/>
      <c r="M79" s="111"/>
      <c r="N79" s="111"/>
      <c r="O79" s="111"/>
      <c r="P79" s="111"/>
      <c r="Q79" s="111"/>
      <c r="R79" s="111"/>
      <c r="S79" s="111"/>
      <c r="T79" s="111"/>
      <c r="U79" s="111"/>
      <c r="V79" s="111"/>
      <c r="W79" s="111"/>
      <c r="X79" s="1691"/>
      <c r="Y79" s="111"/>
      <c r="Z79" s="111"/>
      <c r="AA79" s="111"/>
      <c r="AB79" s="236"/>
      <c r="AC79" s="111"/>
      <c r="AD79" s="1690"/>
      <c r="AE79" s="111"/>
      <c r="AF79" s="236"/>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row>
    <row r="80" spans="1:59" ht="15">
      <c r="A80" s="236"/>
      <c r="B80" s="111"/>
      <c r="C80" s="111"/>
      <c r="D80" s="111"/>
      <c r="E80" s="111"/>
      <c r="F80" s="111"/>
      <c r="G80" s="111"/>
      <c r="H80" s="111"/>
      <c r="I80" s="111"/>
      <c r="J80" s="111"/>
      <c r="K80" s="111"/>
      <c r="L80" s="111"/>
      <c r="M80" s="111"/>
      <c r="N80" s="111"/>
      <c r="O80" s="111"/>
      <c r="P80" s="111"/>
      <c r="Q80" s="111"/>
      <c r="R80" s="111"/>
      <c r="S80" s="111"/>
      <c r="T80" s="111"/>
      <c r="U80" s="111"/>
      <c r="V80" s="111"/>
      <c r="W80" s="111"/>
      <c r="X80" s="1691"/>
      <c r="Y80" s="111"/>
      <c r="Z80" s="111"/>
      <c r="AA80" s="111"/>
      <c r="AB80" s="236"/>
      <c r="AC80" s="111"/>
      <c r="AD80" s="1690"/>
      <c r="AE80" s="111"/>
      <c r="AF80" s="236"/>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row>
    <row r="81" spans="1:59" ht="15">
      <c r="A81" s="236"/>
      <c r="B81" s="111"/>
      <c r="C81" s="111"/>
      <c r="D81" s="111"/>
      <c r="E81" s="111"/>
      <c r="F81" s="111"/>
      <c r="G81" s="111"/>
      <c r="H81" s="111"/>
      <c r="I81" s="111"/>
      <c r="J81" s="111"/>
      <c r="K81" s="111"/>
      <c r="L81" s="111"/>
      <c r="M81" s="111"/>
      <c r="N81" s="111"/>
      <c r="O81" s="111"/>
      <c r="P81" s="111"/>
      <c r="Q81" s="111"/>
      <c r="R81" s="111"/>
      <c r="S81" s="111"/>
      <c r="T81" s="111"/>
      <c r="U81" s="111"/>
      <c r="V81" s="111"/>
      <c r="W81" s="111"/>
      <c r="X81" s="1691"/>
      <c r="Y81" s="111"/>
      <c r="Z81" s="111"/>
      <c r="AA81" s="111"/>
      <c r="AB81" s="236"/>
      <c r="AC81" s="111"/>
      <c r="AD81" s="1690"/>
      <c r="AE81" s="111"/>
      <c r="AF81" s="236"/>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row>
    <row r="82" spans="1:59" ht="15">
      <c r="A82" s="236"/>
      <c r="B82" s="111"/>
      <c r="C82" s="111"/>
      <c r="D82" s="111"/>
      <c r="E82" s="111"/>
      <c r="F82" s="111"/>
      <c r="G82" s="111"/>
      <c r="H82" s="111"/>
      <c r="I82" s="111"/>
      <c r="J82" s="111"/>
      <c r="K82" s="111"/>
      <c r="L82" s="111"/>
      <c r="M82" s="111"/>
      <c r="N82" s="111"/>
      <c r="O82" s="111"/>
      <c r="P82" s="111"/>
      <c r="Q82" s="111"/>
      <c r="R82" s="111"/>
      <c r="S82" s="111"/>
      <c r="T82" s="111"/>
      <c r="U82" s="111"/>
      <c r="V82" s="111"/>
      <c r="W82" s="111"/>
      <c r="X82" s="1691"/>
      <c r="Y82" s="111"/>
      <c r="Z82" s="111"/>
      <c r="AA82" s="111"/>
      <c r="AB82" s="236"/>
      <c r="AC82" s="111"/>
      <c r="AD82" s="1690"/>
      <c r="AE82" s="111"/>
      <c r="AF82" s="236"/>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row>
    <row r="83" spans="1:59" ht="15">
      <c r="A83" s="236"/>
      <c r="B83" s="111"/>
      <c r="C83" s="111"/>
      <c r="D83" s="111"/>
      <c r="E83" s="111"/>
      <c r="F83" s="111"/>
      <c r="G83" s="111"/>
      <c r="H83" s="111"/>
      <c r="I83" s="111"/>
      <c r="J83" s="111"/>
      <c r="K83" s="111"/>
      <c r="L83" s="111"/>
      <c r="M83" s="111"/>
      <c r="N83" s="111"/>
      <c r="O83" s="111"/>
      <c r="P83" s="111"/>
      <c r="Q83" s="111"/>
      <c r="R83" s="111"/>
      <c r="S83" s="111"/>
      <c r="T83" s="111"/>
      <c r="U83" s="111"/>
      <c r="V83" s="111"/>
      <c r="W83" s="111"/>
      <c r="X83" s="1691"/>
      <c r="Y83" s="111"/>
      <c r="Z83" s="111"/>
      <c r="AA83" s="111"/>
      <c r="AB83" s="236"/>
      <c r="AC83" s="111"/>
      <c r="AD83" s="1690"/>
      <c r="AE83" s="111"/>
      <c r="AF83" s="236"/>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row>
    <row r="84" spans="1:59" ht="15">
      <c r="A84" s="236"/>
      <c r="B84" s="111"/>
      <c r="C84" s="111"/>
      <c r="D84" s="111"/>
      <c r="E84" s="111"/>
      <c r="F84" s="111"/>
      <c r="G84" s="111"/>
      <c r="H84" s="111"/>
      <c r="I84" s="111"/>
      <c r="J84" s="111"/>
      <c r="K84" s="111"/>
      <c r="L84" s="111"/>
      <c r="M84" s="111"/>
      <c r="N84" s="111"/>
      <c r="O84" s="111"/>
      <c r="P84" s="111"/>
      <c r="Q84" s="111"/>
      <c r="R84" s="111"/>
      <c r="S84" s="111"/>
      <c r="T84" s="111"/>
      <c r="U84" s="111"/>
      <c r="V84" s="111"/>
      <c r="W84" s="111"/>
      <c r="X84" s="1691"/>
      <c r="Y84" s="111"/>
      <c r="Z84" s="111"/>
      <c r="AA84" s="111"/>
      <c r="AB84" s="236"/>
      <c r="AC84" s="111"/>
      <c r="AD84" s="1690"/>
      <c r="AE84" s="111"/>
      <c r="AF84" s="236"/>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row>
    <row r="85" spans="1:59" ht="15">
      <c r="A85" s="236"/>
      <c r="B85" s="111"/>
      <c r="C85" s="111"/>
      <c r="D85" s="111"/>
      <c r="E85" s="111"/>
      <c r="F85" s="111"/>
      <c r="G85" s="111"/>
      <c r="H85" s="111"/>
      <c r="I85" s="111"/>
      <c r="J85" s="111"/>
      <c r="K85" s="111"/>
      <c r="L85" s="111"/>
      <c r="M85" s="111"/>
      <c r="N85" s="111"/>
      <c r="O85" s="111"/>
      <c r="P85" s="111"/>
      <c r="Q85" s="111"/>
      <c r="R85" s="111"/>
      <c r="S85" s="111"/>
      <c r="T85" s="111"/>
      <c r="U85" s="111"/>
      <c r="V85" s="111"/>
      <c r="W85" s="111"/>
      <c r="X85" s="1691"/>
      <c r="Y85" s="111"/>
      <c r="Z85" s="111"/>
      <c r="AA85" s="111"/>
      <c r="AB85" s="236"/>
      <c r="AC85" s="111"/>
      <c r="AD85" s="1690"/>
      <c r="AE85" s="111"/>
      <c r="AF85" s="236"/>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row>
    <row r="86" spans="1:59" ht="15">
      <c r="A86" s="236"/>
      <c r="B86" s="111"/>
      <c r="C86" s="111"/>
      <c r="D86" s="111"/>
      <c r="E86" s="111"/>
      <c r="F86" s="111"/>
      <c r="G86" s="111"/>
      <c r="H86" s="111"/>
      <c r="I86" s="111"/>
      <c r="J86" s="111"/>
      <c r="K86" s="111"/>
      <c r="L86" s="111"/>
      <c r="M86" s="111"/>
      <c r="N86" s="111"/>
      <c r="O86" s="111"/>
      <c r="P86" s="111"/>
      <c r="Q86" s="111"/>
      <c r="R86" s="111"/>
      <c r="S86" s="111"/>
      <c r="T86" s="111"/>
      <c r="U86" s="111"/>
      <c r="V86" s="111"/>
      <c r="W86" s="111"/>
      <c r="X86" s="1691"/>
      <c r="Y86" s="111"/>
      <c r="Z86" s="111"/>
      <c r="AA86" s="111"/>
      <c r="AB86" s="236"/>
      <c r="AC86" s="111"/>
      <c r="AD86" s="1690"/>
      <c r="AE86" s="111"/>
      <c r="AF86" s="236"/>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row>
    <row r="87" spans="1:59" ht="15">
      <c r="A87" s="236"/>
      <c r="B87" s="111"/>
      <c r="C87" s="111"/>
      <c r="D87" s="111"/>
      <c r="E87" s="111"/>
      <c r="F87" s="111"/>
      <c r="G87" s="111"/>
      <c r="H87" s="111"/>
      <c r="I87" s="111"/>
      <c r="J87" s="111"/>
      <c r="K87" s="111"/>
      <c r="L87" s="111"/>
      <c r="M87" s="111"/>
      <c r="N87" s="111"/>
      <c r="O87" s="111"/>
      <c r="P87" s="111"/>
      <c r="Q87" s="111"/>
      <c r="R87" s="111"/>
      <c r="S87" s="111"/>
      <c r="T87" s="111"/>
      <c r="U87" s="111"/>
      <c r="V87" s="111"/>
      <c r="W87" s="111"/>
      <c r="X87" s="1691"/>
      <c r="Y87" s="111"/>
      <c r="Z87" s="111"/>
      <c r="AA87" s="111"/>
      <c r="AB87" s="236"/>
      <c r="AC87" s="111"/>
      <c r="AD87" s="1690"/>
      <c r="AE87" s="111"/>
      <c r="AF87" s="236"/>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row>
    <row r="88" spans="1:59" ht="15">
      <c r="A88" s="236"/>
      <c r="B88" s="111"/>
      <c r="C88" s="111"/>
      <c r="D88" s="111"/>
      <c r="E88" s="111"/>
      <c r="F88" s="111"/>
      <c r="G88" s="111"/>
      <c r="H88" s="111"/>
      <c r="I88" s="111"/>
      <c r="J88" s="111"/>
      <c r="K88" s="111"/>
      <c r="L88" s="111"/>
      <c r="M88" s="111"/>
      <c r="N88" s="111"/>
      <c r="O88" s="111"/>
      <c r="P88" s="111"/>
      <c r="Q88" s="111"/>
      <c r="R88" s="111"/>
      <c r="S88" s="111"/>
      <c r="T88" s="111"/>
      <c r="U88" s="111"/>
      <c r="V88" s="111"/>
      <c r="W88" s="111"/>
      <c r="X88" s="1691"/>
      <c r="Y88" s="111"/>
      <c r="Z88" s="111"/>
      <c r="AA88" s="111"/>
      <c r="AB88" s="236"/>
      <c r="AC88" s="111"/>
      <c r="AD88" s="1690"/>
      <c r="AE88" s="111"/>
      <c r="AF88" s="236"/>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row>
    <row r="89" spans="1:59" ht="15">
      <c r="A89" s="236"/>
      <c r="B89" s="111"/>
      <c r="C89" s="111"/>
      <c r="D89" s="111"/>
      <c r="E89" s="111"/>
      <c r="F89" s="111"/>
      <c r="G89" s="111"/>
      <c r="H89" s="111"/>
      <c r="I89" s="111"/>
      <c r="J89" s="111"/>
      <c r="K89" s="111"/>
      <c r="L89" s="111"/>
      <c r="M89" s="111"/>
      <c r="N89" s="111"/>
      <c r="O89" s="111"/>
      <c r="P89" s="111"/>
      <c r="Q89" s="111"/>
      <c r="R89" s="111"/>
      <c r="S89" s="111"/>
      <c r="T89" s="111"/>
      <c r="U89" s="111"/>
      <c r="V89" s="111"/>
      <c r="W89" s="111"/>
      <c r="X89" s="1691"/>
      <c r="Y89" s="111"/>
      <c r="Z89" s="111"/>
      <c r="AA89" s="111"/>
      <c r="AB89" s="236"/>
      <c r="AC89" s="111"/>
      <c r="AD89" s="1690"/>
      <c r="AE89" s="111"/>
      <c r="AF89" s="236"/>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row>
    <row r="90" spans="1:59" ht="15">
      <c r="A90" s="236"/>
      <c r="B90" s="111"/>
      <c r="C90" s="111"/>
      <c r="D90" s="111"/>
      <c r="E90" s="111"/>
      <c r="F90" s="111"/>
      <c r="G90" s="111"/>
      <c r="H90" s="111"/>
      <c r="I90" s="111"/>
      <c r="J90" s="111"/>
      <c r="K90" s="111"/>
      <c r="L90" s="111"/>
      <c r="M90" s="111"/>
      <c r="N90" s="111"/>
      <c r="O90" s="111"/>
      <c r="P90" s="111"/>
      <c r="Q90" s="111"/>
      <c r="R90" s="111"/>
      <c r="S90" s="111"/>
      <c r="T90" s="111"/>
      <c r="U90" s="111"/>
      <c r="V90" s="111"/>
      <c r="W90" s="111"/>
      <c r="X90" s="1691"/>
      <c r="Y90" s="111"/>
      <c r="Z90" s="111"/>
      <c r="AA90" s="111"/>
      <c r="AB90" s="236"/>
      <c r="AC90" s="111"/>
      <c r="AD90" s="1690"/>
      <c r="AE90" s="111"/>
      <c r="AF90" s="236"/>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row>
    <row r="91" spans="1:59" ht="15">
      <c r="A91" s="236"/>
      <c r="B91" s="111"/>
      <c r="C91" s="111"/>
      <c r="D91" s="111"/>
      <c r="E91" s="111"/>
      <c r="F91" s="111"/>
      <c r="G91" s="111"/>
      <c r="H91" s="111"/>
      <c r="I91" s="111"/>
      <c r="J91" s="111"/>
      <c r="K91" s="111"/>
      <c r="L91" s="111"/>
      <c r="M91" s="111"/>
      <c r="N91" s="111"/>
      <c r="O91" s="111"/>
      <c r="P91" s="111"/>
      <c r="Q91" s="111"/>
      <c r="R91" s="111"/>
      <c r="S91" s="111"/>
      <c r="T91" s="111"/>
      <c r="U91" s="111"/>
      <c r="V91" s="111"/>
      <c r="W91" s="111"/>
      <c r="X91" s="1691"/>
      <c r="Y91" s="111"/>
      <c r="Z91" s="111"/>
      <c r="AA91" s="111"/>
      <c r="AB91" s="236"/>
      <c r="AC91" s="111"/>
      <c r="AD91" s="1690"/>
      <c r="AE91" s="111"/>
      <c r="AF91" s="236"/>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row>
    <row r="92" spans="1:59" ht="15">
      <c r="A92" s="236"/>
      <c r="B92" s="111"/>
      <c r="C92" s="111"/>
      <c r="D92" s="111"/>
      <c r="E92" s="111"/>
      <c r="F92" s="111"/>
      <c r="G92" s="111"/>
      <c r="H92" s="111"/>
      <c r="I92" s="111"/>
      <c r="J92" s="111"/>
      <c r="K92" s="111"/>
      <c r="L92" s="111"/>
      <c r="M92" s="111"/>
      <c r="N92" s="111"/>
      <c r="O92" s="111"/>
      <c r="P92" s="111"/>
      <c r="Q92" s="111"/>
      <c r="R92" s="111"/>
      <c r="S92" s="111"/>
      <c r="T92" s="111"/>
      <c r="U92" s="111"/>
      <c r="V92" s="111"/>
      <c r="W92" s="111"/>
      <c r="X92" s="1691"/>
      <c r="Y92" s="111"/>
      <c r="Z92" s="111"/>
      <c r="AA92" s="111"/>
      <c r="AB92" s="236"/>
      <c r="AC92" s="111"/>
      <c r="AD92" s="1690"/>
      <c r="AE92" s="111"/>
      <c r="AF92" s="236"/>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row>
    <row r="93" spans="1:59" ht="15">
      <c r="A93" s="236"/>
      <c r="B93" s="111"/>
      <c r="C93" s="111"/>
      <c r="D93" s="111"/>
      <c r="E93" s="111"/>
      <c r="F93" s="111"/>
      <c r="G93" s="111"/>
      <c r="H93" s="111"/>
      <c r="I93" s="111"/>
      <c r="J93" s="111"/>
      <c r="K93" s="111"/>
      <c r="L93" s="111"/>
      <c r="M93" s="111"/>
      <c r="N93" s="111"/>
      <c r="O93" s="111"/>
      <c r="P93" s="111"/>
      <c r="Q93" s="111"/>
      <c r="R93" s="111"/>
      <c r="S93" s="111"/>
      <c r="T93" s="111"/>
      <c r="U93" s="111"/>
      <c r="V93" s="111"/>
      <c r="W93" s="111"/>
      <c r="X93" s="1691"/>
      <c r="Y93" s="111"/>
      <c r="Z93" s="111"/>
      <c r="AA93" s="111"/>
      <c r="AB93" s="236"/>
      <c r="AC93" s="111"/>
      <c r="AD93" s="1690"/>
      <c r="AE93" s="111"/>
      <c r="AF93" s="236"/>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row>
    <row r="94" spans="1:59" ht="15">
      <c r="A94" s="236"/>
      <c r="B94" s="111"/>
      <c r="C94" s="111"/>
      <c r="D94" s="111"/>
      <c r="E94" s="111"/>
      <c r="F94" s="111"/>
      <c r="G94" s="111"/>
      <c r="H94" s="111"/>
      <c r="I94" s="111"/>
      <c r="J94" s="111"/>
      <c r="K94" s="111"/>
      <c r="L94" s="111"/>
      <c r="M94" s="111"/>
      <c r="N94" s="111"/>
      <c r="O94" s="111"/>
      <c r="P94" s="111"/>
      <c r="Q94" s="111"/>
      <c r="R94" s="111"/>
      <c r="S94" s="111"/>
      <c r="T94" s="111"/>
      <c r="U94" s="111"/>
      <c r="V94" s="111"/>
      <c r="W94" s="111"/>
      <c r="X94" s="1691"/>
      <c r="Y94" s="111"/>
      <c r="Z94" s="111"/>
      <c r="AA94" s="111"/>
      <c r="AB94" s="236"/>
      <c r="AC94" s="111"/>
      <c r="AD94" s="1690"/>
      <c r="AE94" s="111"/>
      <c r="AF94" s="236"/>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row>
    <row r="95" spans="1:59" ht="15">
      <c r="A95" s="236"/>
      <c r="B95" s="111"/>
      <c r="C95" s="111"/>
      <c r="D95" s="111"/>
      <c r="E95" s="111"/>
      <c r="F95" s="111"/>
      <c r="G95" s="111"/>
      <c r="H95" s="111"/>
      <c r="I95" s="111"/>
      <c r="J95" s="111"/>
      <c r="K95" s="111"/>
      <c r="L95" s="111"/>
      <c r="M95" s="111"/>
      <c r="N95" s="111"/>
      <c r="O95" s="111"/>
      <c r="P95" s="111"/>
      <c r="Q95" s="111"/>
      <c r="R95" s="111"/>
      <c r="S95" s="111"/>
      <c r="T95" s="111"/>
      <c r="U95" s="111"/>
      <c r="V95" s="111"/>
      <c r="W95" s="111"/>
      <c r="X95" s="1691"/>
      <c r="Y95" s="111"/>
      <c r="Z95" s="111"/>
      <c r="AA95" s="111"/>
      <c r="AB95" s="236"/>
      <c r="AC95" s="111"/>
      <c r="AD95" s="1690"/>
      <c r="AE95" s="111"/>
      <c r="AF95" s="236"/>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row>
    <row r="96" spans="1:59" ht="15">
      <c r="A96" s="236"/>
      <c r="B96" s="111"/>
      <c r="C96" s="111"/>
      <c r="D96" s="111"/>
      <c r="E96" s="111"/>
      <c r="F96" s="111"/>
      <c r="G96" s="111"/>
      <c r="H96" s="111"/>
      <c r="I96" s="111"/>
      <c r="J96" s="111"/>
      <c r="K96" s="111"/>
      <c r="L96" s="111"/>
      <c r="M96" s="111"/>
      <c r="N96" s="111"/>
      <c r="O96" s="111"/>
      <c r="P96" s="111"/>
      <c r="Q96" s="111"/>
      <c r="R96" s="111"/>
      <c r="S96" s="111"/>
      <c r="T96" s="111"/>
      <c r="U96" s="111"/>
      <c r="V96" s="111"/>
      <c r="W96" s="111"/>
      <c r="X96" s="1691"/>
      <c r="Y96" s="111"/>
      <c r="Z96" s="111"/>
      <c r="AA96" s="111"/>
      <c r="AB96" s="236"/>
      <c r="AC96" s="111"/>
      <c r="AD96" s="1690"/>
      <c r="AE96" s="111"/>
      <c r="AF96" s="236"/>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row>
    <row r="97" spans="1:59" ht="15">
      <c r="A97" s="236"/>
      <c r="B97" s="111"/>
      <c r="C97" s="111"/>
      <c r="D97" s="111"/>
      <c r="E97" s="111"/>
      <c r="F97" s="111"/>
      <c r="G97" s="111"/>
      <c r="H97" s="111"/>
      <c r="I97" s="111"/>
      <c r="J97" s="111"/>
      <c r="K97" s="111"/>
      <c r="L97" s="111"/>
      <c r="M97" s="111"/>
      <c r="N97" s="111"/>
      <c r="O97" s="111"/>
      <c r="P97" s="111"/>
      <c r="Q97" s="111"/>
      <c r="R97" s="111"/>
      <c r="S97" s="111"/>
      <c r="T97" s="111"/>
      <c r="U97" s="111"/>
      <c r="V97" s="111"/>
      <c r="W97" s="111"/>
      <c r="X97" s="1691"/>
      <c r="Y97" s="111"/>
      <c r="Z97" s="111"/>
      <c r="AA97" s="111"/>
      <c r="AB97" s="236"/>
      <c r="AC97" s="111"/>
      <c r="AD97" s="1690"/>
      <c r="AE97" s="111"/>
      <c r="AF97" s="236"/>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row>
    <row r="98" spans="1:59" ht="15">
      <c r="A98" s="236"/>
      <c r="B98" s="111"/>
      <c r="C98" s="111"/>
      <c r="D98" s="111"/>
      <c r="E98" s="111"/>
      <c r="F98" s="111"/>
      <c r="G98" s="111"/>
      <c r="H98" s="111"/>
      <c r="I98" s="111"/>
      <c r="J98" s="111"/>
      <c r="K98" s="111"/>
      <c r="L98" s="111"/>
      <c r="M98" s="111"/>
      <c r="N98" s="111"/>
      <c r="O98" s="111"/>
      <c r="P98" s="111"/>
      <c r="Q98" s="111"/>
      <c r="R98" s="111"/>
      <c r="S98" s="111"/>
      <c r="T98" s="111"/>
      <c r="U98" s="111"/>
      <c r="V98" s="111"/>
      <c r="W98" s="111"/>
      <c r="X98" s="1691"/>
      <c r="Y98" s="111"/>
      <c r="Z98" s="111"/>
      <c r="AA98" s="111"/>
      <c r="AB98" s="236"/>
      <c r="AC98" s="111"/>
      <c r="AD98" s="1690"/>
      <c r="AE98" s="111"/>
      <c r="AF98" s="236"/>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row>
    <row r="99" spans="1:59" ht="15">
      <c r="A99" s="236"/>
      <c r="B99" s="111"/>
      <c r="C99" s="111"/>
      <c r="D99" s="111"/>
      <c r="E99" s="111"/>
      <c r="F99" s="111"/>
      <c r="G99" s="111"/>
      <c r="H99" s="111"/>
      <c r="I99" s="111"/>
      <c r="J99" s="111"/>
      <c r="K99" s="111"/>
      <c r="L99" s="111"/>
      <c r="M99" s="111"/>
      <c r="N99" s="111"/>
      <c r="O99" s="111"/>
      <c r="P99" s="111"/>
      <c r="Q99" s="111"/>
      <c r="R99" s="111"/>
      <c r="S99" s="111"/>
      <c r="T99" s="111"/>
      <c r="U99" s="111"/>
      <c r="V99" s="111"/>
      <c r="W99" s="111"/>
      <c r="X99" s="1691"/>
      <c r="Y99" s="111"/>
      <c r="Z99" s="111"/>
      <c r="AA99" s="111"/>
      <c r="AB99" s="236"/>
      <c r="AC99" s="111"/>
      <c r="AD99" s="1690"/>
      <c r="AE99" s="111"/>
      <c r="AF99" s="236"/>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row>
    <row r="100" spans="1:59" ht="15">
      <c r="A100" s="236"/>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691"/>
      <c r="Y100" s="111"/>
      <c r="Z100" s="111"/>
      <c r="AA100" s="111"/>
      <c r="AB100" s="236"/>
      <c r="AC100" s="111"/>
      <c r="AD100" s="1690"/>
      <c r="AE100" s="111"/>
      <c r="AF100" s="236"/>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row>
    <row r="101" spans="1:59" ht="15">
      <c r="A101" s="236"/>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691"/>
      <c r="Y101" s="111"/>
      <c r="Z101" s="111"/>
      <c r="AA101" s="111"/>
      <c r="AB101" s="236"/>
      <c r="AC101" s="111"/>
      <c r="AD101" s="1690"/>
      <c r="AE101" s="111"/>
      <c r="AF101" s="236"/>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row>
    <row r="102" spans="1:59" ht="15">
      <c r="A102" s="236"/>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691"/>
      <c r="Y102" s="111"/>
      <c r="Z102" s="111"/>
      <c r="AA102" s="111"/>
      <c r="AB102" s="236"/>
      <c r="AC102" s="111"/>
      <c r="AD102" s="1690"/>
      <c r="AE102" s="111"/>
      <c r="AF102" s="236"/>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row>
    <row r="103" spans="1:59" ht="15">
      <c r="A103" s="236"/>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691"/>
      <c r="Y103" s="111"/>
      <c r="Z103" s="111"/>
      <c r="AA103" s="111"/>
      <c r="AB103" s="236"/>
      <c r="AC103" s="111"/>
      <c r="AD103" s="1690"/>
      <c r="AE103" s="111"/>
      <c r="AF103" s="236"/>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row>
    <row r="104" spans="1:59" ht="15">
      <c r="A104" s="236"/>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691"/>
      <c r="Y104" s="111"/>
      <c r="Z104" s="111"/>
      <c r="AA104" s="111"/>
      <c r="AB104" s="236"/>
      <c r="AC104" s="111"/>
      <c r="AD104" s="1690"/>
      <c r="AE104" s="111"/>
      <c r="AF104" s="236"/>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row>
    <row r="105" spans="1:59" ht="15">
      <c r="A105" s="236"/>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691"/>
      <c r="Y105" s="111"/>
      <c r="Z105" s="111"/>
      <c r="AA105" s="111"/>
      <c r="AB105" s="236"/>
      <c r="AC105" s="111"/>
      <c r="AD105" s="1690"/>
      <c r="AE105" s="111"/>
      <c r="AF105" s="236"/>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row>
    <row r="106" spans="1:59" ht="15">
      <c r="A106" s="236"/>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691"/>
      <c r="Y106" s="111"/>
      <c r="Z106" s="111"/>
      <c r="AA106" s="111"/>
      <c r="AB106" s="236"/>
      <c r="AC106" s="111"/>
      <c r="AD106" s="1690"/>
      <c r="AE106" s="111"/>
      <c r="AF106" s="236"/>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row>
    <row r="107" spans="1:59" ht="15">
      <c r="A107" s="236"/>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691"/>
      <c r="Y107" s="111"/>
      <c r="Z107" s="111"/>
      <c r="AA107" s="111"/>
      <c r="AB107" s="236"/>
      <c r="AC107" s="111"/>
      <c r="AD107" s="1690"/>
      <c r="AE107" s="111"/>
      <c r="AF107" s="236"/>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row>
    <row r="108" spans="1:59" ht="15">
      <c r="A108" s="236"/>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691"/>
      <c r="Y108" s="111"/>
      <c r="Z108" s="111"/>
      <c r="AA108" s="111"/>
      <c r="AB108" s="236"/>
      <c r="AC108" s="111"/>
      <c r="AD108" s="1690"/>
      <c r="AE108" s="111"/>
      <c r="AF108" s="236"/>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row>
    <row r="109" spans="1:59" ht="15">
      <c r="A109" s="236"/>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691"/>
      <c r="Y109" s="111"/>
      <c r="Z109" s="111"/>
      <c r="AA109" s="111"/>
      <c r="AB109" s="236"/>
      <c r="AC109" s="111"/>
      <c r="AD109" s="1690"/>
      <c r="AE109" s="111"/>
      <c r="AF109" s="236"/>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row>
    <row r="110" spans="1:59" ht="15">
      <c r="A110" s="236"/>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691"/>
      <c r="Y110" s="111"/>
      <c r="Z110" s="111"/>
      <c r="AA110" s="111"/>
      <c r="AB110" s="236"/>
      <c r="AC110" s="111"/>
      <c r="AD110" s="1690"/>
      <c r="AE110" s="111"/>
      <c r="AF110" s="236"/>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row>
  </sheetData>
  <mergeCells count="2">
    <mergeCell ref="A66:V66"/>
    <mergeCell ref="A67:T67"/>
  </mergeCells>
  <printOptions horizontalCentered="1"/>
  <pageMargins left="0.6" right="0.5" top="0.75" bottom="0.25" header="0" footer="0.25"/>
  <pageSetup scale="36" firstPageNumber="111" orientation="landscape" useFirstPageNumber="1"/>
  <headerFooter scaleWithDoc="0">
    <oddFooter xml:space="preserve">&amp;R&amp;8&amp;P&amp;12
</oddFooter>
  </headerFooter>
  <ignoredErrors>
    <ignoredError sqref="AD43 AD48" formulaRange="1"/>
  </ignoredError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showOutlineSymbols="0" workbookViewId="0"/>
  </sheetViews>
  <sheetFormatPr baseColWidth="10" defaultColWidth="9.5703125" defaultRowHeight="13" x14ac:dyDescent="0"/>
  <cols>
    <col min="1" max="1" width="57.42578125" style="4" customWidth="1"/>
    <col min="2" max="2" width="3.5703125" style="4" customWidth="1"/>
    <col min="3" max="3" width="14.5703125" style="4" customWidth="1"/>
    <col min="4" max="4" width="4.5703125" style="4" customWidth="1"/>
    <col min="5" max="5" width="13.85546875" style="4" customWidth="1"/>
    <col min="6" max="6" width="4.5703125" style="4" customWidth="1"/>
    <col min="7" max="7" width="13" style="4" customWidth="1"/>
    <col min="8" max="8" width="4.5703125" style="4" customWidth="1"/>
    <col min="9" max="9" width="16.140625" style="4" customWidth="1"/>
    <col min="10" max="10" width="9.5703125" style="4" customWidth="1"/>
    <col min="11" max="11" width="12.5703125" style="4" customWidth="1"/>
    <col min="12" max="16384" width="9.5703125" style="4"/>
  </cols>
  <sheetData>
    <row r="1" spans="1:11" ht="15">
      <c r="A1" s="1582" t="s">
        <v>1443</v>
      </c>
    </row>
    <row r="3" spans="1:11" ht="14.25" customHeight="1">
      <c r="A3" s="1012" t="s">
        <v>923</v>
      </c>
      <c r="B3" s="1013"/>
      <c r="C3" s="1013"/>
      <c r="D3" s="1013"/>
      <c r="E3" s="1013" t="s">
        <v>6</v>
      </c>
      <c r="F3" s="1013"/>
      <c r="G3" s="1013"/>
      <c r="H3" s="1013"/>
      <c r="I3" s="1013"/>
    </row>
    <row r="4" spans="1:11" ht="14.25" customHeight="1">
      <c r="A4" s="1012" t="s">
        <v>924</v>
      </c>
      <c r="B4" s="1013"/>
      <c r="C4" s="1013"/>
      <c r="D4" s="1013"/>
      <c r="E4" s="1013"/>
      <c r="F4" s="1013"/>
      <c r="G4" s="1013"/>
      <c r="H4" s="1013"/>
      <c r="I4" s="1013" t="s">
        <v>6</v>
      </c>
    </row>
    <row r="5" spans="1:11" ht="14.25" customHeight="1">
      <c r="A5" s="1012" t="s">
        <v>2579</v>
      </c>
      <c r="B5" s="1013"/>
      <c r="C5" s="1013"/>
      <c r="D5" s="1013"/>
      <c r="E5" s="1013"/>
      <c r="F5" s="1013"/>
      <c r="G5" s="1012"/>
      <c r="H5" s="1013"/>
      <c r="I5" s="965" t="s">
        <v>2448</v>
      </c>
    </row>
    <row r="6" spans="1:11" ht="14.25" customHeight="1">
      <c r="A6" s="1014" t="s">
        <v>2623</v>
      </c>
      <c r="B6" s="1013"/>
      <c r="C6" s="1013"/>
      <c r="D6" s="1013"/>
      <c r="E6" s="1013"/>
      <c r="F6" s="1013"/>
      <c r="G6" s="1013"/>
      <c r="H6" s="1013"/>
      <c r="I6" s="1013"/>
    </row>
    <row r="7" spans="1:11" ht="14.25" customHeight="1">
      <c r="A7" s="1012" t="s">
        <v>882</v>
      </c>
      <c r="B7" s="1013"/>
      <c r="C7" s="1013"/>
      <c r="D7" s="1013"/>
      <c r="E7" s="1013"/>
      <c r="F7" s="1013"/>
      <c r="G7" s="1013"/>
      <c r="H7" s="1013"/>
      <c r="I7" s="1013"/>
    </row>
    <row r="8" spans="1:11" ht="15.75" customHeight="1">
      <c r="A8" s="1013"/>
      <c r="B8" s="1013"/>
      <c r="C8" s="1013"/>
      <c r="D8" s="1013"/>
      <c r="E8" s="1013"/>
      <c r="F8" s="1013"/>
      <c r="G8" s="1013"/>
      <c r="H8" s="1013"/>
      <c r="I8" s="1013"/>
    </row>
    <row r="9" spans="1:11" ht="15.75" customHeight="1">
      <c r="A9" s="1013"/>
      <c r="B9" s="1013"/>
      <c r="C9" s="1012"/>
      <c r="D9" s="1012"/>
      <c r="E9" s="1012"/>
      <c r="F9" s="1012"/>
      <c r="G9" s="1012"/>
      <c r="H9" s="1013"/>
      <c r="I9" s="1013"/>
    </row>
    <row r="10" spans="1:11" ht="15.75" customHeight="1">
      <c r="A10" s="1013"/>
      <c r="B10" s="1013"/>
      <c r="C10" s="1012"/>
      <c r="D10" s="1012"/>
      <c r="E10" s="1012"/>
      <c r="F10" s="1012"/>
      <c r="G10" s="1012"/>
      <c r="H10" s="1013"/>
      <c r="I10" s="1012"/>
    </row>
    <row r="11" spans="1:11">
      <c r="A11" s="1013"/>
      <c r="B11" s="1013"/>
      <c r="C11" s="1015" t="s">
        <v>925</v>
      </c>
      <c r="D11" s="1012"/>
      <c r="E11" s="1012"/>
      <c r="F11" s="1012"/>
      <c r="G11" s="1016" t="s">
        <v>926</v>
      </c>
      <c r="H11" s="1017"/>
      <c r="I11" s="1016"/>
    </row>
    <row r="12" spans="1:11">
      <c r="A12" s="1015" t="s">
        <v>927</v>
      </c>
      <c r="B12" s="1013"/>
      <c r="C12" s="1015" t="s">
        <v>928</v>
      </c>
      <c r="D12" s="1012"/>
      <c r="E12" s="1015" t="s">
        <v>929</v>
      </c>
      <c r="F12" s="1012"/>
      <c r="G12" s="1018" t="s">
        <v>2584</v>
      </c>
      <c r="H12" s="1019"/>
      <c r="I12" s="1018" t="s">
        <v>1917</v>
      </c>
    </row>
    <row r="13" spans="1:11" ht="7.5" customHeight="1">
      <c r="A13" s="1019"/>
      <c r="B13" s="1013"/>
      <c r="C13" s="1019"/>
      <c r="D13" s="1013"/>
      <c r="E13" s="1019"/>
      <c r="F13" s="1013"/>
      <c r="G13" s="1019"/>
      <c r="H13" s="1013"/>
      <c r="I13" s="1019"/>
    </row>
    <row r="14" spans="1:11" s="45" customFormat="1" ht="14" customHeight="1">
      <c r="A14" s="1020" t="s">
        <v>930</v>
      </c>
      <c r="B14" s="1021"/>
      <c r="C14" s="1022"/>
      <c r="D14" s="1021"/>
      <c r="E14" s="1023"/>
      <c r="F14" s="1024"/>
      <c r="G14" s="1025" t="s">
        <v>6</v>
      </c>
      <c r="H14" s="1024"/>
      <c r="I14" s="1026" t="s">
        <v>6</v>
      </c>
    </row>
    <row r="15" spans="1:11" s="45" customFormat="1" ht="19.5" customHeight="1">
      <c r="A15" s="1002"/>
      <c r="B15" s="1039" t="s">
        <v>6</v>
      </c>
      <c r="C15" s="1027"/>
      <c r="D15" s="907"/>
      <c r="E15" s="1028"/>
      <c r="F15" s="1029"/>
      <c r="G15" s="1011"/>
      <c r="H15" s="1029"/>
      <c r="I15" s="1030"/>
    </row>
    <row r="16" spans="1:11" ht="14" customHeight="1">
      <c r="A16" s="1012" t="s">
        <v>931</v>
      </c>
      <c r="B16" s="1039" t="s">
        <v>6</v>
      </c>
      <c r="C16" s="1031"/>
      <c r="D16" s="1032"/>
      <c r="E16" s="1031"/>
      <c r="F16" s="1032"/>
      <c r="G16" s="1031"/>
      <c r="H16" s="1032"/>
      <c r="I16" s="1031"/>
      <c r="J16" s="126"/>
      <c r="K16" s="126"/>
    </row>
    <row r="17" spans="1:22" ht="14" customHeight="1">
      <c r="A17" s="1013" t="s">
        <v>2575</v>
      </c>
      <c r="B17" s="1039" t="s">
        <v>6</v>
      </c>
      <c r="C17" s="1033">
        <v>11230</v>
      </c>
      <c r="D17" s="965"/>
      <c r="E17" s="1033">
        <v>219529</v>
      </c>
      <c r="F17" s="965"/>
      <c r="G17" s="1034">
        <f>ROUND(SUM(C17:F17),1)</f>
        <v>230759</v>
      </c>
      <c r="H17" s="965"/>
      <c r="I17" s="1033">
        <v>194426</v>
      </c>
      <c r="J17" s="126"/>
      <c r="K17" s="126"/>
    </row>
    <row r="18" spans="1:22" ht="14" customHeight="1">
      <c r="A18" s="1035" t="s">
        <v>2574</v>
      </c>
      <c r="B18" s="1039" t="s">
        <v>6</v>
      </c>
      <c r="C18" s="1036">
        <v>9981</v>
      </c>
      <c r="D18" s="1037"/>
      <c r="E18" s="1036">
        <v>2217073</v>
      </c>
      <c r="F18" s="1037"/>
      <c r="G18" s="1038">
        <f>ROUND(SUM(C18:F18),1)</f>
        <v>2227054</v>
      </c>
      <c r="H18" s="1037"/>
      <c r="I18" s="1036">
        <v>2328736</v>
      </c>
      <c r="J18" s="126"/>
      <c r="K18" s="126"/>
    </row>
    <row r="19" spans="1:22" ht="14" customHeight="1">
      <c r="A19" s="1013" t="s">
        <v>1440</v>
      </c>
      <c r="B19" s="1039" t="s">
        <v>6</v>
      </c>
      <c r="C19" s="1036">
        <v>473</v>
      </c>
      <c r="D19" s="1037"/>
      <c r="E19" s="1036">
        <v>81179</v>
      </c>
      <c r="F19" s="1037"/>
      <c r="G19" s="1038">
        <f t="shared" ref="G19:G24" si="0">ROUND(SUM(C19:F19),1)</f>
        <v>81652</v>
      </c>
      <c r="H19" s="1037"/>
      <c r="I19" s="1038">
        <v>88846</v>
      </c>
      <c r="J19" s="126"/>
      <c r="K19" s="126"/>
    </row>
    <row r="20" spans="1:22" ht="14" customHeight="1">
      <c r="A20" s="1013" t="s">
        <v>2573</v>
      </c>
      <c r="B20" s="1039" t="s">
        <v>6</v>
      </c>
      <c r="C20" s="1036">
        <v>1972</v>
      </c>
      <c r="D20" s="1037"/>
      <c r="E20" s="1040">
        <v>91681</v>
      </c>
      <c r="F20" s="1037"/>
      <c r="G20" s="1038">
        <f t="shared" si="0"/>
        <v>93653</v>
      </c>
      <c r="H20" s="1037"/>
      <c r="I20" s="1041">
        <v>99713</v>
      </c>
      <c r="J20" s="126"/>
      <c r="K20" s="126"/>
    </row>
    <row r="21" spans="1:22" ht="14" customHeight="1">
      <c r="A21" s="1013" t="s">
        <v>932</v>
      </c>
      <c r="B21" s="1039" t="s">
        <v>6</v>
      </c>
      <c r="C21" s="1040">
        <v>3453</v>
      </c>
      <c r="D21" s="1037"/>
      <c r="E21" s="1040">
        <v>389550</v>
      </c>
      <c r="F21" s="1037"/>
      <c r="G21" s="1038">
        <f t="shared" si="0"/>
        <v>393003</v>
      </c>
      <c r="H21" s="1037"/>
      <c r="I21" s="1042">
        <v>394786</v>
      </c>
      <c r="J21" s="126"/>
      <c r="K21" s="126"/>
    </row>
    <row r="22" spans="1:22" ht="14" customHeight="1">
      <c r="A22" s="1013" t="s">
        <v>933</v>
      </c>
      <c r="B22" s="1039" t="s">
        <v>6</v>
      </c>
      <c r="C22" s="1043">
        <v>0</v>
      </c>
      <c r="D22" s="1037"/>
      <c r="E22" s="1040">
        <v>84084</v>
      </c>
      <c r="F22" s="1037"/>
      <c r="G22" s="1038">
        <f t="shared" si="0"/>
        <v>84084</v>
      </c>
      <c r="H22" s="1037"/>
      <c r="I22" s="1042">
        <v>79857</v>
      </c>
      <c r="J22" s="126"/>
      <c r="K22" s="126"/>
    </row>
    <row r="23" spans="1:22" ht="14" customHeight="1">
      <c r="A23" s="1013" t="s">
        <v>1954</v>
      </c>
      <c r="B23" s="1039" t="s">
        <v>6</v>
      </c>
      <c r="C23" s="1036">
        <v>647</v>
      </c>
      <c r="D23" s="1037"/>
      <c r="E23" s="1040">
        <v>921064</v>
      </c>
      <c r="F23" s="1037"/>
      <c r="G23" s="1038">
        <f t="shared" si="0"/>
        <v>921711</v>
      </c>
      <c r="H23" s="1037"/>
      <c r="I23" s="1042">
        <v>1275435</v>
      </c>
      <c r="J23" s="126"/>
      <c r="K23" s="126"/>
    </row>
    <row r="24" spans="1:22" ht="14" customHeight="1">
      <c r="A24" s="1013" t="s">
        <v>934</v>
      </c>
      <c r="B24" s="1039" t="s">
        <v>6</v>
      </c>
      <c r="C24" s="1036">
        <v>8235</v>
      </c>
      <c r="D24" s="1037"/>
      <c r="E24" s="1040">
        <v>1181537</v>
      </c>
      <c r="F24" s="1037"/>
      <c r="G24" s="1038">
        <f t="shared" si="0"/>
        <v>1189772</v>
      </c>
      <c r="H24" s="1037"/>
      <c r="I24" s="1042">
        <v>1322892</v>
      </c>
      <c r="J24" s="126"/>
      <c r="K24" s="126"/>
    </row>
    <row r="25" spans="1:22" ht="6.75" customHeight="1">
      <c r="A25" s="1013"/>
      <c r="B25" s="1039" t="s">
        <v>6</v>
      </c>
      <c r="C25" s="1044"/>
      <c r="D25" s="1037"/>
      <c r="E25" s="1044"/>
      <c r="F25" s="1037"/>
      <c r="G25" s="1044" t="s">
        <v>6</v>
      </c>
      <c r="H25" s="1037"/>
      <c r="I25" s="1044" t="s">
        <v>6</v>
      </c>
      <c r="J25" s="126"/>
      <c r="K25" s="126"/>
    </row>
    <row r="26" spans="1:22" s="157" customFormat="1" ht="14" customHeight="1">
      <c r="A26" s="1012" t="s">
        <v>1441</v>
      </c>
      <c r="B26" s="1039" t="s">
        <v>6</v>
      </c>
      <c r="C26" s="1045">
        <f>ROUND(SUM(C17:C24),1)</f>
        <v>35991</v>
      </c>
      <c r="D26" s="1046"/>
      <c r="E26" s="1045">
        <f>ROUND(SUM(E17:E24),1)</f>
        <v>5185697</v>
      </c>
      <c r="F26" s="1046"/>
      <c r="G26" s="1045">
        <f>ROUND(SUM(G17:G24),1)</f>
        <v>5221688</v>
      </c>
      <c r="H26" s="1046"/>
      <c r="I26" s="1045">
        <f>ROUND(SUM(I17:I24),1)</f>
        <v>5784691</v>
      </c>
      <c r="J26" s="1047"/>
      <c r="K26" s="1047"/>
    </row>
    <row r="27" spans="1:22" ht="13.5" customHeight="1">
      <c r="A27" s="1012"/>
      <c r="B27" s="1039" t="s">
        <v>6</v>
      </c>
      <c r="C27" s="1038"/>
      <c r="D27" s="1037"/>
      <c r="E27" s="1038"/>
      <c r="F27" s="1037"/>
      <c r="G27" s="1038"/>
      <c r="H27" s="1037"/>
      <c r="I27" s="1038"/>
      <c r="J27" s="1048"/>
      <c r="K27" s="1048"/>
    </row>
    <row r="28" spans="1:22" ht="14" customHeight="1">
      <c r="A28" s="1012" t="s">
        <v>935</v>
      </c>
      <c r="B28" s="1039" t="s">
        <v>6</v>
      </c>
      <c r="C28" s="1049">
        <v>0</v>
      </c>
      <c r="D28" s="1037"/>
      <c r="E28" s="1040">
        <v>122498</v>
      </c>
      <c r="F28" s="1037"/>
      <c r="G28" s="1038">
        <f>ROUND(SUM(C28:F28),1)</f>
        <v>122498</v>
      </c>
      <c r="H28" s="1037"/>
      <c r="I28" s="1042">
        <v>132007</v>
      </c>
      <c r="J28" s="126"/>
      <c r="K28" s="126"/>
    </row>
    <row r="29" spans="1:22" ht="14" customHeight="1">
      <c r="A29" s="1012"/>
      <c r="B29" s="1039" t="s">
        <v>6</v>
      </c>
      <c r="C29" s="1040"/>
      <c r="D29" s="1037"/>
      <c r="E29" s="1040"/>
      <c r="F29" s="1037"/>
      <c r="G29" s="1038" t="s">
        <v>6</v>
      </c>
      <c r="H29" s="1037"/>
      <c r="I29" s="1042" t="s">
        <v>6</v>
      </c>
      <c r="J29" s="126"/>
      <c r="K29" s="126"/>
    </row>
    <row r="30" spans="1:22" ht="14" customHeight="1">
      <c r="A30" s="1012" t="s">
        <v>936</v>
      </c>
      <c r="B30" s="1039" t="s">
        <v>6</v>
      </c>
      <c r="C30" s="1049">
        <v>0</v>
      </c>
      <c r="D30" s="1037"/>
      <c r="E30" s="1040">
        <v>290290</v>
      </c>
      <c r="F30" s="1037"/>
      <c r="G30" s="1038">
        <f>ROUND(SUM(C30:F30),1)</f>
        <v>290290</v>
      </c>
      <c r="H30" s="1037"/>
      <c r="I30" s="1042">
        <v>304435</v>
      </c>
      <c r="J30" s="126"/>
      <c r="K30" s="126"/>
    </row>
    <row r="31" spans="1:22" ht="14" customHeight="1">
      <c r="A31" s="1012"/>
      <c r="B31" s="1039" t="s">
        <v>6</v>
      </c>
      <c r="C31" s="1040"/>
      <c r="D31" s="1037"/>
      <c r="E31" s="1040"/>
      <c r="F31" s="1037"/>
      <c r="G31" s="1038"/>
      <c r="H31" s="1037"/>
      <c r="I31" s="1042"/>
      <c r="J31" s="126"/>
      <c r="K31" s="126"/>
    </row>
    <row r="32" spans="1:22" ht="14" customHeight="1">
      <c r="A32" s="1012" t="s">
        <v>937</v>
      </c>
      <c r="B32" s="1039" t="s">
        <v>6</v>
      </c>
      <c r="C32" s="1031"/>
      <c r="D32" s="1037"/>
      <c r="E32" s="1031"/>
      <c r="F32" s="1037"/>
      <c r="G32" s="1031"/>
      <c r="H32" s="1037"/>
      <c r="I32" s="1031"/>
      <c r="J32" s="1048"/>
      <c r="K32" s="1048"/>
      <c r="L32" s="1050"/>
      <c r="M32" s="1050"/>
      <c r="N32" s="1050"/>
      <c r="O32" s="1050"/>
      <c r="P32" s="1050"/>
      <c r="Q32" s="1050"/>
      <c r="R32" s="1050"/>
      <c r="S32" s="1050"/>
      <c r="T32" s="1050"/>
      <c r="U32" s="1050"/>
      <c r="V32" s="1050"/>
    </row>
    <row r="33" spans="1:11" ht="14" customHeight="1">
      <c r="A33" s="1012" t="s">
        <v>938</v>
      </c>
      <c r="B33" s="1039" t="s">
        <v>6</v>
      </c>
      <c r="C33" s="1040">
        <v>625</v>
      </c>
      <c r="D33" s="1037"/>
      <c r="E33" s="1049">
        <v>0</v>
      </c>
      <c r="F33" s="1037"/>
      <c r="G33" s="1038">
        <f>ROUND(SUM(C33:F33),1)</f>
        <v>625</v>
      </c>
      <c r="H33" s="1037"/>
      <c r="I33" s="1041">
        <v>339</v>
      </c>
      <c r="J33" s="1051"/>
      <c r="K33" s="1051"/>
    </row>
    <row r="34" spans="1:11" ht="14" customHeight="1">
      <c r="A34" s="1012"/>
      <c r="B34" s="1039" t="s">
        <v>6</v>
      </c>
      <c r="C34" s="1044"/>
      <c r="D34" s="1013"/>
      <c r="E34" s="1044"/>
      <c r="F34" s="1052"/>
      <c r="G34" s="1044"/>
      <c r="H34" s="1052"/>
      <c r="I34" s="1044"/>
      <c r="J34" s="1051"/>
      <c r="K34" s="1051"/>
    </row>
    <row r="35" spans="1:11" ht="14.5" customHeight="1" thickBot="1">
      <c r="A35" s="1012" t="s">
        <v>1449</v>
      </c>
      <c r="B35" s="1039" t="s">
        <v>6</v>
      </c>
      <c r="C35" s="1053">
        <f>ROUND(SUM(C26:C33),1)</f>
        <v>36616</v>
      </c>
      <c r="D35" s="965"/>
      <c r="E35" s="1053">
        <f>ROUND(SUM(E26:E33),1)</f>
        <v>5598485</v>
      </c>
      <c r="F35" s="965"/>
      <c r="G35" s="1053">
        <f>ROUND(SUM(G26:G33),1)</f>
        <v>5635101</v>
      </c>
      <c r="H35" s="965"/>
      <c r="I35" s="1053">
        <f>ROUND(SUM(I26:I33),1)</f>
        <v>6221472</v>
      </c>
      <c r="J35" s="164"/>
      <c r="K35" s="164"/>
    </row>
    <row r="36" spans="1:11" ht="14" customHeight="1" thickTop="1">
      <c r="A36" s="252" t="s">
        <v>547</v>
      </c>
      <c r="B36" s="252"/>
      <c r="C36" s="1009"/>
      <c r="D36" s="252"/>
      <c r="E36" s="1009"/>
      <c r="F36" s="252"/>
      <c r="G36" s="1009"/>
      <c r="H36" s="252"/>
      <c r="I36" s="1009"/>
      <c r="J36" s="164"/>
      <c r="K36" s="164"/>
    </row>
    <row r="37" spans="1:11" ht="14.25" customHeight="1">
      <c r="A37" s="3" t="s">
        <v>939</v>
      </c>
      <c r="B37" s="252"/>
      <c r="C37" s="252"/>
      <c r="D37" s="252"/>
      <c r="E37" s="1010"/>
      <c r="F37" s="252"/>
      <c r="G37" s="252"/>
      <c r="H37" s="252"/>
      <c r="I37" s="1010"/>
      <c r="J37" s="164"/>
      <c r="K37" s="164"/>
    </row>
    <row r="38" spans="1:11" ht="12.75" customHeight="1">
      <c r="A38" s="3" t="s">
        <v>940</v>
      </c>
      <c r="B38" s="252"/>
      <c r="C38" s="252"/>
      <c r="D38" s="252"/>
      <c r="E38" s="252"/>
      <c r="F38" s="252"/>
      <c r="G38" s="252"/>
      <c r="H38" s="252"/>
      <c r="I38" s="252"/>
      <c r="J38" s="164"/>
      <c r="K38" s="164"/>
    </row>
    <row r="39" spans="1:11" ht="16">
      <c r="A39" s="252" t="s">
        <v>547</v>
      </c>
      <c r="B39" s="252"/>
      <c r="C39" s="252"/>
      <c r="D39" s="252"/>
      <c r="E39" s="252"/>
      <c r="F39" s="252"/>
      <c r="G39" s="252"/>
      <c r="H39" s="252"/>
      <c r="I39" s="252"/>
      <c r="J39" s="164"/>
      <c r="K39" s="164"/>
    </row>
    <row r="40" spans="1:11" ht="16">
      <c r="A40" s="252" t="s">
        <v>547</v>
      </c>
      <c r="B40" s="252"/>
      <c r="C40" s="252"/>
      <c r="D40" s="252"/>
      <c r="E40" s="1004"/>
      <c r="F40" s="252"/>
      <c r="G40" s="252"/>
      <c r="H40" s="252"/>
      <c r="I40" s="1004"/>
      <c r="J40" s="126"/>
      <c r="K40" s="126"/>
    </row>
    <row r="41" spans="1:11" ht="16">
      <c r="A41" s="203"/>
      <c r="B41" s="1006"/>
      <c r="C41" s="1054"/>
      <c r="D41" s="1006"/>
      <c r="E41" s="1004"/>
      <c r="F41" s="1055"/>
      <c r="G41" s="1004"/>
      <c r="H41" s="1055"/>
      <c r="I41" s="1004"/>
      <c r="J41" s="126"/>
      <c r="K41" s="126"/>
    </row>
    <row r="42" spans="1:11" ht="16">
      <c r="A42" s="203"/>
      <c r="B42" s="252"/>
      <c r="C42" s="1054"/>
      <c r="D42" s="252"/>
      <c r="E42" s="1056"/>
      <c r="F42" s="1057"/>
      <c r="G42" s="1004"/>
      <c r="H42" s="1057"/>
      <c r="I42" s="1056"/>
      <c r="J42" s="126"/>
      <c r="K42" s="126"/>
    </row>
    <row r="43" spans="1:11" ht="16">
      <c r="A43" s="203"/>
      <c r="B43" s="252"/>
      <c r="C43" s="1054"/>
      <c r="D43" s="252"/>
      <c r="E43" s="1056"/>
      <c r="F43" s="1057"/>
      <c r="G43" s="1004"/>
      <c r="H43" s="1057"/>
      <c r="I43" s="1056"/>
      <c r="J43" s="126"/>
      <c r="K43" s="126"/>
    </row>
    <row r="44" spans="1:11" ht="16">
      <c r="A44" s="203"/>
      <c r="B44" s="252"/>
      <c r="C44" s="1011"/>
      <c r="D44" s="252"/>
      <c r="E44" s="1058"/>
      <c r="F44" s="1029"/>
      <c r="G44" s="1011"/>
      <c r="H44" s="1029"/>
      <c r="I44" s="1058"/>
      <c r="J44" s="1048"/>
      <c r="K44" s="1048"/>
    </row>
    <row r="45" spans="1:11" ht="16">
      <c r="A45" s="252"/>
      <c r="B45" s="252"/>
      <c r="C45" s="907"/>
      <c r="D45" s="252"/>
      <c r="E45" s="1029"/>
      <c r="F45" s="1057"/>
      <c r="G45" s="1029"/>
      <c r="H45" s="1057"/>
      <c r="I45" s="1029"/>
      <c r="J45" s="1051"/>
      <c r="K45" s="1051"/>
    </row>
    <row r="46" spans="1:11" ht="16">
      <c r="A46" s="203"/>
      <c r="B46" s="205"/>
      <c r="C46" s="1059"/>
      <c r="D46" s="205"/>
      <c r="E46" s="1059"/>
      <c r="F46" s="1060"/>
      <c r="G46" s="1059"/>
      <c r="H46" s="1060"/>
      <c r="I46" s="1059"/>
      <c r="J46" s="126"/>
      <c r="K46" s="126"/>
    </row>
    <row r="47" spans="1:11" ht="12" customHeight="1">
      <c r="A47" s="252"/>
      <c r="B47" s="252"/>
      <c r="C47" s="1011"/>
      <c r="D47" s="252"/>
      <c r="E47" s="1011"/>
      <c r="F47" s="252"/>
      <c r="G47" s="1011"/>
      <c r="H47" s="252"/>
      <c r="I47" s="256"/>
      <c r="K47" s="164"/>
    </row>
    <row r="48" spans="1:11" ht="16">
      <c r="A48" s="252"/>
      <c r="B48" s="252"/>
      <c r="C48" s="252"/>
      <c r="D48" s="252"/>
      <c r="E48" s="1057"/>
      <c r="F48" s="252"/>
      <c r="G48" s="252"/>
      <c r="H48" s="252"/>
      <c r="I48" s="1004"/>
      <c r="K48" s="126"/>
    </row>
    <row r="49" spans="1:9" ht="15">
      <c r="A49" s="252"/>
      <c r="B49" s="252"/>
      <c r="C49" s="1004"/>
      <c r="D49" s="252"/>
      <c r="E49" s="1057"/>
      <c r="F49" s="252"/>
      <c r="G49" s="1004"/>
      <c r="H49" s="252"/>
      <c r="I49" s="252"/>
    </row>
    <row r="50" spans="1:9" ht="15">
      <c r="A50" s="252" t="s">
        <v>6</v>
      </c>
      <c r="B50" s="252"/>
      <c r="C50" s="1004"/>
      <c r="D50" s="252"/>
      <c r="E50" s="1004" t="s">
        <v>6</v>
      </c>
      <c r="F50" s="252"/>
      <c r="G50" s="1004" t="s">
        <v>6</v>
      </c>
      <c r="H50" s="252"/>
      <c r="I50" s="252"/>
    </row>
    <row r="51" spans="1:9" ht="15">
      <c r="A51" s="252"/>
      <c r="B51" s="252"/>
      <c r="C51" s="1004"/>
      <c r="D51" s="252"/>
      <c r="E51" s="1004"/>
      <c r="F51" s="252"/>
      <c r="G51" s="1004" t="s">
        <v>6</v>
      </c>
      <c r="H51" s="252"/>
      <c r="I51" s="252"/>
    </row>
    <row r="52" spans="1:9">
      <c r="C52" s="1061"/>
      <c r="E52" s="1061"/>
      <c r="G52" s="62" t="s">
        <v>6</v>
      </c>
    </row>
    <row r="53" spans="1:9">
      <c r="C53" s="1061"/>
      <c r="E53" s="1061"/>
      <c r="G53" s="62" t="s">
        <v>6</v>
      </c>
    </row>
    <row r="54" spans="1:9">
      <c r="C54" s="1061"/>
      <c r="E54" s="1061"/>
      <c r="G54" s="62" t="s">
        <v>6</v>
      </c>
    </row>
    <row r="55" spans="1:9">
      <c r="C55" s="1061"/>
      <c r="E55" s="1061"/>
      <c r="G55" s="62" t="s">
        <v>6</v>
      </c>
    </row>
    <row r="56" spans="1:9">
      <c r="C56" s="1061"/>
      <c r="E56" s="1061"/>
      <c r="G56" s="1061"/>
    </row>
    <row r="57" spans="1:9">
      <c r="C57" s="1061"/>
      <c r="E57" s="1061"/>
      <c r="G57" s="1061"/>
    </row>
    <row r="58" spans="1:9">
      <c r="C58" s="1061"/>
      <c r="E58" s="1061"/>
      <c r="G58" s="1061"/>
    </row>
    <row r="59" spans="1:9">
      <c r="C59" s="1061"/>
      <c r="D59" s="1061"/>
      <c r="E59" s="1061"/>
      <c r="F59" s="1061"/>
      <c r="G59" s="1061"/>
    </row>
  </sheetData>
  <pageMargins left="0.75" right="0.5" top="1" bottom="0.25" header="0" footer="0.25"/>
  <pageSetup scale="74" orientation="landscape"/>
  <headerFooter scaleWithDoc="0">
    <oddFooter>&amp;R&amp;8 112</oddFooter>
  </headerFooter>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B112"/>
  <sheetViews>
    <sheetView showGridLines="0" showOutlineSymbols="0" zoomScaleSheetLayoutView="85" workbookViewId="0"/>
  </sheetViews>
  <sheetFormatPr baseColWidth="10" defaultColWidth="8.85546875" defaultRowHeight="16" outlineLevelRow="1" x14ac:dyDescent="0"/>
  <cols>
    <col min="1" max="1" width="33.42578125" style="164" customWidth="1"/>
    <col min="2" max="2" width="1.42578125" style="164" customWidth="1"/>
    <col min="3" max="3" width="10.42578125" style="1084" customWidth="1"/>
    <col min="4" max="4" width="1.42578125" style="1084" customWidth="1"/>
    <col min="5" max="5" width="9.85546875" style="1084" bestFit="1" customWidth="1"/>
    <col min="6" max="6" width="1.140625" style="1084" customWidth="1"/>
    <col min="7" max="7" width="10" style="1084" customWidth="1"/>
    <col min="8" max="8" width="1.140625" style="1084" customWidth="1"/>
    <col min="9" max="9" width="9.42578125" style="1084" customWidth="1"/>
    <col min="10" max="10" width="1.42578125" style="1084" customWidth="1"/>
    <col min="11" max="11" width="10.140625" style="1084" customWidth="1"/>
    <col min="12" max="12" width="1.42578125" style="1084" customWidth="1"/>
    <col min="13" max="13" width="10.5703125" style="1084" customWidth="1"/>
    <col min="14" max="14" width="1.140625" style="1084" customWidth="1"/>
    <col min="15" max="15" width="8.85546875" style="1084" customWidth="1"/>
    <col min="16" max="16" width="1.140625" style="1084" customWidth="1"/>
    <col min="17" max="17" width="12.140625" style="1084" bestFit="1" customWidth="1"/>
    <col min="18" max="18" width="1.140625" style="1084" customWidth="1"/>
    <col min="19" max="19" width="9.5703125" style="1084" customWidth="1"/>
    <col min="20" max="20" width="1.42578125" style="1084" customWidth="1"/>
    <col min="21" max="21" width="11" style="1084" customWidth="1"/>
    <col min="22" max="22" width="1.5703125" style="1084" customWidth="1"/>
    <col min="23" max="23" width="9.5703125" style="1084" customWidth="1"/>
    <col min="24" max="24" width="1.42578125" style="1084" customWidth="1"/>
    <col min="25" max="25" width="9.5703125" style="1084" customWidth="1"/>
    <col min="26" max="26" width="1.140625" style="1084" customWidth="1"/>
    <col min="27" max="27" width="9.5703125" style="1084" customWidth="1"/>
    <col min="28" max="28" width="1.140625" style="1084" customWidth="1"/>
    <col min="29" max="16384" width="8.85546875" style="164"/>
  </cols>
  <sheetData>
    <row r="1" spans="1:28">
      <c r="A1" s="1582" t="s">
        <v>1443</v>
      </c>
    </row>
    <row r="3" spans="1:28" ht="14.25" customHeight="1">
      <c r="A3" s="203" t="s">
        <v>0</v>
      </c>
      <c r="B3" s="2"/>
      <c r="C3" s="1062"/>
      <c r="D3" s="1062"/>
      <c r="E3" s="1062"/>
      <c r="F3" s="1062"/>
      <c r="G3" s="1062"/>
      <c r="H3" s="1062"/>
      <c r="I3" s="1062"/>
      <c r="J3" s="232"/>
      <c r="K3" s="232"/>
      <c r="L3" s="232"/>
      <c r="M3" s="232"/>
      <c r="N3" s="232"/>
      <c r="O3" s="232"/>
      <c r="P3" s="232"/>
      <c r="Q3" s="232"/>
      <c r="R3" s="232"/>
      <c r="S3" s="232"/>
      <c r="T3" s="232"/>
      <c r="U3" s="232"/>
      <c r="V3" s="232"/>
      <c r="W3" s="232"/>
      <c r="X3" s="232"/>
      <c r="Y3" s="232"/>
      <c r="Z3" s="232"/>
      <c r="AA3" s="1062"/>
      <c r="AB3" s="985"/>
    </row>
    <row r="4" spans="1:28" ht="15" customHeight="1">
      <c r="A4" s="206" t="s">
        <v>941</v>
      </c>
      <c r="B4" s="2"/>
      <c r="C4" s="1062"/>
      <c r="D4" s="1062"/>
      <c r="E4" s="1062"/>
      <c r="F4" s="1062"/>
      <c r="G4" s="1062"/>
      <c r="H4" s="1062"/>
      <c r="I4" s="1062"/>
      <c r="J4" s="232"/>
      <c r="K4" s="232"/>
      <c r="L4" s="232"/>
      <c r="M4" s="232"/>
      <c r="N4" s="232"/>
      <c r="O4" s="232"/>
      <c r="P4" s="232"/>
      <c r="Q4" s="232"/>
      <c r="R4" s="232"/>
      <c r="S4" s="232"/>
      <c r="T4" s="232"/>
      <c r="U4" s="232"/>
      <c r="V4" s="232"/>
      <c r="W4" s="232"/>
      <c r="X4" s="232"/>
      <c r="Y4" s="111" t="s">
        <v>6</v>
      </c>
      <c r="Z4" s="111"/>
      <c r="AA4" s="111"/>
      <c r="AB4" s="985"/>
    </row>
    <row r="5" spans="1:28" ht="15.75" customHeight="1">
      <c r="A5" s="203" t="s">
        <v>737</v>
      </c>
      <c r="B5" s="2"/>
      <c r="C5" s="1062"/>
      <c r="D5" s="1062"/>
      <c r="E5" s="1062"/>
      <c r="F5" s="1062"/>
      <c r="G5" s="1062"/>
      <c r="H5" s="1062"/>
      <c r="I5" s="1062"/>
      <c r="J5" s="232"/>
      <c r="K5" s="232"/>
      <c r="L5" s="232"/>
      <c r="M5" s="232"/>
      <c r="N5" s="232"/>
      <c r="O5" s="232"/>
      <c r="P5" s="232"/>
      <c r="Q5" s="232"/>
      <c r="R5" s="232"/>
      <c r="S5" s="232"/>
      <c r="T5" s="232"/>
      <c r="U5" s="232"/>
      <c r="V5" s="232"/>
      <c r="W5" s="232"/>
      <c r="X5" s="232"/>
      <c r="Y5" s="2478" t="s">
        <v>942</v>
      </c>
      <c r="Z5" s="2479"/>
      <c r="AA5" s="2480"/>
      <c r="AB5" s="985"/>
    </row>
    <row r="6" spans="1:28" ht="15" customHeight="1">
      <c r="A6" s="206" t="s">
        <v>2622</v>
      </c>
      <c r="B6" s="2"/>
      <c r="C6" s="1062"/>
      <c r="D6" s="1062"/>
      <c r="E6" s="1062"/>
      <c r="F6" s="1062"/>
      <c r="G6" s="1062"/>
      <c r="H6" s="1062"/>
      <c r="I6" s="1062"/>
      <c r="J6" s="232"/>
      <c r="K6" s="232"/>
      <c r="L6" s="232"/>
      <c r="M6" s="232"/>
      <c r="N6" s="232"/>
      <c r="O6" s="232"/>
      <c r="P6" s="232"/>
      <c r="Q6" s="232"/>
      <c r="R6" s="232"/>
      <c r="S6" s="232"/>
      <c r="T6" s="232"/>
      <c r="U6" s="232"/>
      <c r="V6" s="232"/>
      <c r="W6" s="232"/>
      <c r="X6" s="232"/>
      <c r="Y6" s="232"/>
      <c r="Z6" s="232"/>
      <c r="AA6" s="232"/>
      <c r="AB6" s="985"/>
    </row>
    <row r="7" spans="1:28" ht="15" customHeight="1">
      <c r="A7" s="203" t="s">
        <v>4</v>
      </c>
      <c r="B7" s="2"/>
      <c r="C7" s="1062"/>
      <c r="D7" s="1062"/>
      <c r="E7" s="1062"/>
      <c r="F7" s="1062"/>
      <c r="G7" s="1062"/>
      <c r="H7" s="1062"/>
      <c r="I7" s="1062"/>
      <c r="J7" s="232"/>
      <c r="K7" s="232"/>
      <c r="L7" s="232"/>
      <c r="M7" s="232"/>
      <c r="N7" s="232"/>
      <c r="O7" s="232"/>
      <c r="P7" s="232"/>
      <c r="Q7" s="232"/>
      <c r="R7" s="232"/>
      <c r="S7" s="232"/>
      <c r="T7" s="232"/>
      <c r="U7" s="232"/>
      <c r="V7" s="232"/>
      <c r="W7" s="232"/>
      <c r="X7" s="232"/>
      <c r="Y7" s="232"/>
      <c r="Z7" s="232"/>
      <c r="AA7" s="232"/>
      <c r="AB7" s="985"/>
    </row>
    <row r="8" spans="1:28" ht="15" customHeight="1">
      <c r="A8" s="203"/>
      <c r="B8" s="2"/>
      <c r="C8" s="1062"/>
      <c r="D8" s="1062"/>
      <c r="E8" s="1062"/>
      <c r="F8" s="1062"/>
      <c r="G8" s="1062"/>
      <c r="H8" s="1062"/>
      <c r="I8" s="1062"/>
      <c r="J8" s="232"/>
      <c r="K8" s="232"/>
      <c r="L8" s="232"/>
      <c r="M8" s="232"/>
      <c r="N8" s="232"/>
      <c r="O8" s="232"/>
      <c r="P8" s="232"/>
      <c r="Q8" s="232"/>
      <c r="R8" s="232"/>
      <c r="S8" s="232"/>
      <c r="T8" s="232"/>
      <c r="U8" s="232"/>
      <c r="V8" s="232"/>
      <c r="W8" s="232"/>
      <c r="X8" s="232"/>
      <c r="Y8" s="232"/>
      <c r="Z8" s="232"/>
      <c r="AA8" s="232"/>
      <c r="AB8" s="985"/>
    </row>
    <row r="9" spans="1:28" ht="15" customHeight="1">
      <c r="A9" s="203"/>
      <c r="B9" s="2"/>
      <c r="C9" s="1062"/>
      <c r="D9" s="1062"/>
      <c r="E9" s="1062"/>
      <c r="F9" s="1062"/>
      <c r="G9" s="1062"/>
      <c r="H9" s="1062"/>
      <c r="I9" s="1062"/>
      <c r="J9" s="232"/>
      <c r="K9" s="232"/>
      <c r="L9" s="232"/>
      <c r="M9" s="232"/>
      <c r="N9" s="232"/>
      <c r="O9" s="232"/>
      <c r="P9" s="232"/>
      <c r="Q9" s="232"/>
      <c r="R9" s="232"/>
      <c r="S9" s="232"/>
      <c r="T9" s="232"/>
      <c r="U9" s="232"/>
      <c r="V9" s="232"/>
      <c r="W9" s="232"/>
      <c r="X9" s="232"/>
      <c r="Y9" s="232"/>
      <c r="Z9" s="232"/>
      <c r="AA9" s="232"/>
      <c r="AB9" s="985"/>
    </row>
    <row r="10" spans="1:28" ht="15" customHeight="1">
      <c r="A10" s="203"/>
      <c r="B10" s="2"/>
      <c r="C10" s="1062"/>
      <c r="D10" s="1062"/>
      <c r="E10" s="1062"/>
      <c r="F10" s="1062"/>
      <c r="G10" s="1062"/>
      <c r="H10" s="1062"/>
      <c r="I10" s="1062"/>
      <c r="J10" s="232"/>
      <c r="K10" s="232"/>
      <c r="L10" s="232"/>
      <c r="M10" s="232"/>
      <c r="N10" s="232"/>
      <c r="O10" s="232"/>
      <c r="P10" s="232"/>
      <c r="Q10" s="232"/>
      <c r="R10" s="232"/>
      <c r="S10" s="232"/>
      <c r="T10" s="232"/>
      <c r="U10" s="232"/>
      <c r="V10" s="232"/>
      <c r="W10" s="232"/>
      <c r="X10" s="232"/>
      <c r="Y10" s="232"/>
      <c r="Z10" s="232"/>
      <c r="AA10" s="232"/>
      <c r="AB10" s="985"/>
    </row>
    <row r="11" spans="1:28" ht="15" customHeight="1">
      <c r="A11" s="3" t="s">
        <v>6</v>
      </c>
      <c r="B11" s="3"/>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985"/>
    </row>
    <row r="12" spans="1:28" ht="15.75" customHeight="1" outlineLevel="1">
      <c r="A12" s="966"/>
      <c r="B12" s="966"/>
      <c r="C12" s="2481" t="s">
        <v>739</v>
      </c>
      <c r="D12" s="2482"/>
      <c r="E12" s="2482"/>
      <c r="F12" s="2482"/>
      <c r="G12" s="2482"/>
      <c r="H12" s="2482"/>
      <c r="I12" s="2482"/>
      <c r="J12" s="2482"/>
      <c r="K12" s="2482"/>
      <c r="L12" s="2482"/>
      <c r="M12" s="2482"/>
      <c r="N12" s="2482"/>
      <c r="O12" s="2482"/>
      <c r="P12" s="2482"/>
      <c r="Q12" s="2482"/>
      <c r="R12" s="2482"/>
      <c r="S12" s="2482"/>
      <c r="T12" s="2482"/>
      <c r="U12" s="2482"/>
      <c r="V12" s="1063"/>
      <c r="W12" s="1064"/>
      <c r="X12" s="1065"/>
      <c r="Y12" s="1066" t="s">
        <v>276</v>
      </c>
      <c r="Z12" s="1066"/>
      <c r="AA12" s="1066"/>
      <c r="AB12" s="1065"/>
    </row>
    <row r="13" spans="1:28" ht="15.75" customHeight="1" outlineLevel="1">
      <c r="A13" s="966"/>
      <c r="B13" s="966"/>
      <c r="C13" s="1067"/>
      <c r="D13" s="1068"/>
      <c r="E13" s="1069" t="s">
        <v>741</v>
      </c>
      <c r="F13" s="1068"/>
      <c r="G13" s="1068"/>
      <c r="H13" s="1068"/>
      <c r="I13" s="1068"/>
      <c r="J13" s="1068"/>
      <c r="K13" s="1068"/>
      <c r="L13" s="1068"/>
      <c r="M13" s="1068"/>
      <c r="N13" s="1068"/>
      <c r="O13" s="1068"/>
      <c r="P13" s="1068"/>
      <c r="Q13" s="1068"/>
      <c r="R13" s="1068"/>
      <c r="S13" s="1068"/>
      <c r="T13" s="1068"/>
      <c r="U13" s="1068"/>
      <c r="V13" s="1063"/>
      <c r="W13" s="1064"/>
      <c r="X13" s="1065"/>
      <c r="Y13" s="1070"/>
      <c r="Z13" s="1070"/>
      <c r="AA13" s="1070"/>
      <c r="AB13" s="1065"/>
    </row>
    <row r="14" spans="1:28" ht="14" customHeight="1">
      <c r="A14" s="966"/>
      <c r="B14" s="966"/>
      <c r="C14" s="1069" t="s">
        <v>6</v>
      </c>
      <c r="D14" s="1071"/>
      <c r="E14" s="1069" t="s">
        <v>743</v>
      </c>
      <c r="F14" s="1071"/>
      <c r="G14" s="1069" t="s">
        <v>744</v>
      </c>
      <c r="H14" s="1071"/>
      <c r="I14" s="1069" t="s">
        <v>6</v>
      </c>
      <c r="J14" s="1071"/>
      <c r="K14" s="1069" t="s">
        <v>745</v>
      </c>
      <c r="L14" s="1071"/>
      <c r="M14" s="1069" t="s">
        <v>746</v>
      </c>
      <c r="N14" s="1071"/>
      <c r="O14" s="1069" t="s">
        <v>746</v>
      </c>
      <c r="P14" s="1071"/>
      <c r="Q14" s="1069" t="s">
        <v>747</v>
      </c>
      <c r="R14" s="1071"/>
      <c r="S14" s="1069" t="s">
        <v>6</v>
      </c>
      <c r="T14" s="1065"/>
      <c r="U14" s="1072" t="s">
        <v>748</v>
      </c>
      <c r="V14" s="1065"/>
      <c r="W14" s="1072" t="s">
        <v>826</v>
      </c>
      <c r="X14" s="1065"/>
      <c r="Y14" s="1063" t="s">
        <v>6</v>
      </c>
      <c r="Z14" s="1063"/>
      <c r="AA14" s="1063" t="s">
        <v>6</v>
      </c>
      <c r="AB14" s="1073"/>
    </row>
    <row r="15" spans="1:28" ht="14" customHeight="1">
      <c r="A15" s="969" t="s">
        <v>752</v>
      </c>
      <c r="B15" s="966"/>
      <c r="C15" s="1069" t="s">
        <v>512</v>
      </c>
      <c r="D15" s="1071"/>
      <c r="E15" s="1069" t="s">
        <v>753</v>
      </c>
      <c r="F15" s="1071"/>
      <c r="G15" s="1074" t="s">
        <v>827</v>
      </c>
      <c r="H15" s="1071"/>
      <c r="I15" s="1069" t="s">
        <v>754</v>
      </c>
      <c r="J15" s="1071"/>
      <c r="K15" s="1071" t="s">
        <v>755</v>
      </c>
      <c r="L15" s="1071"/>
      <c r="M15" s="1069" t="s">
        <v>828</v>
      </c>
      <c r="N15" s="1071"/>
      <c r="O15" s="1069" t="s">
        <v>756</v>
      </c>
      <c r="P15" s="1071"/>
      <c r="Q15" s="1074" t="s">
        <v>757</v>
      </c>
      <c r="R15" s="1071"/>
      <c r="S15" s="1074" t="s">
        <v>525</v>
      </c>
      <c r="T15" s="1065"/>
      <c r="U15" s="1072" t="s">
        <v>758</v>
      </c>
      <c r="V15" s="1065"/>
      <c r="W15" s="1072" t="s">
        <v>829</v>
      </c>
      <c r="X15" s="1065"/>
      <c r="Y15" s="1075" t="s">
        <v>2586</v>
      </c>
      <c r="Z15" s="1067"/>
      <c r="AA15" s="1075" t="s">
        <v>1916</v>
      </c>
      <c r="AB15" s="1073"/>
    </row>
    <row r="16" spans="1:28" ht="4" customHeight="1">
      <c r="A16" s="978"/>
      <c r="B16" s="3"/>
      <c r="C16" s="1076"/>
      <c r="D16" s="232"/>
      <c r="E16" s="1076"/>
      <c r="F16" s="232"/>
      <c r="G16" s="232"/>
      <c r="H16" s="232"/>
      <c r="I16" s="1076"/>
      <c r="J16" s="232"/>
      <c r="K16" s="1076"/>
      <c r="L16" s="232"/>
      <c r="M16" s="1076"/>
      <c r="N16" s="232"/>
      <c r="O16" s="1076"/>
      <c r="P16" s="232"/>
      <c r="Q16" s="232"/>
      <c r="R16" s="232"/>
      <c r="S16" s="1076"/>
      <c r="T16" s="232"/>
      <c r="U16" s="1076"/>
      <c r="V16" s="232"/>
      <c r="W16" s="1076"/>
      <c r="X16" s="232"/>
      <c r="Y16" s="1076"/>
      <c r="Z16" s="1077"/>
      <c r="AA16" s="1076"/>
      <c r="AB16" s="985"/>
    </row>
    <row r="17" spans="1:28" s="1082" customFormat="1" ht="15" customHeight="1">
      <c r="A17" s="1078" t="s">
        <v>943</v>
      </c>
      <c r="B17" s="979"/>
      <c r="C17" s="980">
        <v>0</v>
      </c>
      <c r="D17" s="1079"/>
      <c r="E17" s="980">
        <v>0</v>
      </c>
      <c r="F17" s="1079"/>
      <c r="G17" s="980">
        <v>0</v>
      </c>
      <c r="H17" s="1079"/>
      <c r="I17" s="980">
        <v>0</v>
      </c>
      <c r="J17" s="1079"/>
      <c r="K17" s="980">
        <v>0</v>
      </c>
      <c r="L17" s="1079"/>
      <c r="M17" s="980">
        <v>0</v>
      </c>
      <c r="N17" s="1079"/>
      <c r="O17" s="980">
        <v>0</v>
      </c>
      <c r="P17" s="1079"/>
      <c r="Q17" s="980">
        <v>0</v>
      </c>
      <c r="R17" s="1079"/>
      <c r="S17" s="980">
        <v>0</v>
      </c>
      <c r="T17" s="1079"/>
      <c r="U17" s="990">
        <f>ROUND(SUM(C17:S17),1)</f>
        <v>0</v>
      </c>
      <c r="V17" s="1079"/>
      <c r="W17" s="933">
        <v>308</v>
      </c>
      <c r="X17" s="1079"/>
      <c r="Y17" s="990">
        <f>ROUND(SUM(U17:X17),1)</f>
        <v>308</v>
      </c>
      <c r="Z17" s="1079"/>
      <c r="AA17" s="1080">
        <v>46</v>
      </c>
      <c r="AB17" s="1081"/>
    </row>
    <row r="18" spans="1:28" ht="15" customHeight="1">
      <c r="A18" s="1083" t="s">
        <v>944</v>
      </c>
      <c r="B18" s="964" t="s">
        <v>6</v>
      </c>
      <c r="C18" s="983">
        <v>0</v>
      </c>
      <c r="D18" s="985"/>
      <c r="E18" s="983">
        <v>0</v>
      </c>
      <c r="F18" s="985"/>
      <c r="G18" s="983">
        <v>0</v>
      </c>
      <c r="H18" s="985"/>
      <c r="I18" s="983">
        <v>0</v>
      </c>
      <c r="J18" s="985"/>
      <c r="K18" s="983">
        <v>0</v>
      </c>
      <c r="L18" s="985"/>
      <c r="M18" s="983">
        <v>0</v>
      </c>
      <c r="N18" s="985"/>
      <c r="O18" s="983">
        <v>0</v>
      </c>
      <c r="P18" s="985"/>
      <c r="Q18" s="983">
        <v>0</v>
      </c>
      <c r="R18" s="985"/>
      <c r="S18" s="936">
        <v>0</v>
      </c>
      <c r="T18" s="985"/>
      <c r="U18" s="985">
        <f t="shared" ref="U18:U56" si="0">ROUND(SUM(C18:S18),1)</f>
        <v>0</v>
      </c>
      <c r="V18" s="985"/>
      <c r="W18" s="937">
        <v>36711</v>
      </c>
      <c r="X18" s="985"/>
      <c r="Y18" s="985">
        <f t="shared" ref="Y18:Y56" si="1">ROUND(SUM(U18:X18),1)</f>
        <v>36711</v>
      </c>
      <c r="Z18" s="985"/>
      <c r="AA18" s="985">
        <v>30142</v>
      </c>
      <c r="AB18" s="985"/>
    </row>
    <row r="19" spans="1:28" ht="15" customHeight="1">
      <c r="A19" s="1083" t="s">
        <v>2705</v>
      </c>
      <c r="B19" s="164" t="s">
        <v>6</v>
      </c>
      <c r="C19" s="983">
        <v>0</v>
      </c>
      <c r="E19" s="983">
        <v>899</v>
      </c>
      <c r="G19" s="983">
        <v>0</v>
      </c>
      <c r="I19" s="983">
        <v>0</v>
      </c>
      <c r="K19" s="983">
        <v>0</v>
      </c>
      <c r="M19" s="983">
        <v>0</v>
      </c>
      <c r="O19" s="983">
        <v>0</v>
      </c>
      <c r="Q19" s="988">
        <v>0</v>
      </c>
      <c r="S19" s="936">
        <v>0</v>
      </c>
      <c r="U19" s="985">
        <f>ROUND(SUM(C19:S19),1)</f>
        <v>899</v>
      </c>
      <c r="W19" s="937">
        <v>35536</v>
      </c>
      <c r="Y19" s="985">
        <f>ROUND(SUM(U19:X19),1)</f>
        <v>36435</v>
      </c>
      <c r="AA19" s="985">
        <v>32982</v>
      </c>
      <c r="AB19" s="985"/>
    </row>
    <row r="20" spans="1:28" ht="15" customHeight="1">
      <c r="A20" s="1083" t="s">
        <v>945</v>
      </c>
      <c r="B20" s="964" t="s">
        <v>6</v>
      </c>
      <c r="C20" s="983">
        <v>0</v>
      </c>
      <c r="D20" s="985"/>
      <c r="E20" s="983">
        <v>0</v>
      </c>
      <c r="F20" s="985"/>
      <c r="G20" s="983">
        <v>0</v>
      </c>
      <c r="H20" s="985"/>
      <c r="I20" s="983">
        <v>0</v>
      </c>
      <c r="J20" s="985"/>
      <c r="K20" s="983">
        <v>0</v>
      </c>
      <c r="L20" s="985"/>
      <c r="M20" s="983">
        <v>0</v>
      </c>
      <c r="N20" s="985"/>
      <c r="O20" s="983">
        <v>0</v>
      </c>
      <c r="P20" s="985"/>
      <c r="Q20" s="983">
        <v>0</v>
      </c>
      <c r="R20" s="985"/>
      <c r="S20" s="936">
        <v>0</v>
      </c>
      <c r="T20" s="985"/>
      <c r="U20" s="985">
        <f t="shared" si="0"/>
        <v>0</v>
      </c>
      <c r="V20" s="985"/>
      <c r="W20" s="937">
        <v>272822</v>
      </c>
      <c r="X20" s="985"/>
      <c r="Y20" s="985">
        <f t="shared" si="1"/>
        <v>272822</v>
      </c>
      <c r="Z20" s="985"/>
      <c r="AA20" s="985">
        <v>220316</v>
      </c>
      <c r="AB20" s="985"/>
    </row>
    <row r="21" spans="1:28" ht="15" customHeight="1">
      <c r="A21" s="1083" t="s">
        <v>946</v>
      </c>
      <c r="B21" s="964" t="s">
        <v>6</v>
      </c>
      <c r="C21" s="983">
        <v>0</v>
      </c>
      <c r="D21" s="985"/>
      <c r="E21" s="936">
        <v>4</v>
      </c>
      <c r="F21" s="945"/>
      <c r="G21" s="936">
        <v>0</v>
      </c>
      <c r="H21" s="945"/>
      <c r="I21" s="936">
        <v>0</v>
      </c>
      <c r="J21" s="945"/>
      <c r="K21" s="936">
        <v>0</v>
      </c>
      <c r="L21" s="945"/>
      <c r="M21" s="936">
        <v>0</v>
      </c>
      <c r="N21" s="945"/>
      <c r="O21" s="936">
        <v>0</v>
      </c>
      <c r="P21" s="985"/>
      <c r="Q21" s="983">
        <v>0</v>
      </c>
      <c r="R21" s="985"/>
      <c r="S21" s="936">
        <v>0</v>
      </c>
      <c r="T21" s="985"/>
      <c r="U21" s="985">
        <f t="shared" si="0"/>
        <v>4</v>
      </c>
      <c r="V21" s="985"/>
      <c r="W21" s="937">
        <v>790</v>
      </c>
      <c r="X21" s="985"/>
      <c r="Y21" s="985">
        <f t="shared" si="1"/>
        <v>794</v>
      </c>
      <c r="Z21" s="985"/>
      <c r="AA21" s="985">
        <v>635</v>
      </c>
      <c r="AB21" s="985"/>
    </row>
    <row r="22" spans="1:28" ht="15" customHeight="1">
      <c r="A22" s="1083" t="s">
        <v>947</v>
      </c>
      <c r="B22" s="964" t="s">
        <v>6</v>
      </c>
      <c r="C22" s="983">
        <v>0</v>
      </c>
      <c r="D22" s="985"/>
      <c r="E22" s="937">
        <v>93103</v>
      </c>
      <c r="F22" s="945"/>
      <c r="G22" s="937">
        <v>232</v>
      </c>
      <c r="H22" s="945"/>
      <c r="I22" s="936">
        <v>0</v>
      </c>
      <c r="J22" s="945"/>
      <c r="K22" s="936">
        <v>0</v>
      </c>
      <c r="L22" s="945"/>
      <c r="M22" s="936">
        <v>824</v>
      </c>
      <c r="N22" s="945"/>
      <c r="O22" s="936">
        <v>0</v>
      </c>
      <c r="P22" s="985"/>
      <c r="Q22" s="983">
        <v>0</v>
      </c>
      <c r="R22" s="985"/>
      <c r="S22" s="936">
        <v>0</v>
      </c>
      <c r="T22" s="985"/>
      <c r="U22" s="985">
        <f t="shared" si="0"/>
        <v>94159</v>
      </c>
      <c r="V22" s="985"/>
      <c r="W22" s="937">
        <v>176922</v>
      </c>
      <c r="X22" s="985"/>
      <c r="Y22" s="985">
        <f t="shared" si="1"/>
        <v>271081</v>
      </c>
      <c r="Z22" s="985"/>
      <c r="AA22" s="985">
        <v>265711</v>
      </c>
      <c r="AB22" s="985"/>
    </row>
    <row r="23" spans="1:28" ht="15" customHeight="1">
      <c r="A23" s="1083" t="s">
        <v>948</v>
      </c>
      <c r="B23" s="252" t="s">
        <v>6</v>
      </c>
      <c r="C23" s="983">
        <v>0</v>
      </c>
      <c r="D23" s="985"/>
      <c r="E23" s="936">
        <v>0</v>
      </c>
      <c r="F23" s="945"/>
      <c r="G23" s="936">
        <v>15500</v>
      </c>
      <c r="H23" s="945"/>
      <c r="I23" s="936">
        <v>0</v>
      </c>
      <c r="J23" s="945"/>
      <c r="K23" s="937">
        <v>0</v>
      </c>
      <c r="L23" s="945"/>
      <c r="M23" s="936">
        <v>0</v>
      </c>
      <c r="N23" s="945"/>
      <c r="O23" s="936">
        <v>0</v>
      </c>
      <c r="P23" s="985"/>
      <c r="Q23" s="983">
        <v>0</v>
      </c>
      <c r="R23" s="985"/>
      <c r="S23" s="936">
        <v>0</v>
      </c>
      <c r="T23" s="985"/>
      <c r="U23" s="985">
        <f t="shared" si="0"/>
        <v>15500</v>
      </c>
      <c r="V23" s="985"/>
      <c r="W23" s="937">
        <v>67202</v>
      </c>
      <c r="X23" s="985"/>
      <c r="Y23" s="985">
        <f t="shared" si="1"/>
        <v>82702</v>
      </c>
      <c r="Z23" s="985"/>
      <c r="AA23" s="985">
        <v>55707</v>
      </c>
      <c r="AB23" s="985"/>
    </row>
    <row r="24" spans="1:28" ht="15" customHeight="1">
      <c r="A24" s="1083" t="s">
        <v>949</v>
      </c>
      <c r="B24" s="964" t="s">
        <v>6</v>
      </c>
      <c r="C24" s="983">
        <v>0</v>
      </c>
      <c r="D24" s="985"/>
      <c r="E24" s="936">
        <v>0</v>
      </c>
      <c r="F24" s="945"/>
      <c r="G24" s="936">
        <v>0</v>
      </c>
      <c r="H24" s="945"/>
      <c r="I24" s="936">
        <v>0</v>
      </c>
      <c r="J24" s="945"/>
      <c r="K24" s="936">
        <v>0</v>
      </c>
      <c r="L24" s="945"/>
      <c r="M24" s="936">
        <v>0</v>
      </c>
      <c r="N24" s="945"/>
      <c r="O24" s="936">
        <v>0</v>
      </c>
      <c r="P24" s="985"/>
      <c r="Q24" s="983">
        <v>0</v>
      </c>
      <c r="R24" s="985"/>
      <c r="S24" s="936">
        <v>0</v>
      </c>
      <c r="T24" s="985"/>
      <c r="U24" s="985">
        <f t="shared" si="0"/>
        <v>0</v>
      </c>
      <c r="V24" s="985"/>
      <c r="W24" s="937">
        <v>2247</v>
      </c>
      <c r="X24" s="985"/>
      <c r="Y24" s="985">
        <f t="shared" si="1"/>
        <v>2247</v>
      </c>
      <c r="Z24" s="985"/>
      <c r="AA24" s="988">
        <v>2976</v>
      </c>
      <c r="AB24" s="985"/>
    </row>
    <row r="25" spans="1:28" ht="15" customHeight="1">
      <c r="A25" s="1083" t="s">
        <v>950</v>
      </c>
      <c r="B25" s="964" t="s">
        <v>6</v>
      </c>
      <c r="C25" s="983">
        <v>0</v>
      </c>
      <c r="D25" s="985"/>
      <c r="E25" s="936">
        <v>0</v>
      </c>
      <c r="F25" s="945"/>
      <c r="G25" s="936">
        <v>0</v>
      </c>
      <c r="H25" s="945"/>
      <c r="I25" s="936">
        <v>0</v>
      </c>
      <c r="J25" s="945"/>
      <c r="K25" s="936">
        <v>0</v>
      </c>
      <c r="L25" s="945"/>
      <c r="M25" s="936">
        <v>0</v>
      </c>
      <c r="N25" s="945"/>
      <c r="O25" s="936">
        <v>0</v>
      </c>
      <c r="P25" s="985"/>
      <c r="Q25" s="983">
        <v>0</v>
      </c>
      <c r="R25" s="985"/>
      <c r="S25" s="936">
        <v>0</v>
      </c>
      <c r="T25" s="985"/>
      <c r="U25" s="985">
        <f t="shared" si="0"/>
        <v>0</v>
      </c>
      <c r="V25" s="985"/>
      <c r="W25" s="937">
        <v>189879</v>
      </c>
      <c r="X25" s="985"/>
      <c r="Y25" s="985">
        <f t="shared" si="1"/>
        <v>189879</v>
      </c>
      <c r="Z25" s="985"/>
      <c r="AA25" s="988">
        <v>182077</v>
      </c>
      <c r="AB25" s="985"/>
    </row>
    <row r="26" spans="1:28" ht="15" customHeight="1">
      <c r="A26" s="1083" t="s">
        <v>951</v>
      </c>
      <c r="B26" s="964" t="s">
        <v>6</v>
      </c>
      <c r="C26" s="983">
        <v>0</v>
      </c>
      <c r="D26" s="985"/>
      <c r="E26" s="937">
        <v>24291</v>
      </c>
      <c r="F26" s="945"/>
      <c r="G26" s="936">
        <v>0</v>
      </c>
      <c r="H26" s="945"/>
      <c r="I26" s="936">
        <v>0</v>
      </c>
      <c r="J26" s="945"/>
      <c r="K26" s="936">
        <v>0</v>
      </c>
      <c r="L26" s="945"/>
      <c r="M26" s="936">
        <v>0</v>
      </c>
      <c r="N26" s="945"/>
      <c r="O26" s="936">
        <v>0</v>
      </c>
      <c r="P26" s="985"/>
      <c r="Q26" s="983">
        <v>0</v>
      </c>
      <c r="R26" s="985"/>
      <c r="S26" s="936">
        <v>0</v>
      </c>
      <c r="T26" s="985"/>
      <c r="U26" s="985">
        <f t="shared" si="0"/>
        <v>24291</v>
      </c>
      <c r="V26" s="985"/>
      <c r="W26" s="937">
        <v>324</v>
      </c>
      <c r="X26" s="985"/>
      <c r="Y26" s="985">
        <f t="shared" si="1"/>
        <v>24615</v>
      </c>
      <c r="Z26" s="985"/>
      <c r="AA26" s="985">
        <v>22669</v>
      </c>
      <c r="AB26" s="985"/>
    </row>
    <row r="27" spans="1:28" ht="15" customHeight="1">
      <c r="A27" s="1083" t="s">
        <v>952</v>
      </c>
      <c r="B27" s="964" t="s">
        <v>6</v>
      </c>
      <c r="C27" s="983">
        <v>0</v>
      </c>
      <c r="D27" s="985"/>
      <c r="E27" s="936">
        <v>0</v>
      </c>
      <c r="F27" s="945"/>
      <c r="G27" s="936">
        <v>0</v>
      </c>
      <c r="H27" s="945"/>
      <c r="I27" s="936">
        <v>0</v>
      </c>
      <c r="J27" s="945"/>
      <c r="K27" s="936">
        <v>0</v>
      </c>
      <c r="L27" s="945"/>
      <c r="M27" s="936">
        <v>0</v>
      </c>
      <c r="N27" s="945"/>
      <c r="O27" s="936">
        <v>0</v>
      </c>
      <c r="P27" s="985"/>
      <c r="Q27" s="983">
        <v>0</v>
      </c>
      <c r="R27" s="985"/>
      <c r="S27" s="937">
        <v>505023</v>
      </c>
      <c r="T27" s="985"/>
      <c r="U27" s="985">
        <f t="shared" si="0"/>
        <v>505023</v>
      </c>
      <c r="V27" s="985"/>
      <c r="W27" s="937">
        <v>2062562</v>
      </c>
      <c r="X27" s="985"/>
      <c r="Y27" s="985">
        <f t="shared" si="1"/>
        <v>2567585</v>
      </c>
      <c r="Z27" s="985"/>
      <c r="AA27" s="985">
        <v>2705277</v>
      </c>
      <c r="AB27" s="985"/>
    </row>
    <row r="28" spans="1:28" ht="15" customHeight="1">
      <c r="A28" s="1083" t="s">
        <v>953</v>
      </c>
      <c r="B28" s="964" t="s">
        <v>6</v>
      </c>
      <c r="C28" s="983">
        <v>0</v>
      </c>
      <c r="D28" s="985"/>
      <c r="E28" s="936">
        <v>0</v>
      </c>
      <c r="F28" s="945"/>
      <c r="G28" s="936">
        <v>0</v>
      </c>
      <c r="H28" s="945"/>
      <c r="I28" s="936">
        <v>0</v>
      </c>
      <c r="J28" s="945"/>
      <c r="K28" s="936">
        <v>0</v>
      </c>
      <c r="L28" s="945"/>
      <c r="M28" s="936">
        <v>0</v>
      </c>
      <c r="N28" s="945"/>
      <c r="O28" s="936">
        <v>0</v>
      </c>
      <c r="P28" s="985"/>
      <c r="Q28" s="983">
        <v>0</v>
      </c>
      <c r="R28" s="985"/>
      <c r="S28" s="936">
        <v>0</v>
      </c>
      <c r="T28" s="985"/>
      <c r="U28" s="985">
        <f t="shared" si="0"/>
        <v>0</v>
      </c>
      <c r="V28" s="985"/>
      <c r="W28" s="937">
        <v>0</v>
      </c>
      <c r="X28" s="985"/>
      <c r="Y28" s="985">
        <f t="shared" si="1"/>
        <v>0</v>
      </c>
      <c r="Z28" s="985"/>
      <c r="AA28" s="983">
        <v>0</v>
      </c>
      <c r="AB28" s="985"/>
    </row>
    <row r="29" spans="1:28" ht="15" customHeight="1">
      <c r="A29" s="1083" t="s">
        <v>777</v>
      </c>
      <c r="B29" s="252" t="s">
        <v>6</v>
      </c>
      <c r="C29" s="983">
        <v>0</v>
      </c>
      <c r="D29" s="985"/>
      <c r="E29" s="936">
        <v>0</v>
      </c>
      <c r="F29" s="945"/>
      <c r="G29" s="936">
        <v>6159</v>
      </c>
      <c r="H29" s="945"/>
      <c r="I29" s="936">
        <v>0</v>
      </c>
      <c r="J29" s="945"/>
      <c r="K29" s="936">
        <v>0</v>
      </c>
      <c r="L29" s="945"/>
      <c r="M29" s="936">
        <v>96890</v>
      </c>
      <c r="N29" s="945"/>
      <c r="O29" s="936">
        <v>0</v>
      </c>
      <c r="P29" s="985"/>
      <c r="Q29" s="983">
        <v>0</v>
      </c>
      <c r="R29" s="985"/>
      <c r="S29" s="936">
        <v>0</v>
      </c>
      <c r="T29" s="985"/>
      <c r="U29" s="985">
        <f t="shared" si="0"/>
        <v>103049</v>
      </c>
      <c r="V29" s="985"/>
      <c r="W29" s="937">
        <v>2203</v>
      </c>
      <c r="X29" s="985"/>
      <c r="Y29" s="985">
        <f t="shared" si="1"/>
        <v>105252</v>
      </c>
      <c r="Z29" s="985"/>
      <c r="AA29" s="985">
        <v>36962</v>
      </c>
      <c r="AB29" s="985"/>
    </row>
    <row r="30" spans="1:28" ht="14.25" customHeight="1">
      <c r="A30" s="1083" t="s">
        <v>954</v>
      </c>
      <c r="B30" s="964" t="s">
        <v>6</v>
      </c>
      <c r="C30" s="983">
        <v>0</v>
      </c>
      <c r="D30" s="985"/>
      <c r="E30" s="936">
        <v>0</v>
      </c>
      <c r="F30" s="945"/>
      <c r="G30" s="936">
        <v>0</v>
      </c>
      <c r="H30" s="945"/>
      <c r="I30" s="936">
        <v>0</v>
      </c>
      <c r="J30" s="945"/>
      <c r="K30" s="936">
        <v>0</v>
      </c>
      <c r="L30" s="945"/>
      <c r="M30" s="936">
        <v>0</v>
      </c>
      <c r="N30" s="945"/>
      <c r="O30" s="937">
        <v>83881</v>
      </c>
      <c r="P30" s="985"/>
      <c r="Q30" s="983">
        <v>0</v>
      </c>
      <c r="R30" s="985"/>
      <c r="S30" s="936">
        <v>0</v>
      </c>
      <c r="T30" s="985"/>
      <c r="U30" s="985">
        <f t="shared" si="0"/>
        <v>83881</v>
      </c>
      <c r="V30" s="985"/>
      <c r="W30" s="936">
        <v>0</v>
      </c>
      <c r="X30" s="985"/>
      <c r="Y30" s="985">
        <f t="shared" si="1"/>
        <v>83881</v>
      </c>
      <c r="Z30" s="985"/>
      <c r="AA30" s="985">
        <v>82202</v>
      </c>
      <c r="AB30" s="985"/>
    </row>
    <row r="31" spans="1:28" ht="15" customHeight="1">
      <c r="A31" s="1083" t="s">
        <v>955</v>
      </c>
      <c r="B31" s="964" t="s">
        <v>6</v>
      </c>
      <c r="C31" s="983">
        <v>0</v>
      </c>
      <c r="D31" s="985"/>
      <c r="E31" s="983">
        <v>0</v>
      </c>
      <c r="F31" s="985"/>
      <c r="G31" s="983">
        <v>0</v>
      </c>
      <c r="H31" s="985"/>
      <c r="I31" s="983">
        <v>0</v>
      </c>
      <c r="J31" s="985"/>
      <c r="K31" s="983">
        <v>0</v>
      </c>
      <c r="L31" s="985"/>
      <c r="M31" s="983">
        <v>0</v>
      </c>
      <c r="N31" s="985"/>
      <c r="O31" s="983">
        <v>0</v>
      </c>
      <c r="P31" s="985"/>
      <c r="Q31" s="983">
        <v>0</v>
      </c>
      <c r="R31" s="985"/>
      <c r="S31" s="936">
        <v>0</v>
      </c>
      <c r="T31" s="985"/>
      <c r="U31" s="985">
        <f t="shared" si="0"/>
        <v>0</v>
      </c>
      <c r="V31" s="985"/>
      <c r="W31" s="937">
        <v>36006</v>
      </c>
      <c r="X31" s="985"/>
      <c r="Y31" s="985">
        <f t="shared" si="1"/>
        <v>36006</v>
      </c>
      <c r="Z31" s="985"/>
      <c r="AA31" s="985">
        <v>14436</v>
      </c>
      <c r="AB31" s="985"/>
    </row>
    <row r="32" spans="1:28" ht="15" customHeight="1">
      <c r="A32" s="1083" t="s">
        <v>956</v>
      </c>
      <c r="B32" s="964" t="s">
        <v>6</v>
      </c>
      <c r="C32" s="983">
        <v>0</v>
      </c>
      <c r="D32" s="985"/>
      <c r="E32" s="983">
        <v>0</v>
      </c>
      <c r="F32" s="985"/>
      <c r="G32" s="983">
        <v>0</v>
      </c>
      <c r="H32" s="985"/>
      <c r="I32" s="983">
        <v>0</v>
      </c>
      <c r="J32" s="985"/>
      <c r="K32" s="983">
        <v>0</v>
      </c>
      <c r="L32" s="985"/>
      <c r="M32" s="983">
        <v>0</v>
      </c>
      <c r="N32" s="985"/>
      <c r="O32" s="983">
        <v>0</v>
      </c>
      <c r="P32" s="985"/>
      <c r="Q32" s="983">
        <v>0</v>
      </c>
      <c r="R32" s="985"/>
      <c r="S32" s="936">
        <v>0</v>
      </c>
      <c r="T32" s="985"/>
      <c r="U32" s="985">
        <f t="shared" si="0"/>
        <v>0</v>
      </c>
      <c r="V32" s="985"/>
      <c r="W32" s="937">
        <v>44545</v>
      </c>
      <c r="X32" s="985"/>
      <c r="Y32" s="985">
        <f t="shared" si="1"/>
        <v>44545</v>
      </c>
      <c r="Z32" s="985"/>
      <c r="AA32" s="985">
        <v>7593</v>
      </c>
      <c r="AB32" s="985"/>
    </row>
    <row r="33" spans="1:28" ht="15" customHeight="1">
      <c r="A33" s="935" t="s">
        <v>957</v>
      </c>
      <c r="B33" s="964" t="s">
        <v>6</v>
      </c>
      <c r="C33" s="983">
        <v>0</v>
      </c>
      <c r="D33" s="985"/>
      <c r="E33" s="983">
        <v>0</v>
      </c>
      <c r="F33" s="985"/>
      <c r="G33" s="983">
        <v>0</v>
      </c>
      <c r="H33" s="985"/>
      <c r="I33" s="983">
        <v>0</v>
      </c>
      <c r="J33" s="985"/>
      <c r="K33" s="988">
        <v>3050</v>
      </c>
      <c r="L33" s="985"/>
      <c r="M33" s="983">
        <v>0</v>
      </c>
      <c r="N33" s="985"/>
      <c r="O33" s="983">
        <v>0</v>
      </c>
      <c r="P33" s="985"/>
      <c r="Q33" s="983">
        <v>0</v>
      </c>
      <c r="R33" s="985"/>
      <c r="S33" s="936">
        <v>0</v>
      </c>
      <c r="T33" s="985"/>
      <c r="U33" s="985">
        <f t="shared" si="0"/>
        <v>3050</v>
      </c>
      <c r="V33" s="985"/>
      <c r="W33" s="937">
        <v>36044</v>
      </c>
      <c r="X33" s="985"/>
      <c r="Y33" s="985">
        <f t="shared" si="1"/>
        <v>39094</v>
      </c>
      <c r="Z33" s="985"/>
      <c r="AA33" s="988">
        <v>48009</v>
      </c>
      <c r="AB33" s="985"/>
    </row>
    <row r="34" spans="1:28" ht="15" customHeight="1">
      <c r="A34" s="1083" t="s">
        <v>958</v>
      </c>
      <c r="B34" s="964" t="s">
        <v>6</v>
      </c>
      <c r="C34" s="983">
        <v>0</v>
      </c>
      <c r="D34" s="985"/>
      <c r="E34" s="983">
        <v>0</v>
      </c>
      <c r="F34" s="985"/>
      <c r="G34" s="988">
        <v>5634</v>
      </c>
      <c r="H34" s="985"/>
      <c r="I34" s="983">
        <v>0</v>
      </c>
      <c r="J34" s="985"/>
      <c r="K34" s="988">
        <v>39223</v>
      </c>
      <c r="L34" s="985"/>
      <c r="M34" s="983">
        <v>0</v>
      </c>
      <c r="N34" s="985"/>
      <c r="O34" s="983">
        <v>0</v>
      </c>
      <c r="P34" s="985"/>
      <c r="Q34" s="983">
        <v>0</v>
      </c>
      <c r="R34" s="985"/>
      <c r="S34" s="936">
        <v>0</v>
      </c>
      <c r="T34" s="111"/>
      <c r="U34" s="985">
        <f t="shared" si="0"/>
        <v>44857</v>
      </c>
      <c r="V34" s="985"/>
      <c r="W34" s="1085">
        <v>0</v>
      </c>
      <c r="X34" s="985"/>
      <c r="Y34" s="985">
        <f t="shared" si="1"/>
        <v>44857</v>
      </c>
      <c r="Z34" s="985"/>
      <c r="AA34" s="985">
        <v>35646</v>
      </c>
      <c r="AB34" s="985"/>
    </row>
    <row r="35" spans="1:28" ht="15" customHeight="1">
      <c r="A35" s="1086" t="s">
        <v>959</v>
      </c>
      <c r="B35" s="964" t="s">
        <v>6</v>
      </c>
      <c r="C35" s="983">
        <v>0</v>
      </c>
      <c r="D35" s="985"/>
      <c r="E35" s="983">
        <v>0</v>
      </c>
      <c r="F35" s="985"/>
      <c r="G35" s="983">
        <v>0</v>
      </c>
      <c r="H35" s="985"/>
      <c r="I35" s="983">
        <v>0</v>
      </c>
      <c r="J35" s="985"/>
      <c r="K35" s="983">
        <v>0</v>
      </c>
      <c r="L35" s="985"/>
      <c r="M35" s="983">
        <v>0</v>
      </c>
      <c r="N35" s="985"/>
      <c r="O35" s="983">
        <v>0</v>
      </c>
      <c r="P35" s="985"/>
      <c r="Q35" s="983">
        <v>0</v>
      </c>
      <c r="R35" s="985"/>
      <c r="S35" s="936">
        <v>0</v>
      </c>
      <c r="T35" s="985"/>
      <c r="U35" s="985">
        <f t="shared" si="0"/>
        <v>0</v>
      </c>
      <c r="V35" s="985"/>
      <c r="W35" s="937">
        <v>21185</v>
      </c>
      <c r="X35" s="985"/>
      <c r="Y35" s="985">
        <f t="shared" si="1"/>
        <v>21185</v>
      </c>
      <c r="Z35" s="985"/>
      <c r="AA35" s="985">
        <v>19537</v>
      </c>
      <c r="AB35" s="985"/>
    </row>
    <row r="36" spans="1:28" ht="15" customHeight="1">
      <c r="A36" s="1083" t="s">
        <v>960</v>
      </c>
      <c r="B36" s="964" t="s">
        <v>6</v>
      </c>
      <c r="C36" s="983">
        <v>0</v>
      </c>
      <c r="D36" s="985"/>
      <c r="E36" s="983">
        <v>0</v>
      </c>
      <c r="F36" s="985"/>
      <c r="G36" s="983">
        <v>0</v>
      </c>
      <c r="H36" s="985"/>
      <c r="I36" s="983">
        <v>0</v>
      </c>
      <c r="J36" s="985"/>
      <c r="K36" s="983">
        <v>0</v>
      </c>
      <c r="L36" s="985"/>
      <c r="M36" s="983">
        <v>0</v>
      </c>
      <c r="N36" s="985"/>
      <c r="O36" s="983">
        <v>0</v>
      </c>
      <c r="P36" s="985"/>
      <c r="Q36" s="983">
        <v>0</v>
      </c>
      <c r="R36" s="985"/>
      <c r="S36" s="936">
        <v>0</v>
      </c>
      <c r="T36" s="985"/>
      <c r="U36" s="985">
        <f t="shared" si="0"/>
        <v>0</v>
      </c>
      <c r="V36" s="985"/>
      <c r="W36" s="937">
        <v>116248</v>
      </c>
      <c r="X36" s="985"/>
      <c r="Y36" s="985">
        <f t="shared" si="1"/>
        <v>116248</v>
      </c>
      <c r="Z36" s="985"/>
      <c r="AA36" s="985">
        <v>126457</v>
      </c>
      <c r="AB36" s="985"/>
    </row>
    <row r="37" spans="1:28" ht="15" customHeight="1">
      <c r="A37" s="1083" t="s">
        <v>961</v>
      </c>
      <c r="B37" s="964" t="s">
        <v>6</v>
      </c>
      <c r="C37" s="983">
        <v>0</v>
      </c>
      <c r="D37" s="985"/>
      <c r="E37" s="983">
        <v>0</v>
      </c>
      <c r="F37" s="985"/>
      <c r="G37" s="983">
        <v>0</v>
      </c>
      <c r="H37" s="985"/>
      <c r="I37" s="983">
        <v>0</v>
      </c>
      <c r="J37" s="985"/>
      <c r="K37" s="983">
        <v>0</v>
      </c>
      <c r="L37" s="985"/>
      <c r="M37" s="983">
        <v>0</v>
      </c>
      <c r="N37" s="985"/>
      <c r="O37" s="983">
        <v>0</v>
      </c>
      <c r="P37" s="985"/>
      <c r="Q37" s="983">
        <v>0</v>
      </c>
      <c r="R37" s="985"/>
      <c r="S37" s="936">
        <v>0</v>
      </c>
      <c r="T37" s="985"/>
      <c r="U37" s="985">
        <f t="shared" si="0"/>
        <v>0</v>
      </c>
      <c r="V37" s="985"/>
      <c r="W37" s="936">
        <v>81900</v>
      </c>
      <c r="X37" s="985"/>
      <c r="Y37" s="985">
        <f t="shared" si="1"/>
        <v>81900</v>
      </c>
      <c r="Z37" s="985"/>
      <c r="AA37" s="988">
        <v>28038</v>
      </c>
      <c r="AB37" s="985"/>
    </row>
    <row r="38" spans="1:28" ht="15" customHeight="1">
      <c r="A38" s="1083" t="s">
        <v>962</v>
      </c>
      <c r="B38" s="964" t="s">
        <v>6</v>
      </c>
      <c r="C38" s="983">
        <v>0</v>
      </c>
      <c r="D38" s="1081"/>
      <c r="E38" s="983">
        <v>0</v>
      </c>
      <c r="F38" s="1081"/>
      <c r="G38" s="983">
        <v>9000</v>
      </c>
      <c r="H38" s="985"/>
      <c r="I38" s="983">
        <v>0</v>
      </c>
      <c r="J38" s="985"/>
      <c r="K38" s="988">
        <v>56575</v>
      </c>
      <c r="L38" s="985"/>
      <c r="M38" s="983">
        <v>0</v>
      </c>
      <c r="N38" s="985"/>
      <c r="O38" s="983">
        <v>0</v>
      </c>
      <c r="P38" s="985"/>
      <c r="Q38" s="983">
        <v>0</v>
      </c>
      <c r="R38" s="985"/>
      <c r="S38" s="936">
        <v>0</v>
      </c>
      <c r="T38" s="985"/>
      <c r="U38" s="985">
        <f t="shared" si="0"/>
        <v>65575</v>
      </c>
      <c r="V38" s="985"/>
      <c r="W38" s="937">
        <v>102473</v>
      </c>
      <c r="X38" s="985"/>
      <c r="Y38" s="985">
        <f t="shared" si="1"/>
        <v>168048</v>
      </c>
      <c r="Z38" s="985"/>
      <c r="AA38" s="985">
        <v>142164</v>
      </c>
      <c r="AB38" s="985"/>
    </row>
    <row r="39" spans="1:28" ht="14.25" customHeight="1">
      <c r="A39" s="1083" t="s">
        <v>963</v>
      </c>
      <c r="B39" s="964" t="s">
        <v>6</v>
      </c>
      <c r="C39" s="983">
        <v>0</v>
      </c>
      <c r="D39" s="985"/>
      <c r="E39" s="988">
        <v>34071</v>
      </c>
      <c r="F39" s="985"/>
      <c r="G39" s="983">
        <v>0</v>
      </c>
      <c r="H39" s="985"/>
      <c r="I39" s="983">
        <v>0</v>
      </c>
      <c r="J39" s="985"/>
      <c r="K39" s="983">
        <v>0</v>
      </c>
      <c r="L39" s="985"/>
      <c r="M39" s="983">
        <v>0</v>
      </c>
      <c r="N39" s="985"/>
      <c r="O39" s="983">
        <v>0</v>
      </c>
      <c r="P39" s="985"/>
      <c r="Q39" s="983">
        <v>0</v>
      </c>
      <c r="R39" s="985"/>
      <c r="S39" s="936">
        <v>0</v>
      </c>
      <c r="T39" s="985"/>
      <c r="U39" s="985">
        <f t="shared" si="0"/>
        <v>34071</v>
      </c>
      <c r="V39" s="985"/>
      <c r="W39" s="937">
        <v>149650</v>
      </c>
      <c r="X39" s="985"/>
      <c r="Y39" s="985">
        <f t="shared" si="1"/>
        <v>183721</v>
      </c>
      <c r="Z39" s="985"/>
      <c r="AA39" s="985">
        <v>165753</v>
      </c>
      <c r="AB39" s="985"/>
    </row>
    <row r="40" spans="1:28" ht="15" customHeight="1">
      <c r="A40" s="1083" t="s">
        <v>964</v>
      </c>
      <c r="B40" s="964" t="s">
        <v>6</v>
      </c>
      <c r="C40" s="983">
        <v>0</v>
      </c>
      <c r="D40" s="985"/>
      <c r="E40" s="983">
        <v>0</v>
      </c>
      <c r="F40" s="985"/>
      <c r="G40" s="983">
        <v>0</v>
      </c>
      <c r="H40" s="985"/>
      <c r="I40" s="983">
        <v>0</v>
      </c>
      <c r="J40" s="985"/>
      <c r="K40" s="983">
        <v>0</v>
      </c>
      <c r="L40" s="985"/>
      <c r="M40" s="983">
        <v>0</v>
      </c>
      <c r="N40" s="985"/>
      <c r="O40" s="983">
        <v>0</v>
      </c>
      <c r="P40" s="985"/>
      <c r="Q40" s="983">
        <v>0</v>
      </c>
      <c r="R40" s="985"/>
      <c r="S40" s="936">
        <v>0</v>
      </c>
      <c r="T40" s="985"/>
      <c r="U40" s="985">
        <f t="shared" si="0"/>
        <v>0</v>
      </c>
      <c r="V40" s="985"/>
      <c r="W40" s="937">
        <v>175</v>
      </c>
      <c r="X40" s="985"/>
      <c r="Y40" s="985">
        <f t="shared" si="1"/>
        <v>175</v>
      </c>
      <c r="Z40" s="985"/>
      <c r="AA40" s="988">
        <v>177</v>
      </c>
      <c r="AB40" s="985"/>
    </row>
    <row r="41" spans="1:28" ht="15" customHeight="1">
      <c r="A41" s="1083" t="s">
        <v>965</v>
      </c>
      <c r="B41" s="964" t="s">
        <v>6</v>
      </c>
      <c r="C41" s="983">
        <v>0</v>
      </c>
      <c r="D41" s="985"/>
      <c r="E41" s="983">
        <v>0</v>
      </c>
      <c r="F41" s="985"/>
      <c r="G41" s="983">
        <v>0</v>
      </c>
      <c r="H41" s="985"/>
      <c r="I41" s="983">
        <v>0</v>
      </c>
      <c r="J41" s="985"/>
      <c r="K41" s="983">
        <v>0</v>
      </c>
      <c r="L41" s="985"/>
      <c r="M41" s="983">
        <v>0</v>
      </c>
      <c r="N41" s="985"/>
      <c r="O41" s="988">
        <v>45500</v>
      </c>
      <c r="P41" s="985"/>
      <c r="Q41" s="983">
        <v>0</v>
      </c>
      <c r="R41" s="985"/>
      <c r="S41" s="936">
        <v>0</v>
      </c>
      <c r="T41" s="985"/>
      <c r="U41" s="985">
        <f t="shared" si="0"/>
        <v>45500</v>
      </c>
      <c r="V41" s="985"/>
      <c r="W41" s="936">
        <v>376</v>
      </c>
      <c r="X41" s="985"/>
      <c r="Y41" s="985">
        <f t="shared" si="1"/>
        <v>45876</v>
      </c>
      <c r="Z41" s="985"/>
      <c r="AA41" s="985">
        <v>32711</v>
      </c>
      <c r="AB41" s="985"/>
    </row>
    <row r="42" spans="1:28" ht="15" customHeight="1">
      <c r="A42" s="1083" t="s">
        <v>810</v>
      </c>
      <c r="B42" s="964" t="s">
        <v>6</v>
      </c>
      <c r="C42" s="936"/>
      <c r="D42" s="985"/>
      <c r="E42" s="983"/>
      <c r="F42" s="985"/>
      <c r="G42" s="983"/>
      <c r="H42" s="985"/>
      <c r="I42" s="983"/>
      <c r="J42" s="985"/>
      <c r="K42" s="983"/>
      <c r="L42" s="985"/>
      <c r="M42" s="983"/>
      <c r="N42" s="985"/>
      <c r="O42" s="983"/>
      <c r="P42" s="985"/>
      <c r="Q42" s="983"/>
      <c r="R42" s="985"/>
      <c r="S42" s="936"/>
      <c r="T42" s="985"/>
      <c r="U42" s="985" t="s">
        <v>6</v>
      </c>
      <c r="V42" s="985"/>
      <c r="W42" s="936"/>
      <c r="X42" s="985"/>
      <c r="Y42" s="985" t="s">
        <v>6</v>
      </c>
      <c r="Z42" s="985"/>
      <c r="AA42" s="983" t="s">
        <v>6</v>
      </c>
      <c r="AB42" s="985"/>
    </row>
    <row r="43" spans="1:28" s="911" customFormat="1" ht="15" customHeight="1">
      <c r="A43" s="1087" t="s">
        <v>966</v>
      </c>
      <c r="B43" s="935" t="s">
        <v>6</v>
      </c>
      <c r="C43" s="936">
        <v>0</v>
      </c>
      <c r="D43" s="945"/>
      <c r="E43" s="936">
        <v>0</v>
      </c>
      <c r="F43" s="945"/>
      <c r="G43" s="937">
        <v>0</v>
      </c>
      <c r="H43" s="945"/>
      <c r="I43" s="936">
        <v>0</v>
      </c>
      <c r="J43" s="945"/>
      <c r="K43" s="936">
        <v>0</v>
      </c>
      <c r="L43" s="945"/>
      <c r="M43" s="936">
        <v>0</v>
      </c>
      <c r="N43" s="945"/>
      <c r="O43" s="936">
        <v>0</v>
      </c>
      <c r="P43" s="945"/>
      <c r="Q43" s="936">
        <v>0</v>
      </c>
      <c r="R43" s="945"/>
      <c r="S43" s="936">
        <v>0</v>
      </c>
      <c r="T43" s="945"/>
      <c r="U43" s="945">
        <f t="shared" si="0"/>
        <v>0</v>
      </c>
      <c r="V43" s="945"/>
      <c r="W43" s="936">
        <v>0</v>
      </c>
      <c r="X43" s="945"/>
      <c r="Y43" s="945">
        <f t="shared" si="1"/>
        <v>0</v>
      </c>
      <c r="Z43" s="945"/>
      <c r="AA43" s="936">
        <v>2110</v>
      </c>
      <c r="AB43" s="945"/>
    </row>
    <row r="44" spans="1:28" s="911" customFormat="1" ht="15" customHeight="1">
      <c r="A44" s="1087" t="s">
        <v>967</v>
      </c>
      <c r="B44" s="935" t="s">
        <v>6</v>
      </c>
      <c r="C44" s="937">
        <v>0</v>
      </c>
      <c r="D44" s="945"/>
      <c r="E44" s="936">
        <v>0</v>
      </c>
      <c r="F44" s="945"/>
      <c r="G44" s="937">
        <v>163307</v>
      </c>
      <c r="H44" s="945"/>
      <c r="I44" s="936">
        <v>0</v>
      </c>
      <c r="J44" s="945"/>
      <c r="K44" s="936">
        <v>0</v>
      </c>
      <c r="L44" s="945"/>
      <c r="M44" s="936">
        <v>0</v>
      </c>
      <c r="N44" s="945"/>
      <c r="O44" s="936">
        <v>0</v>
      </c>
      <c r="P44" s="945"/>
      <c r="Q44" s="937">
        <v>43124</v>
      </c>
      <c r="R44" s="945"/>
      <c r="S44" s="936">
        <v>0</v>
      </c>
      <c r="T44" s="945"/>
      <c r="U44" s="945">
        <f t="shared" si="0"/>
        <v>206431</v>
      </c>
      <c r="V44" s="945"/>
      <c r="W44" s="936">
        <v>0</v>
      </c>
      <c r="X44" s="945"/>
      <c r="Y44" s="945">
        <f t="shared" si="1"/>
        <v>206431</v>
      </c>
      <c r="Z44" s="945"/>
      <c r="AA44" s="937">
        <v>61046</v>
      </c>
      <c r="AB44" s="945"/>
    </row>
    <row r="45" spans="1:28" s="911" customFormat="1" ht="15" customHeight="1">
      <c r="A45" s="1087" t="s">
        <v>968</v>
      </c>
      <c r="B45" s="935" t="s">
        <v>6</v>
      </c>
      <c r="C45" s="936">
        <v>0</v>
      </c>
      <c r="D45" s="945"/>
      <c r="E45" s="936">
        <v>0</v>
      </c>
      <c r="F45" s="945"/>
      <c r="G45" s="936">
        <v>0</v>
      </c>
      <c r="H45" s="945"/>
      <c r="I45" s="936">
        <v>0</v>
      </c>
      <c r="J45" s="945"/>
      <c r="K45" s="936">
        <v>0</v>
      </c>
      <c r="L45" s="945"/>
      <c r="M45" s="936">
        <v>0</v>
      </c>
      <c r="N45" s="945"/>
      <c r="O45" s="936">
        <v>0</v>
      </c>
      <c r="P45" s="945"/>
      <c r="Q45" s="936">
        <v>0</v>
      </c>
      <c r="R45" s="945"/>
      <c r="S45" s="936">
        <v>0</v>
      </c>
      <c r="T45" s="945"/>
      <c r="U45" s="945">
        <f t="shared" si="0"/>
        <v>0</v>
      </c>
      <c r="V45" s="945"/>
      <c r="W45" s="937">
        <v>13682</v>
      </c>
      <c r="X45" s="945"/>
      <c r="Y45" s="945">
        <f t="shared" si="1"/>
        <v>13682</v>
      </c>
      <c r="Z45" s="945"/>
      <c r="AA45" s="937">
        <v>12589</v>
      </c>
      <c r="AB45" s="945"/>
    </row>
    <row r="46" spans="1:28" s="911" customFormat="1" ht="15" customHeight="1">
      <c r="A46" s="1087" t="s">
        <v>969</v>
      </c>
      <c r="B46" s="935"/>
      <c r="C46" s="936">
        <v>136</v>
      </c>
      <c r="D46" s="936">
        <v>0</v>
      </c>
      <c r="E46" s="936">
        <v>0</v>
      </c>
      <c r="F46" s="936">
        <v>0</v>
      </c>
      <c r="G46" s="936">
        <v>0</v>
      </c>
      <c r="H46" s="936">
        <v>0</v>
      </c>
      <c r="I46" s="936">
        <v>0</v>
      </c>
      <c r="J46" s="936">
        <v>0</v>
      </c>
      <c r="K46" s="936">
        <v>0</v>
      </c>
      <c r="L46" s="936">
        <v>0</v>
      </c>
      <c r="M46" s="936">
        <v>0</v>
      </c>
      <c r="N46" s="936">
        <v>0</v>
      </c>
      <c r="O46" s="936">
        <v>0</v>
      </c>
      <c r="P46" s="936">
        <v>0</v>
      </c>
      <c r="Q46" s="936">
        <v>0</v>
      </c>
      <c r="R46" s="936">
        <v>0</v>
      </c>
      <c r="S46" s="936">
        <v>0</v>
      </c>
      <c r="T46" s="950" t="s">
        <v>6</v>
      </c>
      <c r="U46" s="945">
        <f>ROUND(SUM(C46:S46),1)</f>
        <v>136</v>
      </c>
      <c r="V46" s="936">
        <v>0</v>
      </c>
      <c r="W46" s="936">
        <v>0</v>
      </c>
      <c r="X46" s="936">
        <v>0</v>
      </c>
      <c r="Y46" s="945">
        <f t="shared" si="1"/>
        <v>136</v>
      </c>
      <c r="Z46" s="936">
        <v>0</v>
      </c>
      <c r="AA46" s="936">
        <v>2086</v>
      </c>
      <c r="AB46" s="936">
        <v>0</v>
      </c>
    </row>
    <row r="47" spans="1:28" s="911" customFormat="1" ht="15" customHeight="1">
      <c r="A47" s="1087" t="s">
        <v>970</v>
      </c>
      <c r="B47" s="935" t="s">
        <v>6</v>
      </c>
      <c r="C47" s="936">
        <v>0</v>
      </c>
      <c r="D47" s="945"/>
      <c r="E47" s="936">
        <v>0</v>
      </c>
      <c r="F47" s="945"/>
      <c r="G47" s="936">
        <v>0</v>
      </c>
      <c r="H47" s="945"/>
      <c r="I47" s="936">
        <v>0</v>
      </c>
      <c r="J47" s="945"/>
      <c r="K47" s="936">
        <v>0</v>
      </c>
      <c r="L47" s="945"/>
      <c r="M47" s="936">
        <v>0</v>
      </c>
      <c r="N47" s="945"/>
      <c r="O47" s="936">
        <v>0</v>
      </c>
      <c r="P47" s="945"/>
      <c r="Q47" s="936">
        <v>0</v>
      </c>
      <c r="R47" s="945"/>
      <c r="S47" s="936">
        <v>0</v>
      </c>
      <c r="T47" s="945"/>
      <c r="U47" s="945">
        <f t="shared" si="0"/>
        <v>0</v>
      </c>
      <c r="V47" s="945"/>
      <c r="W47" s="942">
        <v>7750</v>
      </c>
      <c r="X47" s="945"/>
      <c r="Y47" s="945">
        <f t="shared" si="1"/>
        <v>7750</v>
      </c>
      <c r="Z47" s="945"/>
      <c r="AA47" s="937">
        <v>1640</v>
      </c>
      <c r="AB47" s="945"/>
    </row>
    <row r="48" spans="1:28" s="911" customFormat="1" ht="15" customHeight="1">
      <c r="A48" s="1087" t="s">
        <v>971</v>
      </c>
      <c r="B48" s="935" t="s">
        <v>6</v>
      </c>
      <c r="C48" s="936">
        <v>0</v>
      </c>
      <c r="D48" s="945"/>
      <c r="E48" s="936">
        <v>0</v>
      </c>
      <c r="F48" s="945"/>
      <c r="G48" s="936">
        <v>0</v>
      </c>
      <c r="H48" s="945"/>
      <c r="I48" s="936">
        <v>0</v>
      </c>
      <c r="J48" s="945"/>
      <c r="K48" s="936">
        <v>0</v>
      </c>
      <c r="L48" s="945"/>
      <c r="M48" s="936">
        <v>0</v>
      </c>
      <c r="N48" s="945"/>
      <c r="O48" s="936">
        <v>0</v>
      </c>
      <c r="P48" s="945"/>
      <c r="Q48" s="937">
        <v>1346</v>
      </c>
      <c r="R48" s="945"/>
      <c r="S48" s="937">
        <v>1379</v>
      </c>
      <c r="T48" s="945"/>
      <c r="U48" s="945">
        <f t="shared" si="0"/>
        <v>2725</v>
      </c>
      <c r="V48" s="945"/>
      <c r="W48" s="936">
        <v>0</v>
      </c>
      <c r="X48" s="945"/>
      <c r="Y48" s="945">
        <f t="shared" si="1"/>
        <v>2725</v>
      </c>
      <c r="Z48" s="945"/>
      <c r="AA48" s="936">
        <v>4091</v>
      </c>
      <c r="AB48" s="945"/>
    </row>
    <row r="49" spans="1:28" s="911" customFormat="1" ht="15" customHeight="1">
      <c r="A49" s="1087" t="s">
        <v>2625</v>
      </c>
      <c r="B49" s="935" t="s">
        <v>6</v>
      </c>
      <c r="C49" s="936">
        <v>0</v>
      </c>
      <c r="D49" s="945"/>
      <c r="E49" s="936">
        <v>0</v>
      </c>
      <c r="F49" s="945"/>
      <c r="G49" s="936">
        <v>0</v>
      </c>
      <c r="H49" s="945"/>
      <c r="I49" s="936">
        <v>0</v>
      </c>
      <c r="J49" s="945"/>
      <c r="K49" s="936">
        <v>0</v>
      </c>
      <c r="L49" s="945"/>
      <c r="M49" s="936">
        <v>0</v>
      </c>
      <c r="N49" s="945"/>
      <c r="O49" s="936">
        <v>0</v>
      </c>
      <c r="P49" s="945"/>
      <c r="Q49" s="937">
        <v>0</v>
      </c>
      <c r="R49" s="945"/>
      <c r="S49" s="937">
        <v>0</v>
      </c>
      <c r="T49" s="945"/>
      <c r="U49" s="945">
        <f t="shared" ref="U49" si="2">ROUND(SUM(C49:S49),1)</f>
        <v>0</v>
      </c>
      <c r="V49" s="945"/>
      <c r="W49" s="936">
        <v>608420</v>
      </c>
      <c r="X49" s="945"/>
      <c r="Y49" s="945">
        <f t="shared" ref="Y49" si="3">ROUND(SUM(U49:X49),1)</f>
        <v>608420</v>
      </c>
      <c r="Z49" s="945"/>
      <c r="AA49" s="936">
        <v>0</v>
      </c>
      <c r="AB49" s="945"/>
    </row>
    <row r="50" spans="1:28" s="911" customFormat="1" ht="15" customHeight="1">
      <c r="A50" s="1087" t="s">
        <v>972</v>
      </c>
      <c r="B50" s="935" t="s">
        <v>6</v>
      </c>
      <c r="C50" s="936">
        <v>0</v>
      </c>
      <c r="D50" s="945"/>
      <c r="E50" s="936">
        <v>0</v>
      </c>
      <c r="F50" s="945"/>
      <c r="G50" s="936">
        <v>0</v>
      </c>
      <c r="H50" s="945"/>
      <c r="I50" s="936">
        <v>0</v>
      </c>
      <c r="J50" s="945"/>
      <c r="K50" s="936">
        <v>0</v>
      </c>
      <c r="L50" s="945"/>
      <c r="M50" s="936">
        <v>0</v>
      </c>
      <c r="N50" s="945"/>
      <c r="O50" s="936">
        <v>0</v>
      </c>
      <c r="P50" s="945"/>
      <c r="Q50" s="936">
        <v>0</v>
      </c>
      <c r="R50" s="945"/>
      <c r="S50" s="936">
        <v>0</v>
      </c>
      <c r="T50" s="945"/>
      <c r="U50" s="945">
        <f t="shared" si="0"/>
        <v>0</v>
      </c>
      <c r="V50" s="945"/>
      <c r="W50" s="942">
        <v>10500</v>
      </c>
      <c r="X50" s="945"/>
      <c r="Y50" s="945">
        <f t="shared" si="1"/>
        <v>10500</v>
      </c>
      <c r="Z50" s="945"/>
      <c r="AA50" s="936">
        <v>9900</v>
      </c>
      <c r="AB50" s="945"/>
    </row>
    <row r="51" spans="1:28" s="911" customFormat="1" ht="15" customHeight="1">
      <c r="A51" s="1087" t="s">
        <v>973</v>
      </c>
      <c r="B51" s="935" t="s">
        <v>6</v>
      </c>
      <c r="C51" s="937">
        <v>14217</v>
      </c>
      <c r="D51" s="945"/>
      <c r="E51" s="936">
        <v>0</v>
      </c>
      <c r="F51" s="945"/>
      <c r="G51" s="937">
        <v>103591</v>
      </c>
      <c r="H51" s="945"/>
      <c r="I51" s="936">
        <v>0</v>
      </c>
      <c r="J51" s="945"/>
      <c r="K51" s="936">
        <v>0</v>
      </c>
      <c r="L51" s="945"/>
      <c r="M51" s="936">
        <v>0</v>
      </c>
      <c r="N51" s="945"/>
      <c r="O51" s="936">
        <v>0</v>
      </c>
      <c r="P51" s="945"/>
      <c r="Q51" s="937">
        <v>525441</v>
      </c>
      <c r="R51" s="945"/>
      <c r="S51" s="936">
        <v>0</v>
      </c>
      <c r="T51" s="945"/>
      <c r="U51" s="945">
        <f t="shared" si="0"/>
        <v>643249</v>
      </c>
      <c r="V51" s="945"/>
      <c r="W51" s="936">
        <v>0</v>
      </c>
      <c r="X51" s="945"/>
      <c r="Y51" s="945">
        <f t="shared" si="1"/>
        <v>643249</v>
      </c>
      <c r="Z51" s="945"/>
      <c r="AA51" s="945">
        <v>425266</v>
      </c>
      <c r="AB51" s="945"/>
    </row>
    <row r="52" spans="1:28" ht="15" customHeight="1">
      <c r="A52" s="1083" t="s">
        <v>974</v>
      </c>
      <c r="B52" s="964" t="s">
        <v>6</v>
      </c>
      <c r="C52" s="942">
        <v>13905</v>
      </c>
      <c r="D52" s="945"/>
      <c r="E52" s="936">
        <v>0</v>
      </c>
      <c r="F52" s="945"/>
      <c r="G52" s="936">
        <v>0</v>
      </c>
      <c r="H52" s="945"/>
      <c r="I52" s="936">
        <v>0</v>
      </c>
      <c r="J52" s="945"/>
      <c r="K52" s="936">
        <v>0</v>
      </c>
      <c r="L52" s="945"/>
      <c r="M52" s="936">
        <v>0</v>
      </c>
      <c r="N52" s="945"/>
      <c r="O52" s="936">
        <v>0</v>
      </c>
      <c r="P52" s="945"/>
      <c r="Q52" s="936">
        <v>0</v>
      </c>
      <c r="R52" s="945"/>
      <c r="S52" s="936">
        <v>0</v>
      </c>
      <c r="T52" s="945"/>
      <c r="U52" s="945">
        <f t="shared" si="0"/>
        <v>13905</v>
      </c>
      <c r="V52" s="945"/>
      <c r="W52" s="937">
        <v>6518</v>
      </c>
      <c r="X52" s="985"/>
      <c r="Y52" s="985">
        <f t="shared" si="1"/>
        <v>20423</v>
      </c>
      <c r="Z52" s="985"/>
      <c r="AA52" s="985">
        <v>18583</v>
      </c>
      <c r="AB52" s="985"/>
    </row>
    <row r="53" spans="1:28" ht="15" customHeight="1">
      <c r="A53" s="1083" t="s">
        <v>975</v>
      </c>
      <c r="B53" s="964" t="s">
        <v>6</v>
      </c>
      <c r="C53" s="983">
        <v>0</v>
      </c>
      <c r="D53" s="985"/>
      <c r="E53" s="983">
        <v>0</v>
      </c>
      <c r="F53" s="985"/>
      <c r="G53" s="983">
        <v>0</v>
      </c>
      <c r="H53" s="985"/>
      <c r="I53" s="983">
        <v>0</v>
      </c>
      <c r="J53" s="985"/>
      <c r="K53" s="983">
        <v>0</v>
      </c>
      <c r="L53" s="985"/>
      <c r="M53" s="983">
        <v>0</v>
      </c>
      <c r="N53" s="985"/>
      <c r="O53" s="983">
        <v>0</v>
      </c>
      <c r="P53" s="985"/>
      <c r="Q53" s="983">
        <v>0</v>
      </c>
      <c r="R53" s="985"/>
      <c r="S53" s="936">
        <v>0</v>
      </c>
      <c r="T53" s="985"/>
      <c r="U53" s="985">
        <f t="shared" si="0"/>
        <v>0</v>
      </c>
      <c r="V53" s="985"/>
      <c r="W53" s="937">
        <v>42629</v>
      </c>
      <c r="X53" s="985"/>
      <c r="Y53" s="985">
        <f t="shared" si="1"/>
        <v>42629</v>
      </c>
      <c r="Z53" s="985"/>
      <c r="AA53" s="985">
        <v>27995</v>
      </c>
      <c r="AB53" s="985"/>
    </row>
    <row r="54" spans="1:28" ht="15" customHeight="1">
      <c r="A54" s="1083" t="s">
        <v>976</v>
      </c>
      <c r="B54" s="964" t="s">
        <v>6</v>
      </c>
      <c r="C54" s="983">
        <v>0</v>
      </c>
      <c r="D54" s="985"/>
      <c r="E54" s="983">
        <v>0</v>
      </c>
      <c r="F54" s="985"/>
      <c r="G54" s="983">
        <v>0</v>
      </c>
      <c r="H54" s="985"/>
      <c r="I54" s="983">
        <v>0</v>
      </c>
      <c r="J54" s="985"/>
      <c r="K54" s="983">
        <v>0</v>
      </c>
      <c r="L54" s="985"/>
      <c r="M54" s="983">
        <v>0</v>
      </c>
      <c r="N54" s="985"/>
      <c r="O54" s="983">
        <v>0</v>
      </c>
      <c r="P54" s="985"/>
      <c r="Q54" s="983">
        <v>0</v>
      </c>
      <c r="R54" s="985"/>
      <c r="S54" s="936">
        <v>0</v>
      </c>
      <c r="T54" s="985"/>
      <c r="U54" s="985">
        <f t="shared" si="0"/>
        <v>0</v>
      </c>
      <c r="V54" s="985"/>
      <c r="W54" s="937">
        <v>904188</v>
      </c>
      <c r="X54" s="985"/>
      <c r="Y54" s="985">
        <f t="shared" si="1"/>
        <v>904188</v>
      </c>
      <c r="Z54" s="985"/>
      <c r="AA54" s="988">
        <v>857841</v>
      </c>
      <c r="AB54" s="985"/>
    </row>
    <row r="55" spans="1:28" ht="15" customHeight="1">
      <c r="A55" s="1083" t="s">
        <v>977</v>
      </c>
      <c r="B55" s="964" t="s">
        <v>6</v>
      </c>
      <c r="C55" s="983">
        <v>0</v>
      </c>
      <c r="D55" s="985"/>
      <c r="E55" s="983">
        <v>0</v>
      </c>
      <c r="F55" s="985"/>
      <c r="G55" s="983">
        <v>0</v>
      </c>
      <c r="H55" s="985"/>
      <c r="I55" s="983">
        <v>0</v>
      </c>
      <c r="J55" s="985"/>
      <c r="K55" s="983">
        <v>0</v>
      </c>
      <c r="L55" s="985"/>
      <c r="M55" s="983">
        <v>0</v>
      </c>
      <c r="N55" s="985"/>
      <c r="O55" s="983">
        <v>0</v>
      </c>
      <c r="P55" s="985"/>
      <c r="Q55" s="983">
        <v>0</v>
      </c>
      <c r="R55" s="985"/>
      <c r="S55" s="936">
        <v>0</v>
      </c>
      <c r="T55" s="985"/>
      <c r="U55" s="985">
        <f t="shared" si="0"/>
        <v>0</v>
      </c>
      <c r="V55" s="985"/>
      <c r="W55" s="937">
        <v>0</v>
      </c>
      <c r="X55" s="985"/>
      <c r="Y55" s="985">
        <f t="shared" si="1"/>
        <v>0</v>
      </c>
      <c r="Z55" s="985"/>
      <c r="AA55" s="988">
        <v>0</v>
      </c>
      <c r="AB55" s="985"/>
    </row>
    <row r="56" spans="1:28" ht="15" customHeight="1">
      <c r="A56" s="1086" t="s">
        <v>978</v>
      </c>
      <c r="B56" s="964" t="s">
        <v>6</v>
      </c>
      <c r="C56" s="1088">
        <v>0</v>
      </c>
      <c r="D56" s="985"/>
      <c r="E56" s="1088">
        <v>0</v>
      </c>
      <c r="F56" s="985"/>
      <c r="G56" s="1088">
        <v>0</v>
      </c>
      <c r="H56" s="985"/>
      <c r="I56" s="1088">
        <v>0</v>
      </c>
      <c r="J56" s="985"/>
      <c r="K56" s="1088">
        <v>0</v>
      </c>
      <c r="L56" s="985"/>
      <c r="M56" s="1088">
        <v>0</v>
      </c>
      <c r="N56" s="985"/>
      <c r="O56" s="1088">
        <v>0</v>
      </c>
      <c r="P56" s="985"/>
      <c r="Q56" s="1088">
        <v>0</v>
      </c>
      <c r="R56" s="985"/>
      <c r="S56" s="1088">
        <v>0</v>
      </c>
      <c r="T56" s="985"/>
      <c r="U56" s="985">
        <f t="shared" si="0"/>
        <v>0</v>
      </c>
      <c r="V56" s="985"/>
      <c r="W56" s="1699">
        <f>454+100+23876+3117+1</f>
        <v>27548</v>
      </c>
      <c r="X56" s="985"/>
      <c r="Y56" s="985">
        <f t="shared" si="1"/>
        <v>27548</v>
      </c>
      <c r="Z56" s="985"/>
      <c r="AA56" s="1090">
        <v>40088</v>
      </c>
      <c r="AB56" s="985"/>
    </row>
    <row r="57" spans="1:28" ht="21.75" customHeight="1" thickBot="1">
      <c r="A57" s="966" t="s">
        <v>979</v>
      </c>
      <c r="B57" s="964" t="s">
        <v>6</v>
      </c>
      <c r="C57" s="991">
        <f>ROUND(SUM(C17:C56),1)</f>
        <v>28258</v>
      </c>
      <c r="D57" s="1072"/>
      <c r="E57" s="991">
        <f>ROUND(SUM(E17:E56),1)</f>
        <v>152368</v>
      </c>
      <c r="F57" s="1072"/>
      <c r="G57" s="1091">
        <f>ROUND(SUM(G17:G56),1)</f>
        <v>303423</v>
      </c>
      <c r="H57" s="1072"/>
      <c r="I57" s="991">
        <f>ROUND(SUM(I17:I56),1)</f>
        <v>0</v>
      </c>
      <c r="J57" s="1072"/>
      <c r="K57" s="991">
        <f>ROUND(SUM(K17:K56),1)</f>
        <v>98848</v>
      </c>
      <c r="L57" s="1072"/>
      <c r="M57" s="991">
        <f>ROUND(SUM(M17:M56),1)</f>
        <v>97714</v>
      </c>
      <c r="N57" s="1072"/>
      <c r="O57" s="991">
        <f>ROUND(SUM(O17:O56),1)</f>
        <v>129381</v>
      </c>
      <c r="P57" s="1072"/>
      <c r="Q57" s="991">
        <f>ROUND(SUM(Q17:Q56),1)</f>
        <v>569911</v>
      </c>
      <c r="R57" s="1072"/>
      <c r="S57" s="991">
        <f>ROUND(SUM(S17:S56),1)</f>
        <v>506402</v>
      </c>
      <c r="T57" s="1072"/>
      <c r="U57" s="1092">
        <f>ROUND(SUM(U17:U56),1)</f>
        <v>1886305</v>
      </c>
      <c r="V57" s="1072"/>
      <c r="W57" s="1091">
        <f>ROUND(SUM(W17:W56),1)</f>
        <v>5057343</v>
      </c>
      <c r="X57" s="1072"/>
      <c r="Y57" s="1092">
        <f>ROUND(SUM(Y17:Y56),1)</f>
        <v>6943648</v>
      </c>
      <c r="Z57" s="1067"/>
      <c r="AA57" s="991">
        <f>ROUND(SUM(AA17:AA56),1)</f>
        <v>5721458</v>
      </c>
      <c r="AB57" s="1093"/>
    </row>
    <row r="58" spans="1:28" ht="11.25" customHeight="1" thickTop="1">
      <c r="A58" s="964"/>
      <c r="B58" s="964"/>
      <c r="C58" s="1094"/>
      <c r="D58" s="985"/>
      <c r="E58" s="1094"/>
      <c r="F58" s="985"/>
      <c r="G58" s="985"/>
      <c r="H58" s="985"/>
      <c r="I58" s="1094"/>
      <c r="J58" s="985"/>
      <c r="K58" s="1094"/>
      <c r="L58" s="985"/>
      <c r="M58" s="1094"/>
      <c r="N58" s="985"/>
      <c r="O58" s="1094"/>
      <c r="P58" s="985"/>
      <c r="Q58" s="1094"/>
      <c r="R58" s="985"/>
      <c r="S58" s="1094"/>
      <c r="T58" s="985"/>
      <c r="U58" s="1094"/>
      <c r="V58" s="985"/>
      <c r="W58" s="992"/>
      <c r="X58" s="985"/>
      <c r="Y58" s="1094"/>
      <c r="Z58" s="992"/>
      <c r="AA58" s="1095"/>
      <c r="AB58" s="985"/>
    </row>
    <row r="59" spans="1:28">
      <c r="A59" s="1096"/>
      <c r="B59" s="1096"/>
      <c r="C59" s="1096"/>
      <c r="D59" s="1096"/>
      <c r="E59" s="1096"/>
      <c r="F59" s="1096"/>
      <c r="G59" s="1096"/>
      <c r="H59" s="1096"/>
      <c r="I59" s="1096"/>
      <c r="J59" s="1096"/>
      <c r="K59" s="1096"/>
      <c r="L59" s="1096"/>
      <c r="M59" s="1096"/>
      <c r="N59" s="1096"/>
      <c r="O59" s="1096"/>
      <c r="P59" s="1096"/>
      <c r="Q59" s="1096"/>
      <c r="R59" s="1096"/>
      <c r="S59" s="1096"/>
      <c r="T59" s="1096"/>
      <c r="U59" s="1096"/>
      <c r="V59" s="1096"/>
      <c r="W59" s="1096"/>
      <c r="X59" s="1096"/>
      <c r="Y59" s="1096"/>
      <c r="Z59" s="1096"/>
      <c r="AA59" s="1096"/>
      <c r="AB59" s="1096"/>
    </row>
    <row r="60" spans="1:28">
      <c r="A60" s="1096"/>
      <c r="B60" s="1096"/>
      <c r="C60" s="1097"/>
      <c r="D60" s="1097"/>
      <c r="E60" s="1097"/>
      <c r="F60" s="1097"/>
      <c r="G60" s="1097"/>
      <c r="H60" s="1097"/>
      <c r="I60" s="1097"/>
      <c r="J60" s="1097"/>
      <c r="K60" s="1097"/>
      <c r="L60" s="1097"/>
      <c r="M60" s="1097"/>
      <c r="N60" s="1097"/>
      <c r="O60" s="1097"/>
      <c r="P60" s="1097"/>
      <c r="Q60" s="1097"/>
      <c r="R60" s="1097"/>
      <c r="S60" s="1097"/>
      <c r="T60" s="1097"/>
      <c r="U60" s="1097"/>
      <c r="V60" s="1097"/>
      <c r="W60" s="1097"/>
      <c r="X60" s="1097"/>
      <c r="Y60" s="1097"/>
      <c r="Z60" s="1097"/>
      <c r="AA60" s="1097"/>
      <c r="AB60" s="1097"/>
    </row>
    <row r="61" spans="1:28">
      <c r="A61" s="252"/>
      <c r="B61" s="964"/>
      <c r="C61" s="111"/>
      <c r="D61" s="111"/>
      <c r="E61" s="111"/>
      <c r="F61" s="111"/>
      <c r="G61" s="111"/>
      <c r="H61" s="111"/>
      <c r="I61" s="111"/>
      <c r="J61" s="111"/>
      <c r="K61" s="111"/>
      <c r="L61" s="111"/>
      <c r="M61" s="1098"/>
      <c r="N61" s="111"/>
      <c r="O61" s="111"/>
      <c r="P61" s="111"/>
      <c r="Q61" s="111"/>
      <c r="R61" s="111"/>
      <c r="S61" s="111"/>
      <c r="T61" s="111"/>
      <c r="U61" s="111"/>
      <c r="V61" s="111"/>
      <c r="W61" s="111"/>
      <c r="X61" s="111"/>
      <c r="Y61" s="111"/>
      <c r="Z61" s="111"/>
      <c r="AA61" s="111"/>
      <c r="AB61" s="985"/>
    </row>
    <row r="63" spans="1:28">
      <c r="A63" s="252"/>
      <c r="B63" s="964"/>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985"/>
    </row>
    <row r="64" spans="1:28">
      <c r="B64" s="981"/>
      <c r="T64" s="1099"/>
      <c r="U64" s="1099"/>
      <c r="V64" s="1099"/>
      <c r="W64" s="1099"/>
      <c r="Y64" s="1099"/>
      <c r="Z64" s="1099"/>
      <c r="AB64" s="1098"/>
    </row>
    <row r="65" spans="2:28">
      <c r="B65" s="981"/>
      <c r="T65" s="1099"/>
      <c r="U65" s="1099"/>
      <c r="AB65" s="1098"/>
    </row>
    <row r="66" spans="2:28">
      <c r="B66" s="981"/>
      <c r="T66" s="1099"/>
      <c r="U66" s="1099"/>
      <c r="AB66" s="1098"/>
    </row>
    <row r="67" spans="2:28">
      <c r="B67" s="981"/>
      <c r="T67" s="1099"/>
      <c r="U67" s="1099"/>
      <c r="AB67" s="1098"/>
    </row>
    <row r="68" spans="2:28">
      <c r="B68" s="981"/>
      <c r="T68" s="1099"/>
      <c r="U68" s="1099"/>
      <c r="AB68" s="1098"/>
    </row>
    <row r="69" spans="2:28">
      <c r="B69" s="981"/>
      <c r="T69" s="1099"/>
      <c r="U69" s="1099"/>
      <c r="AB69" s="1098"/>
    </row>
    <row r="70" spans="2:28">
      <c r="B70" s="981"/>
      <c r="T70" s="1099"/>
      <c r="U70" s="1099"/>
      <c r="AB70" s="1098"/>
    </row>
    <row r="71" spans="2:28">
      <c r="B71" s="981"/>
      <c r="T71" s="1099"/>
      <c r="AB71" s="1098"/>
    </row>
    <row r="72" spans="2:28">
      <c r="B72" s="981"/>
      <c r="T72" s="1099"/>
      <c r="AB72" s="1098"/>
    </row>
    <row r="73" spans="2:28">
      <c r="B73" s="981"/>
      <c r="T73" s="1099"/>
      <c r="AB73" s="1098"/>
    </row>
    <row r="74" spans="2:28">
      <c r="B74" s="981"/>
      <c r="T74" s="1099"/>
      <c r="AB74" s="1098"/>
    </row>
    <row r="75" spans="2:28">
      <c r="B75" s="981"/>
      <c r="T75" s="1099"/>
      <c r="AB75" s="1098"/>
    </row>
    <row r="76" spans="2:28">
      <c r="B76" s="981"/>
      <c r="T76" s="1099"/>
      <c r="AB76" s="1098"/>
    </row>
    <row r="77" spans="2:28">
      <c r="B77" s="981"/>
      <c r="T77" s="1099"/>
      <c r="AB77" s="1098"/>
    </row>
    <row r="78" spans="2:28">
      <c r="AB78" s="1098"/>
    </row>
    <row r="79" spans="2:28">
      <c r="AB79" s="1098"/>
    </row>
    <row r="80" spans="2:28">
      <c r="AB80" s="1098"/>
    </row>
    <row r="81" spans="28:28">
      <c r="AB81" s="1098"/>
    </row>
    <row r="82" spans="28:28">
      <c r="AB82" s="1098"/>
    </row>
    <row r="83" spans="28:28">
      <c r="AB83" s="1098"/>
    </row>
    <row r="84" spans="28:28">
      <c r="AB84" s="1098"/>
    </row>
    <row r="85" spans="28:28">
      <c r="AB85" s="1098"/>
    </row>
    <row r="86" spans="28:28">
      <c r="AB86" s="1098"/>
    </row>
    <row r="87" spans="28:28">
      <c r="AB87" s="1098"/>
    </row>
    <row r="88" spans="28:28">
      <c r="AB88" s="1098"/>
    </row>
    <row r="89" spans="28:28">
      <c r="AB89" s="1098"/>
    </row>
    <row r="90" spans="28:28">
      <c r="AB90" s="1098"/>
    </row>
    <row r="91" spans="28:28">
      <c r="AB91" s="1098"/>
    </row>
    <row r="92" spans="28:28">
      <c r="AB92" s="1098"/>
    </row>
    <row r="93" spans="28:28">
      <c r="AB93" s="1098"/>
    </row>
    <row r="94" spans="28:28">
      <c r="AB94" s="1098"/>
    </row>
    <row r="95" spans="28:28">
      <c r="AB95" s="1098"/>
    </row>
    <row r="96" spans="28:28">
      <c r="AB96" s="1098"/>
    </row>
    <row r="97" spans="28:28">
      <c r="AB97" s="1098"/>
    </row>
    <row r="98" spans="28:28">
      <c r="AB98" s="1098"/>
    </row>
    <row r="99" spans="28:28">
      <c r="AB99" s="1098"/>
    </row>
    <row r="100" spans="28:28">
      <c r="AB100" s="1098"/>
    </row>
    <row r="101" spans="28:28">
      <c r="AB101" s="1098"/>
    </row>
    <row r="102" spans="28:28">
      <c r="AB102" s="1098"/>
    </row>
    <row r="103" spans="28:28">
      <c r="AB103" s="1098"/>
    </row>
    <row r="104" spans="28:28">
      <c r="AB104" s="1098"/>
    </row>
    <row r="105" spans="28:28">
      <c r="AB105" s="1098"/>
    </row>
    <row r="106" spans="28:28">
      <c r="AB106" s="1098"/>
    </row>
    <row r="107" spans="28:28">
      <c r="AB107" s="1098"/>
    </row>
    <row r="108" spans="28:28">
      <c r="AB108" s="1098"/>
    </row>
    <row r="109" spans="28:28">
      <c r="AB109" s="1098"/>
    </row>
    <row r="110" spans="28:28">
      <c r="AB110" s="1098"/>
    </row>
    <row r="111" spans="28:28">
      <c r="AB111" s="1098"/>
    </row>
    <row r="112" spans="28:28">
      <c r="AB112" s="1098"/>
    </row>
  </sheetData>
  <mergeCells count="2">
    <mergeCell ref="Y5:AA5"/>
    <mergeCell ref="C12:U12"/>
  </mergeCells>
  <pageMargins left="0.5" right="0.5" top="0.6" bottom="0.25" header="0" footer="0.25"/>
  <pageSetup scale="58" orientation="landscape"/>
  <headerFooter scaleWithDoc="0">
    <oddFooter>&amp;R&amp;8 113</oddFooter>
  </headerFooter>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5"/>
  <sheetViews>
    <sheetView showGridLines="0" showOutlineSymbols="0" workbookViewId="0"/>
  </sheetViews>
  <sheetFormatPr baseColWidth="10" defaultColWidth="8.85546875" defaultRowHeight="16" x14ac:dyDescent="0"/>
  <cols>
    <col min="1" max="1" width="31.5703125" style="164" customWidth="1"/>
    <col min="2" max="2" width="1.140625" style="164" customWidth="1"/>
    <col min="3" max="3" width="10" style="164" customWidth="1"/>
    <col min="4" max="4" width="1.140625" style="164" customWidth="1"/>
    <col min="5" max="5" width="10" style="164" customWidth="1"/>
    <col min="6" max="6" width="1.140625" style="164" customWidth="1"/>
    <col min="7" max="7" width="10" style="164" customWidth="1"/>
    <col min="8" max="8" width="1.140625" style="164" customWidth="1"/>
    <col min="9" max="9" width="10" style="164" customWidth="1"/>
    <col min="10" max="10" width="1.42578125" style="164" customWidth="1"/>
    <col min="11" max="11" width="10" style="164" customWidth="1"/>
    <col min="12" max="12" width="1.42578125" style="164" customWidth="1"/>
    <col min="13" max="13" width="9.85546875" style="164" customWidth="1"/>
    <col min="14" max="14" width="1.140625" style="164" customWidth="1"/>
    <col min="15" max="15" width="10" style="164" customWidth="1"/>
    <col min="16" max="16" width="1.140625" style="164" customWidth="1"/>
    <col min="17" max="17" width="12.140625" style="164" bestFit="1" customWidth="1"/>
    <col min="18" max="18" width="1.140625" style="164" customWidth="1"/>
    <col min="19" max="19" width="9.5703125" style="164" customWidth="1"/>
    <col min="20" max="20" width="1.42578125" style="164" customWidth="1"/>
    <col min="21" max="21" width="10.42578125" style="164" customWidth="1"/>
    <col min="22" max="22" width="1.5703125" style="164" customWidth="1"/>
    <col min="23" max="23" width="10.5703125" style="164" customWidth="1"/>
    <col min="24" max="24" width="1.42578125" style="164" customWidth="1"/>
    <col min="25" max="25" width="9.85546875" style="164" customWidth="1"/>
    <col min="26" max="26" width="1.140625" style="164" customWidth="1"/>
    <col min="27" max="27" width="9.5703125" style="164" customWidth="1"/>
    <col min="28" max="28" width="1.140625" style="164" customWidth="1"/>
    <col min="29" max="16384" width="8.85546875" style="164"/>
  </cols>
  <sheetData>
    <row r="1" spans="1:28">
      <c r="A1" s="1582" t="s">
        <v>1443</v>
      </c>
    </row>
    <row r="3" spans="1:28" ht="14.25" customHeight="1">
      <c r="A3" s="203" t="s">
        <v>0</v>
      </c>
      <c r="B3" s="2"/>
      <c r="C3" s="2"/>
      <c r="D3" s="2"/>
      <c r="E3" s="2"/>
      <c r="F3" s="2"/>
      <c r="G3" s="2"/>
      <c r="H3" s="2"/>
      <c r="I3" s="2"/>
      <c r="J3" s="3"/>
      <c r="K3" s="3"/>
      <c r="L3" s="3"/>
      <c r="M3" s="3"/>
      <c r="N3" s="3"/>
      <c r="O3" s="3"/>
      <c r="P3" s="3"/>
      <c r="Q3" s="3"/>
      <c r="R3" s="3"/>
      <c r="S3" s="3"/>
      <c r="T3" s="3"/>
      <c r="U3" s="3"/>
      <c r="V3" s="3"/>
      <c r="W3" s="3"/>
      <c r="X3" s="3"/>
      <c r="Y3" s="3"/>
      <c r="Z3" s="3"/>
      <c r="AA3" s="2"/>
      <c r="AB3" s="964"/>
    </row>
    <row r="4" spans="1:28" ht="15.75" customHeight="1">
      <c r="A4" s="206" t="s">
        <v>980</v>
      </c>
      <c r="B4" s="2"/>
      <c r="C4" s="2"/>
      <c r="D4" s="2"/>
      <c r="E4" s="2"/>
      <c r="F4" s="2"/>
      <c r="G4" s="2"/>
      <c r="H4" s="2"/>
      <c r="I4" s="2"/>
      <c r="J4" s="3"/>
      <c r="K4" s="3"/>
      <c r="L4" s="3"/>
      <c r="M4" s="3"/>
      <c r="N4" s="3"/>
      <c r="O4" s="3"/>
      <c r="P4" s="3"/>
      <c r="Q4" s="3"/>
      <c r="R4" s="3"/>
      <c r="S4" s="3"/>
      <c r="T4" s="3"/>
      <c r="U4" s="3"/>
      <c r="V4" s="3"/>
      <c r="W4" s="3"/>
      <c r="X4" s="3"/>
      <c r="Y4" s="252" t="s">
        <v>6</v>
      </c>
      <c r="Z4" s="252"/>
      <c r="AA4" s="252"/>
      <c r="AB4" s="964"/>
    </row>
    <row r="5" spans="1:28" ht="15.75" customHeight="1">
      <c r="A5" s="203" t="s">
        <v>737</v>
      </c>
      <c r="B5" s="2"/>
      <c r="C5" s="2"/>
      <c r="D5" s="2"/>
      <c r="E5" s="2"/>
      <c r="F5" s="2"/>
      <c r="G5" s="2"/>
      <c r="H5" s="2"/>
      <c r="I5" s="2"/>
      <c r="J5" s="3"/>
      <c r="K5" s="3"/>
      <c r="L5" s="3"/>
      <c r="M5" s="3"/>
      <c r="N5" s="3"/>
      <c r="O5" s="3"/>
      <c r="P5" s="3"/>
      <c r="Q5" s="3"/>
      <c r="R5" s="3"/>
      <c r="S5" s="3"/>
      <c r="T5" s="3"/>
      <c r="U5" s="3"/>
      <c r="V5" s="3"/>
      <c r="W5" s="3"/>
      <c r="X5" s="3"/>
      <c r="Y5" s="2483" t="s">
        <v>981</v>
      </c>
      <c r="Z5" s="2484"/>
      <c r="AA5" s="2485"/>
      <c r="AB5" s="964"/>
    </row>
    <row r="6" spans="1:28" ht="15.75" customHeight="1">
      <c r="A6" s="206" t="s">
        <v>2588</v>
      </c>
      <c r="B6" s="2"/>
      <c r="C6" s="2"/>
      <c r="D6" s="2"/>
      <c r="E6" s="2"/>
      <c r="F6" s="2"/>
      <c r="G6" s="2"/>
      <c r="H6" s="2"/>
      <c r="I6" s="2"/>
      <c r="J6" s="3"/>
      <c r="K6" s="3"/>
      <c r="L6" s="3"/>
      <c r="M6" s="3"/>
      <c r="N6" s="3"/>
      <c r="O6" s="3"/>
      <c r="P6" s="3"/>
      <c r="Q6" s="3"/>
      <c r="R6" s="3"/>
      <c r="S6" s="3"/>
      <c r="T6" s="3"/>
      <c r="U6" s="3"/>
      <c r="V6" s="3"/>
      <c r="W6" s="3"/>
      <c r="X6" s="3"/>
      <c r="Y6" s="3"/>
      <c r="Z6" s="3"/>
      <c r="AA6" s="3"/>
      <c r="AB6" s="964"/>
    </row>
    <row r="7" spans="1:28" ht="15" customHeight="1">
      <c r="A7" s="203" t="s">
        <v>4</v>
      </c>
      <c r="B7" s="2"/>
      <c r="C7" s="2"/>
      <c r="D7" s="2"/>
      <c r="E7" s="2"/>
      <c r="F7" s="2"/>
      <c r="G7" s="2"/>
      <c r="H7" s="2"/>
      <c r="I7" s="2"/>
      <c r="J7" s="3"/>
      <c r="K7" s="3"/>
      <c r="L7" s="3"/>
      <c r="M7" s="3"/>
      <c r="N7" s="3"/>
      <c r="O7" s="3"/>
      <c r="P7" s="3"/>
      <c r="Q7" s="3"/>
      <c r="R7" s="3"/>
      <c r="S7" s="3"/>
      <c r="T7" s="3"/>
      <c r="U7" s="3"/>
      <c r="V7" s="3"/>
      <c r="W7" s="3"/>
      <c r="X7" s="3"/>
      <c r="Y7" s="3"/>
      <c r="Z7" s="3"/>
      <c r="AA7" s="3"/>
      <c r="AB7" s="964"/>
    </row>
    <row r="8" spans="1:28" ht="4.5" customHeight="1">
      <c r="A8" s="3" t="s">
        <v>6</v>
      </c>
      <c r="B8" s="3"/>
      <c r="C8" s="3"/>
      <c r="D8" s="3"/>
      <c r="E8" s="3"/>
      <c r="F8" s="3"/>
      <c r="G8" s="3"/>
      <c r="H8" s="3"/>
      <c r="I8" s="3"/>
      <c r="J8" s="3"/>
      <c r="K8" s="3"/>
      <c r="L8" s="3"/>
      <c r="M8" s="3"/>
      <c r="N8" s="3"/>
      <c r="O8" s="3"/>
      <c r="P8" s="3"/>
      <c r="Q8" s="3"/>
      <c r="R8" s="3"/>
      <c r="S8" s="3"/>
      <c r="T8" s="3"/>
      <c r="U8" s="3"/>
      <c r="V8" s="3"/>
      <c r="W8" s="3"/>
      <c r="X8" s="3"/>
      <c r="Y8" s="3"/>
      <c r="Z8" s="3"/>
      <c r="AA8" s="3"/>
      <c r="AB8" s="964"/>
    </row>
    <row r="9" spans="1:28" ht="15.75" customHeight="1">
      <c r="A9" s="2"/>
      <c r="B9" s="970" t="s">
        <v>6</v>
      </c>
      <c r="C9" s="2486" t="s">
        <v>739</v>
      </c>
      <c r="D9" s="2487"/>
      <c r="E9" s="2487"/>
      <c r="F9" s="2487"/>
      <c r="G9" s="2487"/>
      <c r="H9" s="2487"/>
      <c r="I9" s="2487"/>
      <c r="J9" s="2487"/>
      <c r="K9" s="2487"/>
      <c r="L9" s="2487"/>
      <c r="M9" s="2487"/>
      <c r="N9" s="2487"/>
      <c r="O9" s="2487"/>
      <c r="P9" s="2487"/>
      <c r="Q9" s="2487"/>
      <c r="R9" s="2487"/>
      <c r="S9" s="2487"/>
      <c r="T9" s="2487"/>
      <c r="U9" s="2487"/>
      <c r="V9" s="970" t="s">
        <v>6</v>
      </c>
      <c r="W9" s="2" t="s">
        <v>6</v>
      </c>
      <c r="X9" s="2"/>
      <c r="Y9" s="967" t="s">
        <v>276</v>
      </c>
      <c r="Z9" s="967"/>
      <c r="AA9" s="967"/>
      <c r="AB9" s="966"/>
    </row>
    <row r="10" spans="1:28" ht="15.75" customHeight="1">
      <c r="A10" s="2"/>
      <c r="B10" s="970"/>
      <c r="C10" s="977"/>
      <c r="D10" s="901"/>
      <c r="E10" s="971" t="s">
        <v>741</v>
      </c>
      <c r="F10" s="901"/>
      <c r="G10" s="901"/>
      <c r="H10" s="901"/>
      <c r="I10" s="901"/>
      <c r="J10" s="901"/>
      <c r="K10" s="901"/>
      <c r="L10" s="901"/>
      <c r="M10" s="901"/>
      <c r="N10" s="901"/>
      <c r="O10" s="901"/>
      <c r="P10" s="901"/>
      <c r="Q10" s="901"/>
      <c r="R10" s="901"/>
      <c r="S10" s="901"/>
      <c r="T10" s="901"/>
      <c r="U10" s="901"/>
      <c r="V10" s="970"/>
      <c r="W10" s="2"/>
      <c r="X10" s="2"/>
      <c r="Y10" s="1100"/>
      <c r="Z10" s="1100"/>
      <c r="AA10" s="1100"/>
      <c r="AB10" s="966"/>
    </row>
    <row r="11" spans="1:28" ht="14" customHeight="1">
      <c r="A11" s="966"/>
      <c r="B11" s="966"/>
      <c r="C11" s="971" t="s">
        <v>6</v>
      </c>
      <c r="D11" s="974"/>
      <c r="E11" s="971" t="s">
        <v>743</v>
      </c>
      <c r="F11" s="974"/>
      <c r="G11" s="971" t="s">
        <v>744</v>
      </c>
      <c r="H11" s="974"/>
      <c r="I11" s="971" t="s">
        <v>6</v>
      </c>
      <c r="J11" s="974"/>
      <c r="K11" s="971" t="s">
        <v>745</v>
      </c>
      <c r="L11" s="974"/>
      <c r="M11" s="971" t="s">
        <v>746</v>
      </c>
      <c r="N11" s="974"/>
      <c r="O11" s="971" t="s">
        <v>746</v>
      </c>
      <c r="P11" s="974"/>
      <c r="Q11" s="971" t="s">
        <v>747</v>
      </c>
      <c r="R11" s="974"/>
      <c r="S11" s="971" t="s">
        <v>6</v>
      </c>
      <c r="T11" s="966"/>
      <c r="U11" s="969" t="s">
        <v>748</v>
      </c>
      <c r="V11" s="966"/>
      <c r="W11" s="969" t="s">
        <v>826</v>
      </c>
      <c r="X11" s="966"/>
      <c r="Y11" s="968" t="s">
        <v>6</v>
      </c>
      <c r="Z11" s="968"/>
      <c r="AA11" s="968" t="s">
        <v>6</v>
      </c>
      <c r="AB11" s="973"/>
    </row>
    <row r="12" spans="1:28" ht="14" customHeight="1">
      <c r="A12" s="969" t="s">
        <v>752</v>
      </c>
      <c r="B12" s="966"/>
      <c r="C12" s="971" t="s">
        <v>512</v>
      </c>
      <c r="D12" s="974"/>
      <c r="E12" s="971" t="s">
        <v>753</v>
      </c>
      <c r="F12" s="974"/>
      <c r="G12" s="975" t="s">
        <v>827</v>
      </c>
      <c r="H12" s="974"/>
      <c r="I12" s="971" t="s">
        <v>754</v>
      </c>
      <c r="J12" s="974"/>
      <c r="K12" s="974" t="s">
        <v>755</v>
      </c>
      <c r="L12" s="974"/>
      <c r="M12" s="971" t="s">
        <v>828</v>
      </c>
      <c r="N12" s="974"/>
      <c r="O12" s="971" t="s">
        <v>756</v>
      </c>
      <c r="P12" s="974"/>
      <c r="Q12" s="975" t="s">
        <v>757</v>
      </c>
      <c r="R12" s="974"/>
      <c r="S12" s="975" t="s">
        <v>525</v>
      </c>
      <c r="T12" s="966"/>
      <c r="U12" s="969" t="s">
        <v>758</v>
      </c>
      <c r="V12" s="966"/>
      <c r="W12" s="969" t="s">
        <v>829</v>
      </c>
      <c r="X12" s="966"/>
      <c r="Y12" s="976" t="s">
        <v>2584</v>
      </c>
      <c r="Z12" s="977"/>
      <c r="AA12" s="976" t="s">
        <v>1917</v>
      </c>
      <c r="AB12" s="973"/>
    </row>
    <row r="13" spans="1:28" ht="4" customHeight="1">
      <c r="A13" s="978"/>
      <c r="B13" s="3"/>
      <c r="C13" s="978"/>
      <c r="D13" s="3"/>
      <c r="E13" s="978"/>
      <c r="F13" s="3"/>
      <c r="G13" s="3"/>
      <c r="H13" s="3"/>
      <c r="I13" s="978"/>
      <c r="J13" s="3"/>
      <c r="K13" s="978"/>
      <c r="L13" s="3"/>
      <c r="M13" s="978"/>
      <c r="N13" s="3"/>
      <c r="O13" s="978"/>
      <c r="P13" s="3"/>
      <c r="Q13" s="3"/>
      <c r="R13" s="3"/>
      <c r="S13" s="978"/>
      <c r="T13" s="3"/>
      <c r="U13" s="978"/>
      <c r="V13" s="3"/>
      <c r="W13" s="978"/>
      <c r="X13" s="3"/>
      <c r="Y13" s="978"/>
      <c r="Z13" s="211"/>
      <c r="AA13" s="978"/>
      <c r="AB13" s="964"/>
    </row>
    <row r="14" spans="1:28" s="1082" customFormat="1" ht="20" customHeight="1">
      <c r="A14" s="1083" t="s">
        <v>982</v>
      </c>
      <c r="B14" s="964" t="s">
        <v>6</v>
      </c>
      <c r="C14" s="980">
        <v>0</v>
      </c>
      <c r="D14" s="980"/>
      <c r="E14" s="980">
        <v>153982</v>
      </c>
      <c r="F14" s="980"/>
      <c r="G14" s="980">
        <v>0</v>
      </c>
      <c r="H14" s="980"/>
      <c r="I14" s="980">
        <v>0</v>
      </c>
      <c r="J14" s="980"/>
      <c r="K14" s="980">
        <v>0</v>
      </c>
      <c r="L14" s="980"/>
      <c r="M14" s="980">
        <v>4121</v>
      </c>
      <c r="N14" s="980"/>
      <c r="O14" s="980">
        <v>0</v>
      </c>
      <c r="P14" s="980"/>
      <c r="Q14" s="980">
        <v>0</v>
      </c>
      <c r="R14" s="980"/>
      <c r="S14" s="980">
        <v>0</v>
      </c>
      <c r="T14" s="980"/>
      <c r="U14" s="980">
        <f>ROUND(SUM(B14:S14),1)</f>
        <v>158103</v>
      </c>
      <c r="V14" s="980"/>
      <c r="W14" s="980">
        <v>2013</v>
      </c>
      <c r="X14" s="980"/>
      <c r="Y14" s="980">
        <f>ROUND(SUM(U14:X14),1)</f>
        <v>160116</v>
      </c>
      <c r="Z14" s="980"/>
      <c r="AA14" s="980">
        <v>178582</v>
      </c>
      <c r="AB14" s="980"/>
    </row>
    <row r="15" spans="1:28" ht="20" customHeight="1">
      <c r="A15" s="1083" t="s">
        <v>983</v>
      </c>
      <c r="B15" s="964" t="s">
        <v>6</v>
      </c>
      <c r="C15" s="983">
        <v>0</v>
      </c>
      <c r="D15" s="964"/>
      <c r="E15" s="983">
        <v>0</v>
      </c>
      <c r="F15" s="964"/>
      <c r="G15" s="983">
        <v>0</v>
      </c>
      <c r="H15" s="964"/>
      <c r="I15" s="983">
        <v>0</v>
      </c>
      <c r="J15" s="964"/>
      <c r="K15" s="988">
        <v>46010</v>
      </c>
      <c r="L15" s="964"/>
      <c r="M15" s="983">
        <v>0</v>
      </c>
      <c r="N15" s="964"/>
      <c r="O15" s="983">
        <v>0</v>
      </c>
      <c r="P15" s="964"/>
      <c r="Q15" s="983">
        <v>0</v>
      </c>
      <c r="R15" s="964"/>
      <c r="S15" s="983">
        <v>0</v>
      </c>
      <c r="T15" s="964"/>
      <c r="U15" s="985">
        <f>ROUND(SUM(B15:S15),1)</f>
        <v>46010</v>
      </c>
      <c r="V15" s="964"/>
      <c r="W15" s="983">
        <v>0</v>
      </c>
      <c r="X15" s="964"/>
      <c r="Y15" s="985">
        <f>ROUND(SUM(U15:X15),1)</f>
        <v>46010</v>
      </c>
      <c r="Z15" s="964"/>
      <c r="AA15" s="985">
        <v>67639</v>
      </c>
      <c r="AB15" s="964"/>
    </row>
    <row r="16" spans="1:28" ht="20" customHeight="1">
      <c r="A16" s="1083" t="s">
        <v>984</v>
      </c>
      <c r="B16" s="964" t="s">
        <v>6</v>
      </c>
      <c r="C16" s="983">
        <v>0</v>
      </c>
      <c r="D16" s="964"/>
      <c r="E16" s="983">
        <v>0</v>
      </c>
      <c r="F16" s="964"/>
      <c r="G16" s="983">
        <v>0</v>
      </c>
      <c r="H16" s="964"/>
      <c r="I16" s="983">
        <v>0</v>
      </c>
      <c r="J16" s="964"/>
      <c r="K16" s="983">
        <v>0</v>
      </c>
      <c r="L16" s="964"/>
      <c r="M16" s="983">
        <v>0</v>
      </c>
      <c r="N16" s="964"/>
      <c r="O16" s="983">
        <v>0</v>
      </c>
      <c r="P16" s="964"/>
      <c r="Q16" s="983">
        <v>0</v>
      </c>
      <c r="R16" s="964"/>
      <c r="S16" s="988">
        <v>407205</v>
      </c>
      <c r="T16" s="964"/>
      <c r="U16" s="985">
        <f t="shared" ref="U16:U19" si="0">ROUND(SUM(B16:S16),1)</f>
        <v>407205</v>
      </c>
      <c r="V16" s="964"/>
      <c r="W16" s="988">
        <v>1396500</v>
      </c>
      <c r="X16" s="964"/>
      <c r="Y16" s="985">
        <f t="shared" ref="Y16:Y19" si="1">ROUND(SUM(U16:X16),1)</f>
        <v>1803705</v>
      </c>
      <c r="Z16" s="964"/>
      <c r="AA16" s="985">
        <v>1561437</v>
      </c>
      <c r="AB16" s="964"/>
    </row>
    <row r="17" spans="1:28" ht="20" customHeight="1">
      <c r="A17" s="1078" t="s">
        <v>985</v>
      </c>
      <c r="B17" s="964" t="s">
        <v>6</v>
      </c>
      <c r="C17" s="983">
        <v>0</v>
      </c>
      <c r="D17" s="987" t="s">
        <v>6</v>
      </c>
      <c r="E17" s="983">
        <v>0</v>
      </c>
      <c r="F17" s="964"/>
      <c r="G17" s="983">
        <v>0</v>
      </c>
      <c r="H17" s="987" t="s">
        <v>6</v>
      </c>
      <c r="I17" s="983">
        <v>0</v>
      </c>
      <c r="J17" s="987" t="s">
        <v>6</v>
      </c>
      <c r="K17" s="983">
        <v>0</v>
      </c>
      <c r="L17" s="987" t="s">
        <v>6</v>
      </c>
      <c r="M17" s="983">
        <v>0</v>
      </c>
      <c r="N17" s="987" t="s">
        <v>6</v>
      </c>
      <c r="O17" s="983">
        <v>0</v>
      </c>
      <c r="P17" s="987" t="s">
        <v>6</v>
      </c>
      <c r="Q17" s="983">
        <v>0</v>
      </c>
      <c r="R17" s="987" t="s">
        <v>6</v>
      </c>
      <c r="S17" s="983">
        <v>0</v>
      </c>
      <c r="T17" s="987" t="s">
        <v>6</v>
      </c>
      <c r="U17" s="985">
        <f t="shared" si="0"/>
        <v>0</v>
      </c>
      <c r="V17" s="987" t="s">
        <v>6</v>
      </c>
      <c r="W17" s="988">
        <v>0</v>
      </c>
      <c r="X17" s="987" t="s">
        <v>6</v>
      </c>
      <c r="Y17" s="985">
        <f t="shared" si="1"/>
        <v>0</v>
      </c>
      <c r="Z17" s="987" t="s">
        <v>6</v>
      </c>
      <c r="AA17" s="988">
        <v>0</v>
      </c>
      <c r="AB17" s="987"/>
    </row>
    <row r="18" spans="1:28" ht="20" customHeight="1">
      <c r="A18" s="1083" t="s">
        <v>986</v>
      </c>
      <c r="B18" s="964" t="s">
        <v>6</v>
      </c>
      <c r="C18" s="983">
        <v>0</v>
      </c>
      <c r="D18" s="964"/>
      <c r="E18" s="983">
        <v>0</v>
      </c>
      <c r="F18" s="964"/>
      <c r="G18" s="983">
        <v>0</v>
      </c>
      <c r="H18" s="964"/>
      <c r="I18" s="983">
        <v>0</v>
      </c>
      <c r="J18" s="964"/>
      <c r="K18" s="983">
        <v>0</v>
      </c>
      <c r="L18" s="964"/>
      <c r="M18" s="983">
        <v>0</v>
      </c>
      <c r="N18" s="964"/>
      <c r="O18" s="983">
        <v>0</v>
      </c>
      <c r="P18" s="964"/>
      <c r="Q18" s="983">
        <v>0</v>
      </c>
      <c r="R18" s="964"/>
      <c r="S18" s="983">
        <v>0</v>
      </c>
      <c r="T18" s="964"/>
      <c r="U18" s="985">
        <f t="shared" si="0"/>
        <v>0</v>
      </c>
      <c r="V18" s="964"/>
      <c r="W18" s="988">
        <v>21109</v>
      </c>
      <c r="X18" s="964"/>
      <c r="Y18" s="985">
        <f t="shared" si="1"/>
        <v>21109</v>
      </c>
      <c r="Z18" s="964"/>
      <c r="AA18" s="985">
        <v>14842</v>
      </c>
      <c r="AB18" s="964"/>
    </row>
    <row r="19" spans="1:28" ht="20" customHeight="1">
      <c r="A19" s="1083" t="s">
        <v>987</v>
      </c>
      <c r="B19" s="964" t="s">
        <v>6</v>
      </c>
      <c r="C19" s="1088">
        <v>0</v>
      </c>
      <c r="D19" s="964"/>
      <c r="E19" s="1089">
        <v>0</v>
      </c>
      <c r="F19" s="964"/>
      <c r="G19" s="1088">
        <v>0</v>
      </c>
      <c r="H19" s="964"/>
      <c r="I19" s="1088">
        <v>0</v>
      </c>
      <c r="J19" s="964"/>
      <c r="K19" s="1088">
        <v>0</v>
      </c>
      <c r="L19" s="964"/>
      <c r="M19" s="1088">
        <v>0</v>
      </c>
      <c r="N19" s="964"/>
      <c r="O19" s="1088">
        <v>0</v>
      </c>
      <c r="P19" s="964"/>
      <c r="Q19" s="1088">
        <v>0</v>
      </c>
      <c r="R19" s="964"/>
      <c r="S19" s="1088">
        <v>0</v>
      </c>
      <c r="T19" s="964"/>
      <c r="U19" s="985">
        <f t="shared" si="0"/>
        <v>0</v>
      </c>
      <c r="V19" s="964"/>
      <c r="W19" s="1089">
        <v>6216</v>
      </c>
      <c r="X19" s="964"/>
      <c r="Y19" s="985">
        <f t="shared" si="1"/>
        <v>6216</v>
      </c>
      <c r="Z19" s="964"/>
      <c r="AA19" s="1090">
        <v>3779</v>
      </c>
      <c r="AB19" s="964"/>
    </row>
    <row r="20" spans="1:28" ht="21.75" customHeight="1" thickBot="1">
      <c r="A20" s="966" t="s">
        <v>822</v>
      </c>
      <c r="B20" s="964" t="s">
        <v>6</v>
      </c>
      <c r="C20" s="991">
        <f>ROUND(SUM(C14:C19),1)</f>
        <v>0</v>
      </c>
      <c r="D20" s="991"/>
      <c r="E20" s="991">
        <f>ROUND(SUM(E14:E19),1)</f>
        <v>153982</v>
      </c>
      <c r="F20" s="991"/>
      <c r="G20" s="991">
        <f>ROUND(SUM(G14:G19),1)</f>
        <v>0</v>
      </c>
      <c r="H20" s="991"/>
      <c r="I20" s="991">
        <f>ROUND(SUM(I14:I19),1)</f>
        <v>0</v>
      </c>
      <c r="J20" s="991"/>
      <c r="K20" s="991">
        <f>ROUND(SUM(K14:K19),1)</f>
        <v>46010</v>
      </c>
      <c r="L20" s="991"/>
      <c r="M20" s="991">
        <f>ROUND(SUM(M14:M19),1)</f>
        <v>4121</v>
      </c>
      <c r="N20" s="991"/>
      <c r="O20" s="991">
        <f>ROUND(SUM(O14:O19),1)</f>
        <v>0</v>
      </c>
      <c r="P20" s="991"/>
      <c r="Q20" s="1091">
        <f>ROUND(SUM(Q14:Q19),1)</f>
        <v>0</v>
      </c>
      <c r="R20" s="991"/>
      <c r="S20" s="991">
        <f>ROUND(SUM(S14:S19),1)</f>
        <v>407205</v>
      </c>
      <c r="T20" s="991"/>
      <c r="U20" s="1091">
        <f>ROUND(SUM(U14:U19),1)</f>
        <v>611318</v>
      </c>
      <c r="V20" s="991"/>
      <c r="W20" s="1091">
        <f>ROUND(SUM(W14:W19),1)</f>
        <v>1425838</v>
      </c>
      <c r="X20" s="991"/>
      <c r="Y20" s="1101">
        <f>ROUND(SUM(Y14:Y19),1)</f>
        <v>2037156</v>
      </c>
      <c r="Z20" s="991"/>
      <c r="AA20" s="991">
        <f>ROUND(SUM(AA14:AA19),1)</f>
        <v>1826279</v>
      </c>
      <c r="AB20" s="991"/>
    </row>
    <row r="21" spans="1:28" ht="11.25" customHeight="1" thickTop="1">
      <c r="A21" s="964"/>
      <c r="B21" s="964"/>
      <c r="C21" s="995"/>
      <c r="D21" s="964"/>
      <c r="E21" s="1094"/>
      <c r="F21" s="964"/>
      <c r="G21" s="995"/>
      <c r="H21" s="964"/>
      <c r="I21" s="995"/>
      <c r="J21" s="964"/>
      <c r="K21" s="995"/>
      <c r="L21" s="964"/>
      <c r="M21" s="995"/>
      <c r="N21" s="964"/>
      <c r="O21" s="995"/>
      <c r="P21" s="964"/>
      <c r="Q21" s="964"/>
      <c r="R21" s="964"/>
      <c r="S21" s="995"/>
      <c r="T21" s="964"/>
      <c r="U21" s="997"/>
      <c r="V21" s="964"/>
      <c r="W21" s="982"/>
      <c r="X21" s="964"/>
      <c r="Y21" s="993"/>
      <c r="Z21" s="982"/>
      <c r="AA21" s="1102"/>
      <c r="AB21" s="964"/>
    </row>
    <row r="22" spans="1:28" s="211" customFormat="1" ht="12">
      <c r="A22" s="982"/>
      <c r="F22" s="964"/>
      <c r="G22" s="1103"/>
      <c r="U22" s="1104"/>
      <c r="AA22" s="1104"/>
    </row>
    <row r="23" spans="1:28">
      <c r="A23" s="252"/>
      <c r="B23" s="252"/>
      <c r="C23" s="252"/>
      <c r="D23" s="252"/>
      <c r="E23" s="252"/>
      <c r="F23" s="964"/>
      <c r="G23" s="1103"/>
      <c r="H23" s="252"/>
      <c r="I23" s="252"/>
      <c r="J23" s="252"/>
      <c r="K23" s="252"/>
      <c r="L23" s="252"/>
      <c r="M23" s="252"/>
      <c r="N23" s="252"/>
      <c r="O23" s="252"/>
      <c r="P23" s="252"/>
      <c r="Q23" s="252"/>
      <c r="R23" s="252"/>
      <c r="S23" s="252"/>
      <c r="T23" s="252"/>
      <c r="U23" s="1004"/>
      <c r="V23" s="1004"/>
      <c r="W23" s="1004"/>
      <c r="X23" s="252"/>
      <c r="Y23" s="1004"/>
      <c r="Z23" s="1004"/>
      <c r="AA23" s="1004"/>
      <c r="AB23" s="964"/>
    </row>
    <row r="24" spans="1:28">
      <c r="B24" s="252"/>
      <c r="C24" s="252"/>
      <c r="D24" s="252"/>
      <c r="E24" s="252"/>
      <c r="F24" s="987"/>
      <c r="G24" s="1103"/>
      <c r="H24" s="252"/>
      <c r="I24" s="252"/>
      <c r="J24" s="252"/>
      <c r="K24" s="252"/>
      <c r="L24" s="252"/>
      <c r="M24" s="981"/>
      <c r="N24" s="252"/>
      <c r="O24" s="252"/>
      <c r="P24" s="252"/>
      <c r="Q24" s="252"/>
      <c r="R24" s="252"/>
      <c r="S24" s="252"/>
      <c r="T24" s="252"/>
      <c r="U24" s="1004"/>
      <c r="V24" s="1004"/>
      <c r="W24" s="1004"/>
      <c r="X24" s="252"/>
      <c r="Y24" s="1004"/>
      <c r="Z24" s="1004"/>
      <c r="AA24" s="252"/>
      <c r="AB24" s="964"/>
    </row>
    <row r="25" spans="1:28">
      <c r="A25" s="252"/>
      <c r="B25" s="252"/>
      <c r="C25" s="252"/>
      <c r="D25" s="252"/>
      <c r="E25" s="252"/>
      <c r="F25" s="964"/>
      <c r="G25" s="1103"/>
      <c r="H25" s="252"/>
      <c r="I25" s="252"/>
      <c r="J25" s="252"/>
      <c r="K25" s="252"/>
      <c r="L25" s="252"/>
      <c r="M25" s="252"/>
      <c r="N25" s="252"/>
      <c r="O25" s="252"/>
      <c r="P25" s="252"/>
      <c r="Q25" s="252"/>
      <c r="R25" s="252"/>
      <c r="S25" s="252"/>
      <c r="T25" s="252"/>
      <c r="U25" s="1004"/>
      <c r="V25" s="1004"/>
      <c r="W25" s="1004"/>
      <c r="X25" s="252"/>
      <c r="Y25" s="1004"/>
      <c r="Z25" s="1004"/>
      <c r="AA25" s="252"/>
      <c r="AB25" s="964"/>
    </row>
    <row r="26" spans="1:28">
      <c r="A26" s="252"/>
      <c r="B26" s="252"/>
      <c r="C26" s="252"/>
      <c r="D26" s="252"/>
      <c r="E26" s="252"/>
      <c r="F26" s="964"/>
      <c r="G26" s="1103"/>
      <c r="H26" s="252"/>
      <c r="I26" s="252"/>
      <c r="J26" s="252"/>
      <c r="K26" s="252"/>
      <c r="L26" s="252"/>
      <c r="M26" s="252"/>
      <c r="N26" s="252"/>
      <c r="O26" s="252"/>
      <c r="P26" s="252"/>
      <c r="Q26" s="252"/>
      <c r="R26" s="252"/>
      <c r="S26" s="252"/>
      <c r="T26" s="252"/>
      <c r="U26" s="1004"/>
      <c r="V26" s="1004"/>
      <c r="W26" s="1004"/>
      <c r="X26" s="252"/>
      <c r="Y26" s="1004"/>
      <c r="Z26" s="1004"/>
      <c r="AA26" s="252"/>
      <c r="AB26" s="964"/>
    </row>
    <row r="27" spans="1:28">
      <c r="F27" s="964"/>
      <c r="G27" s="1105"/>
      <c r="T27" s="999"/>
      <c r="U27" s="1000"/>
      <c r="V27" s="1000"/>
      <c r="W27" s="1000"/>
      <c r="Y27" s="1000"/>
      <c r="Z27" s="1000"/>
      <c r="AB27" s="981"/>
    </row>
    <row r="28" spans="1:28">
      <c r="F28" s="964"/>
      <c r="G28" s="1103"/>
      <c r="T28" s="999"/>
      <c r="U28" s="1000"/>
      <c r="AB28" s="981"/>
    </row>
    <row r="29" spans="1:28">
      <c r="F29" s="964"/>
      <c r="G29" s="1103"/>
      <c r="T29" s="999"/>
      <c r="U29" s="1000"/>
      <c r="AB29" s="981"/>
    </row>
    <row r="30" spans="1:28">
      <c r="F30" s="987"/>
      <c r="G30" s="1103"/>
      <c r="T30" s="999"/>
      <c r="U30" s="1000"/>
      <c r="AB30" s="981"/>
    </row>
    <row r="31" spans="1:28">
      <c r="F31" s="964"/>
      <c r="G31" s="1103"/>
      <c r="T31" s="999"/>
      <c r="U31" s="1000"/>
      <c r="AB31" s="981"/>
    </row>
    <row r="32" spans="1:28">
      <c r="F32" s="964"/>
      <c r="G32" s="1103"/>
      <c r="T32" s="999"/>
      <c r="U32" s="1000"/>
      <c r="AB32" s="981"/>
    </row>
    <row r="33" spans="6:28">
      <c r="F33" s="964"/>
      <c r="G33" s="1103"/>
      <c r="T33" s="999"/>
      <c r="U33" s="1000"/>
      <c r="AB33" s="981"/>
    </row>
    <row r="34" spans="6:28">
      <c r="F34" s="964"/>
      <c r="G34" s="1103"/>
      <c r="T34" s="999"/>
      <c r="AB34" s="981"/>
    </row>
    <row r="35" spans="6:28">
      <c r="F35" s="964"/>
      <c r="G35" s="1105"/>
      <c r="T35" s="999"/>
      <c r="AB35" s="981"/>
    </row>
    <row r="36" spans="6:28">
      <c r="F36" s="964"/>
      <c r="G36" s="1105"/>
      <c r="T36" s="999"/>
      <c r="AB36" s="981"/>
    </row>
    <row r="37" spans="6:28">
      <c r="F37" s="964"/>
      <c r="G37" s="1103"/>
      <c r="T37" s="999"/>
      <c r="AB37" s="981"/>
    </row>
    <row r="38" spans="6:28">
      <c r="F38" s="964"/>
      <c r="G38" s="1103"/>
      <c r="T38" s="999"/>
      <c r="AB38" s="981"/>
    </row>
    <row r="39" spans="6:28">
      <c r="F39" s="964"/>
      <c r="G39" s="1103"/>
      <c r="T39" s="999"/>
      <c r="AB39" s="981"/>
    </row>
    <row r="40" spans="6:28">
      <c r="F40" s="964"/>
      <c r="G40" s="1103"/>
      <c r="T40" s="999"/>
      <c r="AB40" s="981"/>
    </row>
    <row r="41" spans="6:28">
      <c r="F41" s="964"/>
      <c r="G41" s="1103"/>
      <c r="AB41" s="981"/>
    </row>
    <row r="42" spans="6:28">
      <c r="F42" s="964"/>
      <c r="G42" s="1103"/>
      <c r="AB42" s="981"/>
    </row>
    <row r="43" spans="6:28">
      <c r="F43" s="964"/>
      <c r="G43" s="1103"/>
      <c r="AB43" s="981"/>
    </row>
    <row r="44" spans="6:28">
      <c r="F44" s="964"/>
      <c r="G44" s="1105"/>
      <c r="AB44" s="981"/>
    </row>
    <row r="45" spans="6:28">
      <c r="F45" s="964"/>
      <c r="G45" s="1103"/>
      <c r="AB45" s="981"/>
    </row>
    <row r="46" spans="6:28">
      <c r="F46" s="964"/>
      <c r="G46" s="1103"/>
      <c r="AB46" s="981"/>
    </row>
    <row r="47" spans="6:28">
      <c r="F47" s="964"/>
      <c r="G47" s="1103"/>
      <c r="AB47" s="981"/>
    </row>
    <row r="48" spans="6:28">
      <c r="F48" s="964"/>
      <c r="G48" s="1103"/>
      <c r="AB48" s="981"/>
    </row>
    <row r="49" spans="6:28">
      <c r="F49" s="964"/>
      <c r="AB49" s="981"/>
    </row>
    <row r="50" spans="6:28">
      <c r="F50" s="972"/>
      <c r="AB50" s="981"/>
    </row>
    <row r="51" spans="6:28">
      <c r="F51" s="964"/>
      <c r="AB51" s="981"/>
    </row>
    <row r="52" spans="6:28">
      <c r="F52" s="964"/>
      <c r="AB52" s="981"/>
    </row>
    <row r="53" spans="6:28">
      <c r="F53" s="964"/>
      <c r="AB53" s="981"/>
    </row>
    <row r="54" spans="6:28">
      <c r="F54" s="1106"/>
      <c r="AB54" s="981"/>
    </row>
    <row r="55" spans="6:28">
      <c r="F55" s="3"/>
      <c r="AB55" s="981"/>
    </row>
    <row r="56" spans="6:28">
      <c r="AB56" s="981"/>
    </row>
    <row r="57" spans="6:28">
      <c r="F57" s="211"/>
      <c r="AB57" s="981"/>
    </row>
    <row r="58" spans="6:28">
      <c r="F58" s="252"/>
      <c r="AB58" s="981"/>
    </row>
    <row r="59" spans="6:28">
      <c r="F59" s="252"/>
      <c r="AB59" s="981"/>
    </row>
    <row r="60" spans="6:28">
      <c r="F60" s="252"/>
      <c r="AB60" s="981"/>
    </row>
    <row r="61" spans="6:28">
      <c r="F61" s="252"/>
      <c r="AB61" s="981"/>
    </row>
    <row r="62" spans="6:28">
      <c r="AB62" s="981"/>
    </row>
    <row r="63" spans="6:28">
      <c r="AB63" s="981"/>
    </row>
    <row r="64" spans="6:28">
      <c r="AB64" s="981"/>
    </row>
    <row r="65" spans="28:28">
      <c r="AB65" s="981"/>
    </row>
    <row r="66" spans="28:28">
      <c r="AB66" s="981"/>
    </row>
    <row r="67" spans="28:28">
      <c r="AB67" s="981"/>
    </row>
    <row r="68" spans="28:28">
      <c r="AB68" s="981"/>
    </row>
    <row r="69" spans="28:28">
      <c r="AB69" s="981"/>
    </row>
    <row r="70" spans="28:28">
      <c r="AB70" s="981"/>
    </row>
    <row r="71" spans="28:28">
      <c r="AB71" s="981"/>
    </row>
    <row r="72" spans="28:28">
      <c r="AB72" s="981"/>
    </row>
    <row r="73" spans="28:28">
      <c r="AB73" s="981"/>
    </row>
    <row r="74" spans="28:28">
      <c r="AB74" s="981"/>
    </row>
    <row r="75" spans="28:28">
      <c r="AB75" s="981"/>
    </row>
  </sheetData>
  <mergeCells count="2">
    <mergeCell ref="Y5:AA5"/>
    <mergeCell ref="C9:U9"/>
  </mergeCells>
  <pageMargins left="0.37" right="0.5" top="0.6" bottom="0.25" header="0" footer="0.25"/>
  <pageSetup scale="60" orientation="landscape"/>
  <headerFooter scaleWithDoc="0">
    <oddFooter>&amp;R&amp;8 114</oddFoot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90" zoomScaleNormal="90" zoomScalePageLayoutView="90" workbookViewId="0"/>
  </sheetViews>
  <sheetFormatPr baseColWidth="10" defaultColWidth="8.7109375" defaultRowHeight="15" x14ac:dyDescent="0"/>
  <cols>
    <col min="1" max="1" width="3.5703125" customWidth="1"/>
    <col min="2" max="2" width="49.140625" customWidth="1"/>
    <col min="3" max="4" width="1.5703125" customWidth="1"/>
    <col min="5" max="5" width="14.42578125" customWidth="1"/>
    <col min="7" max="7" width="41.140625" customWidth="1"/>
    <col min="8" max="8" width="1.5703125" customWidth="1"/>
    <col min="9" max="9" width="14.5703125" customWidth="1"/>
  </cols>
  <sheetData>
    <row r="1" spans="1:9">
      <c r="A1" s="1582" t="s">
        <v>1443</v>
      </c>
    </row>
    <row r="3" spans="1:9" ht="15.75" customHeight="1">
      <c r="A3" s="247" t="s">
        <v>736</v>
      </c>
      <c r="B3" s="247"/>
      <c r="C3" s="247"/>
      <c r="D3" s="247"/>
    </row>
    <row r="4" spans="1:9" ht="15.75" customHeight="1">
      <c r="A4" s="1107" t="s">
        <v>988</v>
      </c>
      <c r="B4" s="247"/>
      <c r="C4" s="247"/>
      <c r="D4" s="247"/>
      <c r="I4" s="1108" t="s">
        <v>2449</v>
      </c>
    </row>
    <row r="5" spans="1:9" ht="15.75" customHeight="1">
      <c r="A5" s="247" t="s">
        <v>989</v>
      </c>
      <c r="B5" s="247"/>
      <c r="C5" s="247"/>
      <c r="D5" s="247"/>
    </row>
    <row r="6" spans="1:9" ht="15.75" customHeight="1">
      <c r="A6" s="1107" t="s">
        <v>2616</v>
      </c>
      <c r="B6" s="247"/>
      <c r="C6" s="247"/>
      <c r="D6" s="247"/>
    </row>
    <row r="7" spans="1:9" ht="15.75" customHeight="1">
      <c r="A7" s="1107"/>
      <c r="B7" s="247"/>
      <c r="C7" s="247"/>
      <c r="D7" s="247"/>
    </row>
    <row r="9" spans="1:9">
      <c r="B9" s="860" t="s">
        <v>990</v>
      </c>
    </row>
    <row r="10" spans="1:9">
      <c r="B10" t="s">
        <v>991</v>
      </c>
      <c r="H10" s="856" t="s">
        <v>6</v>
      </c>
      <c r="I10" s="1109">
        <v>1247613898</v>
      </c>
    </row>
    <row r="11" spans="1:9">
      <c r="B11" t="s">
        <v>992</v>
      </c>
      <c r="H11" t="s">
        <v>6</v>
      </c>
      <c r="I11" s="1110">
        <v>10148700</v>
      </c>
    </row>
    <row r="12" spans="1:9" ht="16" thickBot="1">
      <c r="B12" s="860" t="s">
        <v>993</v>
      </c>
      <c r="H12" s="856" t="s">
        <v>6</v>
      </c>
      <c r="I12" s="1111">
        <f>ROUND(SUM(I10:I11),0)</f>
        <v>1257762598</v>
      </c>
    </row>
    <row r="13" spans="1:9" ht="16" thickTop="1">
      <c r="E13" s="1112"/>
      <c r="I13" s="1113"/>
    </row>
    <row r="14" spans="1:9">
      <c r="B14" s="860" t="s">
        <v>994</v>
      </c>
      <c r="E14" s="1112"/>
      <c r="I14" s="1113"/>
    </row>
    <row r="15" spans="1:9">
      <c r="B15" s="860" t="s">
        <v>995</v>
      </c>
      <c r="E15" s="1112"/>
      <c r="I15" s="1113"/>
    </row>
    <row r="16" spans="1:9">
      <c r="B16" t="s">
        <v>996</v>
      </c>
      <c r="E16" s="1112"/>
      <c r="H16" s="856" t="s">
        <v>6</v>
      </c>
      <c r="I16" s="1114">
        <v>152294394</v>
      </c>
    </row>
    <row r="17" spans="2:9">
      <c r="B17" t="s">
        <v>997</v>
      </c>
      <c r="E17" s="1112"/>
      <c r="H17" t="s">
        <v>6</v>
      </c>
      <c r="I17" s="1115">
        <v>-152294394</v>
      </c>
    </row>
    <row r="18" spans="2:9" ht="16" thickBot="1">
      <c r="B18" s="860" t="s">
        <v>998</v>
      </c>
      <c r="E18" s="1112"/>
      <c r="H18" s="856" t="s">
        <v>6</v>
      </c>
      <c r="I18" s="1116">
        <f>ROUND(SUM(I16+I17),0)</f>
        <v>0</v>
      </c>
    </row>
    <row r="19" spans="2:9" ht="16" thickTop="1">
      <c r="E19" s="1112"/>
      <c r="I19" s="1117"/>
    </row>
    <row r="20" spans="2:9">
      <c r="B20" s="860" t="s">
        <v>999</v>
      </c>
      <c r="E20" s="1112"/>
      <c r="I20" s="1113"/>
    </row>
    <row r="21" spans="2:9">
      <c r="B21" t="s">
        <v>1000</v>
      </c>
      <c r="E21" s="1112"/>
      <c r="H21" s="856" t="s">
        <v>6</v>
      </c>
      <c r="I21" s="1114">
        <v>473298928</v>
      </c>
    </row>
    <row r="22" spans="2:9">
      <c r="B22" t="s">
        <v>1001</v>
      </c>
      <c r="E22" s="1112"/>
      <c r="H22" t="s">
        <v>6</v>
      </c>
      <c r="I22" s="1115">
        <v>-473298928</v>
      </c>
    </row>
    <row r="23" spans="2:9" ht="16" thickBot="1">
      <c r="B23" s="860" t="s">
        <v>1002</v>
      </c>
      <c r="E23" s="1112"/>
      <c r="H23" s="856" t="s">
        <v>6</v>
      </c>
      <c r="I23" s="1116">
        <f>ROUND(SUM(I21+I22),0)</f>
        <v>0</v>
      </c>
    </row>
    <row r="24" spans="2:9" ht="16" thickTop="1">
      <c r="E24" s="1118"/>
      <c r="I24" s="1118"/>
    </row>
    <row r="25" spans="2:9" ht="15" customHeight="1">
      <c r="B25" s="856" t="s">
        <v>1003</v>
      </c>
      <c r="C25" s="1119"/>
      <c r="D25" s="1119"/>
      <c r="E25" s="1119"/>
      <c r="F25" s="1119"/>
      <c r="G25" s="1119"/>
      <c r="H25" s="1119"/>
      <c r="I25" s="1119"/>
    </row>
    <row r="26" spans="2:9" ht="12.75" customHeight="1">
      <c r="B26" s="1120" t="s">
        <v>1004</v>
      </c>
      <c r="C26" s="1119"/>
      <c r="D26" s="1119"/>
      <c r="E26" s="1119"/>
      <c r="F26" s="1119"/>
    </row>
    <row r="27" spans="2:9" ht="12.75" customHeight="1">
      <c r="B27" s="1120" t="s">
        <v>1005</v>
      </c>
      <c r="C27" s="1119"/>
      <c r="D27" s="1119"/>
      <c r="E27" s="1119"/>
      <c r="F27" s="1119"/>
    </row>
    <row r="28" spans="2:9" ht="12.75" customHeight="1">
      <c r="B28" s="1120" t="s">
        <v>2628</v>
      </c>
      <c r="C28" s="1119"/>
      <c r="D28" s="1119"/>
      <c r="E28" s="1119"/>
      <c r="F28" s="1119"/>
    </row>
    <row r="29" spans="2:9" ht="12.75" customHeight="1">
      <c r="B29" s="1121"/>
      <c r="C29" s="1119"/>
      <c r="D29" s="1119"/>
      <c r="E29" s="1119"/>
      <c r="F29" s="1119"/>
    </row>
    <row r="30" spans="2:9" ht="12" customHeight="1">
      <c r="B30" s="1119"/>
      <c r="C30" s="1119"/>
      <c r="D30" s="1119"/>
      <c r="E30" s="1119"/>
      <c r="F30" s="1119"/>
    </row>
    <row r="31" spans="2:9" ht="12.75" customHeight="1">
      <c r="B31" s="1122" t="s">
        <v>1006</v>
      </c>
      <c r="C31" s="1119"/>
      <c r="D31" s="1119"/>
      <c r="E31" s="1119"/>
      <c r="F31" s="1119"/>
      <c r="G31" s="1123" t="s">
        <v>1007</v>
      </c>
      <c r="H31" s="1124" t="s">
        <v>6</v>
      </c>
      <c r="I31" s="1125">
        <f>+E52</f>
        <v>191223898</v>
      </c>
    </row>
    <row r="32" spans="2:9" ht="12.75" customHeight="1">
      <c r="B32" s="1126" t="s">
        <v>1008</v>
      </c>
      <c r="C32" s="1119"/>
      <c r="D32" s="1119"/>
      <c r="E32" s="1119"/>
      <c r="F32" s="1119"/>
      <c r="G32" s="1127"/>
      <c r="H32" s="1119"/>
      <c r="I32" s="1128"/>
    </row>
    <row r="33" spans="2:10" ht="12.75" customHeight="1">
      <c r="B33" s="1129" t="s">
        <v>1009</v>
      </c>
      <c r="C33" s="1119"/>
      <c r="D33" s="1130" t="s">
        <v>6</v>
      </c>
      <c r="E33" s="1131">
        <v>50000000</v>
      </c>
      <c r="F33" s="1119"/>
      <c r="G33" s="1127" t="s">
        <v>1011</v>
      </c>
      <c r="H33" s="1119" t="s">
        <v>6</v>
      </c>
      <c r="I33" s="1128">
        <v>65000000</v>
      </c>
      <c r="J33" s="1118"/>
    </row>
    <row r="34" spans="2:10" ht="12.75" customHeight="1">
      <c r="B34" s="1127" t="s">
        <v>1010</v>
      </c>
      <c r="C34" s="1119"/>
      <c r="D34" s="1130" t="s">
        <v>6</v>
      </c>
      <c r="E34" s="1128">
        <v>58712842</v>
      </c>
      <c r="F34" s="1119"/>
      <c r="G34" s="1127" t="s">
        <v>1013</v>
      </c>
      <c r="H34" s="1119" t="s">
        <v>6</v>
      </c>
      <c r="I34" s="1128">
        <v>65000000</v>
      </c>
    </row>
    <row r="35" spans="2:10" ht="12.75" customHeight="1">
      <c r="B35" s="1127" t="s">
        <v>1012</v>
      </c>
      <c r="C35" s="1119"/>
      <c r="D35" s="1130" t="s">
        <v>6</v>
      </c>
      <c r="E35" s="1128">
        <v>3917297</v>
      </c>
      <c r="F35" s="1119"/>
      <c r="G35" s="1127" t="s">
        <v>1015</v>
      </c>
      <c r="H35" s="1119" t="s">
        <v>6</v>
      </c>
      <c r="I35" s="1128">
        <v>68600000</v>
      </c>
    </row>
    <row r="36" spans="2:10" ht="12.75" customHeight="1">
      <c r="B36" s="1127" t="s">
        <v>1014</v>
      </c>
      <c r="C36" s="1119"/>
      <c r="D36" s="1130" t="s">
        <v>6</v>
      </c>
      <c r="E36" s="1128">
        <f>5422008+3250</f>
        <v>5425258</v>
      </c>
      <c r="F36" s="1119"/>
      <c r="G36" s="1127" t="s">
        <v>1017</v>
      </c>
      <c r="H36" s="1119" t="s">
        <v>6</v>
      </c>
      <c r="I36" s="1128">
        <v>72962000</v>
      </c>
    </row>
    <row r="37" spans="2:10" ht="12" customHeight="1">
      <c r="B37" s="1127" t="s">
        <v>1016</v>
      </c>
      <c r="C37" s="1119"/>
      <c r="D37" s="1130" t="s">
        <v>6</v>
      </c>
      <c r="E37" s="1128">
        <v>1698783</v>
      </c>
      <c r="F37" s="1119"/>
      <c r="G37" s="1127" t="s">
        <v>1019</v>
      </c>
      <c r="H37" s="1119" t="s">
        <v>6</v>
      </c>
      <c r="I37" s="232">
        <v>74300000</v>
      </c>
    </row>
    <row r="38" spans="2:10" ht="12.75" customHeight="1">
      <c r="B38" s="1127" t="s">
        <v>1018</v>
      </c>
      <c r="C38" s="1119"/>
      <c r="D38" s="1130" t="s">
        <v>6</v>
      </c>
      <c r="E38" s="1128">
        <v>3381320</v>
      </c>
      <c r="F38" s="1119"/>
      <c r="G38" s="1127" t="s">
        <v>1021</v>
      </c>
      <c r="H38" s="1119" t="s">
        <v>6</v>
      </c>
      <c r="I38" s="1077">
        <v>79790000</v>
      </c>
    </row>
    <row r="39" spans="2:10" ht="12.75" customHeight="1">
      <c r="B39" s="1127" t="s">
        <v>1020</v>
      </c>
      <c r="C39" s="1119"/>
      <c r="D39" s="1130" t="s">
        <v>6</v>
      </c>
      <c r="E39" s="1128">
        <v>642650</v>
      </c>
      <c r="F39" s="1119"/>
      <c r="G39" s="1127" t="s">
        <v>1023</v>
      </c>
      <c r="H39" s="1119" t="s">
        <v>6</v>
      </c>
      <c r="I39" s="1132">
        <v>82910000</v>
      </c>
    </row>
    <row r="40" spans="2:10" ht="12.75" customHeight="1">
      <c r="B40" s="1127" t="s">
        <v>1022</v>
      </c>
      <c r="C40" s="1119"/>
      <c r="D40" s="1130" t="s">
        <v>6</v>
      </c>
      <c r="E40" s="1128">
        <v>6992071</v>
      </c>
      <c r="F40" s="1119"/>
      <c r="G40" s="1127" t="s">
        <v>1025</v>
      </c>
      <c r="H40" s="1119" t="s">
        <v>6</v>
      </c>
      <c r="I40" s="1132">
        <v>84000000</v>
      </c>
    </row>
    <row r="41" spans="2:10" ht="12.75" customHeight="1">
      <c r="B41" s="1127" t="s">
        <v>1024</v>
      </c>
      <c r="C41" s="1119"/>
      <c r="D41" s="1130" t="s">
        <v>6</v>
      </c>
      <c r="E41" s="1128">
        <v>7722315</v>
      </c>
      <c r="F41" s="1119"/>
      <c r="G41" s="1127" t="s">
        <v>1027</v>
      </c>
      <c r="H41" s="1119" t="s">
        <v>6</v>
      </c>
      <c r="I41" s="1132">
        <v>78000000</v>
      </c>
    </row>
    <row r="42" spans="2:10" ht="12.75" customHeight="1">
      <c r="B42" s="1127" t="s">
        <v>1026</v>
      </c>
      <c r="C42" s="1119"/>
      <c r="D42" s="1130" t="s">
        <v>6</v>
      </c>
      <c r="E42" s="1128">
        <v>1027379</v>
      </c>
      <c r="F42" s="1119"/>
      <c r="G42" s="1127" t="s">
        <v>1029</v>
      </c>
      <c r="H42" s="1133" t="s">
        <v>6</v>
      </c>
      <c r="I42" s="1132">
        <v>72514000</v>
      </c>
    </row>
    <row r="43" spans="2:10" ht="12.75" customHeight="1">
      <c r="B43" s="1127" t="s">
        <v>1028</v>
      </c>
      <c r="C43" s="1119"/>
      <c r="D43" s="1130" t="s">
        <v>6</v>
      </c>
      <c r="E43" s="1128">
        <v>375882</v>
      </c>
      <c r="F43" s="1119"/>
      <c r="G43" s="1127" t="s">
        <v>1031</v>
      </c>
      <c r="H43" s="1133" t="s">
        <v>6</v>
      </c>
      <c r="I43" s="1132">
        <v>86951000</v>
      </c>
    </row>
    <row r="44" spans="2:10" ht="12.75" customHeight="1">
      <c r="B44" s="1127" t="s">
        <v>1030</v>
      </c>
      <c r="C44" s="1119"/>
      <c r="D44" s="1130" t="s">
        <v>6</v>
      </c>
      <c r="E44" s="1128">
        <v>269700</v>
      </c>
      <c r="F44" s="1119"/>
      <c r="G44" s="1127" t="s">
        <v>1033</v>
      </c>
      <c r="H44" s="1133" t="s">
        <v>6</v>
      </c>
      <c r="I44" s="1656">
        <v>0</v>
      </c>
    </row>
    <row r="45" spans="2:10" ht="12.75" customHeight="1">
      <c r="B45" s="1127" t="s">
        <v>1032</v>
      </c>
      <c r="C45" s="1119"/>
      <c r="D45" s="1130" t="s">
        <v>6</v>
      </c>
      <c r="E45" s="1128">
        <v>169329</v>
      </c>
      <c r="F45" s="1119"/>
      <c r="G45" s="1127" t="s">
        <v>1035</v>
      </c>
      <c r="H45" t="s">
        <v>6</v>
      </c>
      <c r="I45" s="1657">
        <v>0</v>
      </c>
    </row>
    <row r="46" spans="2:10" ht="12.75" customHeight="1">
      <c r="B46" s="1127" t="s">
        <v>1034</v>
      </c>
      <c r="C46" s="1119"/>
      <c r="D46" s="1130" t="s">
        <v>6</v>
      </c>
      <c r="E46" s="1128">
        <v>124878</v>
      </c>
      <c r="F46" s="1119"/>
      <c r="G46" s="1127" t="s">
        <v>1037</v>
      </c>
      <c r="H46" t="s">
        <v>6</v>
      </c>
      <c r="I46" s="1657">
        <v>0</v>
      </c>
      <c r="J46" s="1118"/>
    </row>
    <row r="47" spans="2:10" ht="12.75" customHeight="1">
      <c r="B47" s="1127" t="s">
        <v>1036</v>
      </c>
      <c r="C47" s="1119"/>
      <c r="D47" s="1130" t="s">
        <v>6</v>
      </c>
      <c r="E47" s="1132">
        <v>615641</v>
      </c>
      <c r="F47" s="1119"/>
      <c r="G47" s="1127" t="s">
        <v>1039</v>
      </c>
      <c r="H47" t="s">
        <v>6</v>
      </c>
      <c r="I47" s="1657">
        <v>0</v>
      </c>
      <c r="J47" s="1118"/>
    </row>
    <row r="48" spans="2:10" ht="12.75" customHeight="1">
      <c r="B48" s="1127" t="s">
        <v>1038</v>
      </c>
      <c r="D48" s="1130" t="s">
        <v>6</v>
      </c>
      <c r="E48" s="1132">
        <v>49676865</v>
      </c>
      <c r="F48" s="1133"/>
      <c r="G48" s="1127" t="s">
        <v>1041</v>
      </c>
      <c r="H48" t="s">
        <v>6</v>
      </c>
      <c r="I48" s="1134">
        <v>100000000</v>
      </c>
      <c r="J48" s="1133"/>
    </row>
    <row r="49" spans="1:10" ht="12.75" customHeight="1">
      <c r="B49" s="1127" t="s">
        <v>1040</v>
      </c>
      <c r="D49" s="1130" t="s">
        <v>6</v>
      </c>
      <c r="E49" s="1132">
        <v>234777</v>
      </c>
      <c r="G49" s="1127" t="s">
        <v>1043</v>
      </c>
      <c r="H49" s="856" t="s">
        <v>6</v>
      </c>
      <c r="I49" s="1658">
        <v>0</v>
      </c>
      <c r="J49" s="1133"/>
    </row>
    <row r="50" spans="1:10" ht="12.75" customHeight="1">
      <c r="B50" s="1127" t="s">
        <v>1042</v>
      </c>
      <c r="D50" t="s">
        <v>6</v>
      </c>
      <c r="E50" s="1128">
        <v>97732</v>
      </c>
      <c r="G50" s="1127" t="s">
        <v>1045</v>
      </c>
      <c r="H50" s="856" t="s">
        <v>6</v>
      </c>
      <c r="I50" s="1658">
        <v>0</v>
      </c>
      <c r="J50" s="1133"/>
    </row>
    <row r="51" spans="1:10" ht="12.75" customHeight="1">
      <c r="B51" s="1127" t="s">
        <v>2627</v>
      </c>
      <c r="D51" s="1128">
        <v>139179</v>
      </c>
      <c r="E51" s="1128">
        <v>139179</v>
      </c>
      <c r="F51" s="1119"/>
      <c r="G51" s="1127" t="s">
        <v>1926</v>
      </c>
      <c r="H51" s="856" t="s">
        <v>6</v>
      </c>
      <c r="I51" s="1658">
        <v>126363000</v>
      </c>
    </row>
    <row r="52" spans="1:10" ht="12.75" customHeight="1">
      <c r="B52" s="1135" t="s">
        <v>1044</v>
      </c>
      <c r="D52" s="1124" t="s">
        <v>6</v>
      </c>
      <c r="E52" s="1136">
        <f>ROUND(SUM(E33:E51),0)</f>
        <v>191223898</v>
      </c>
      <c r="F52" s="1119"/>
      <c r="G52" s="1127" t="s">
        <v>2626</v>
      </c>
      <c r="H52" s="2213" t="s">
        <v>6</v>
      </c>
      <c r="I52" s="1658">
        <v>0</v>
      </c>
    </row>
    <row r="53" spans="1:10" ht="12.75" customHeight="1" thickBot="1">
      <c r="B53" s="1135"/>
      <c r="D53" s="1124"/>
      <c r="E53" s="1125"/>
      <c r="F53" s="1119"/>
      <c r="G53" s="1122" t="s">
        <v>1046</v>
      </c>
      <c r="H53" s="1137" t="s">
        <v>6</v>
      </c>
      <c r="I53" s="1138">
        <f>ROUND(SUM(I31:I52),0)</f>
        <v>1247613898</v>
      </c>
    </row>
    <row r="54" spans="1:10" ht="12.75" customHeight="1" thickTop="1">
      <c r="F54" s="1119"/>
    </row>
    <row r="55" spans="1:10" ht="12.75" customHeight="1">
      <c r="F55" s="1119"/>
    </row>
    <row r="56" spans="1:10" ht="15.75" customHeight="1">
      <c r="A56" s="247" t="s">
        <v>736</v>
      </c>
      <c r="F56" s="1119"/>
      <c r="I56" s="1108" t="s">
        <v>2449</v>
      </c>
    </row>
    <row r="57" spans="1:10" ht="15.75" customHeight="1">
      <c r="A57" s="1107" t="s">
        <v>2706</v>
      </c>
      <c r="F57" s="1119"/>
      <c r="I57" s="1139" t="s">
        <v>131</v>
      </c>
    </row>
    <row r="58" spans="1:10" ht="15.75" customHeight="1">
      <c r="A58" s="247" t="s">
        <v>989</v>
      </c>
      <c r="F58" s="1119"/>
    </row>
    <row r="59" spans="1:10" ht="15.75" customHeight="1">
      <c r="A59" s="1107" t="s">
        <v>2616</v>
      </c>
      <c r="F59" s="1119"/>
    </row>
    <row r="60" spans="1:10" ht="12.75" customHeight="1">
      <c r="F60" s="1119"/>
    </row>
    <row r="61" spans="1:10" ht="12.75" customHeight="1">
      <c r="F61" s="1119"/>
    </row>
    <row r="62" spans="1:10" ht="15" customHeight="1">
      <c r="B62" s="856" t="s">
        <v>1047</v>
      </c>
      <c r="F62" s="1119"/>
    </row>
    <row r="63" spans="1:10" ht="12.75" customHeight="1">
      <c r="F63" s="1119"/>
    </row>
    <row r="64" spans="1:10" ht="12.75" customHeight="1">
      <c r="B64" s="1140" t="s">
        <v>1048</v>
      </c>
      <c r="C64" s="1119"/>
      <c r="D64" s="1119"/>
      <c r="F64" s="1119"/>
      <c r="G64" s="1140" t="s">
        <v>1049</v>
      </c>
      <c r="H64" s="1119"/>
      <c r="I64" s="1119"/>
    </row>
    <row r="65" spans="2:9" ht="12" customHeight="1">
      <c r="B65" s="1129" t="s">
        <v>1050</v>
      </c>
      <c r="C65" t="s">
        <v>6</v>
      </c>
      <c r="D65" s="1141" t="s">
        <v>6</v>
      </c>
      <c r="E65" s="1142">
        <v>6932932</v>
      </c>
      <c r="F65" s="1119"/>
      <c r="G65" s="1140" t="s">
        <v>1051</v>
      </c>
      <c r="H65" s="1119"/>
      <c r="I65" s="1119"/>
    </row>
    <row r="66" spans="2:9" ht="12.75" customHeight="1">
      <c r="B66" s="1129" t="s">
        <v>1052</v>
      </c>
      <c r="C66" t="s">
        <v>6</v>
      </c>
      <c r="D66" s="1119"/>
      <c r="E66" s="1143">
        <v>62238750</v>
      </c>
      <c r="F66" s="1119"/>
      <c r="G66" s="1127" t="s">
        <v>1053</v>
      </c>
      <c r="H66" s="1141" t="s">
        <v>6</v>
      </c>
      <c r="I66" s="1142">
        <v>3146805</v>
      </c>
    </row>
    <row r="67" spans="2:9" ht="12.75" customHeight="1">
      <c r="B67" s="1129" t="s">
        <v>1054</v>
      </c>
      <c r="C67" t="s">
        <v>6</v>
      </c>
      <c r="D67" s="1119"/>
      <c r="E67" s="1143">
        <v>6799862</v>
      </c>
      <c r="F67" s="1119"/>
      <c r="G67" s="1127" t="s">
        <v>1055</v>
      </c>
      <c r="H67" s="1119" t="s">
        <v>6</v>
      </c>
      <c r="I67" s="1143">
        <v>13929926</v>
      </c>
    </row>
    <row r="68" spans="2:9" ht="12.75" customHeight="1">
      <c r="B68" s="1129" t="s">
        <v>1056</v>
      </c>
      <c r="C68" t="s">
        <v>6</v>
      </c>
      <c r="D68" s="1119"/>
      <c r="E68" s="1143">
        <v>47353816</v>
      </c>
      <c r="F68" s="1119"/>
      <c r="G68" s="1127" t="s">
        <v>1057</v>
      </c>
      <c r="H68" s="1119" t="s">
        <v>6</v>
      </c>
      <c r="I68" s="1143">
        <v>12917100</v>
      </c>
    </row>
    <row r="69" spans="2:9" ht="12.75" customHeight="1">
      <c r="B69" s="1129" t="s">
        <v>1058</v>
      </c>
      <c r="C69" t="s">
        <v>6</v>
      </c>
      <c r="D69" s="1119"/>
      <c r="E69" s="1144">
        <v>28969034</v>
      </c>
      <c r="F69" s="1119"/>
      <c r="G69" s="1127" t="s">
        <v>1059</v>
      </c>
      <c r="H69" s="1119" t="s">
        <v>6</v>
      </c>
      <c r="I69" s="1143">
        <v>23172661</v>
      </c>
    </row>
    <row r="70" spans="2:9" ht="12.75" customHeight="1" thickBot="1">
      <c r="B70" s="1140" t="s">
        <v>1060</v>
      </c>
      <c r="C70" t="s">
        <v>6</v>
      </c>
      <c r="D70" s="1141" t="s">
        <v>6</v>
      </c>
      <c r="E70" s="1138">
        <f>ROUND(SUM(E65:E69),0)</f>
        <v>152294394</v>
      </c>
      <c r="F70" s="1119"/>
      <c r="G70" s="1127" t="s">
        <v>1061</v>
      </c>
      <c r="H70" s="1119" t="s">
        <v>6</v>
      </c>
      <c r="I70" s="1143">
        <v>42700850</v>
      </c>
    </row>
    <row r="71" spans="2:9" ht="12.75" customHeight="1" thickTop="1">
      <c r="B71" s="1119"/>
      <c r="D71" s="1119"/>
      <c r="E71" s="1145"/>
      <c r="F71" s="1119"/>
      <c r="G71" s="1127" t="s">
        <v>1062</v>
      </c>
      <c r="H71" s="1119" t="s">
        <v>6</v>
      </c>
      <c r="I71" s="1143">
        <v>18482584</v>
      </c>
    </row>
    <row r="72" spans="2:9" ht="12.75" customHeight="1">
      <c r="B72" s="1140" t="s">
        <v>1063</v>
      </c>
      <c r="D72" s="1119"/>
      <c r="E72" s="1143"/>
      <c r="F72" s="1119"/>
      <c r="G72" s="1127" t="s">
        <v>1064</v>
      </c>
      <c r="H72" s="1119" t="s">
        <v>6</v>
      </c>
      <c r="I72" s="1143">
        <v>64808688</v>
      </c>
    </row>
    <row r="73" spans="2:9" ht="12.75" customHeight="1">
      <c r="B73" s="1129" t="s">
        <v>1065</v>
      </c>
      <c r="C73" t="s">
        <v>6</v>
      </c>
      <c r="D73" s="1141" t="s">
        <v>6</v>
      </c>
      <c r="E73" s="1142">
        <v>50764798</v>
      </c>
      <c r="F73" s="1119"/>
      <c r="G73" s="1127" t="s">
        <v>1066</v>
      </c>
      <c r="H73" s="1119" t="s">
        <v>6</v>
      </c>
      <c r="I73" s="1143">
        <v>48606516</v>
      </c>
    </row>
    <row r="74" spans="2:9" ht="12.75" customHeight="1">
      <c r="B74" s="1129" t="s">
        <v>1067</v>
      </c>
      <c r="C74" t="s">
        <v>6</v>
      </c>
      <c r="D74" s="1119"/>
      <c r="E74" s="1143">
        <v>50764798</v>
      </c>
      <c r="F74" s="1119"/>
      <c r="G74" s="1127" t="s">
        <v>1068</v>
      </c>
      <c r="H74" s="1119" t="s">
        <v>6</v>
      </c>
      <c r="I74" s="1143">
        <v>132483599</v>
      </c>
    </row>
    <row r="75" spans="2:9" ht="12.75" customHeight="1">
      <c r="B75" s="1129" t="s">
        <v>1069</v>
      </c>
      <c r="C75" t="s">
        <v>6</v>
      </c>
      <c r="D75" s="1119"/>
      <c r="E75" s="1144">
        <v>50764798</v>
      </c>
      <c r="F75" s="1119"/>
      <c r="G75" s="1127" t="s">
        <v>1070</v>
      </c>
      <c r="H75" s="1119" t="s">
        <v>6</v>
      </c>
      <c r="I75" s="1143">
        <v>68888999</v>
      </c>
    </row>
    <row r="76" spans="2:9" ht="12.75" customHeight="1" thickBot="1">
      <c r="B76" s="1140" t="s">
        <v>1071</v>
      </c>
      <c r="C76" t="s">
        <v>6</v>
      </c>
      <c r="D76" s="1141" t="s">
        <v>6</v>
      </c>
      <c r="E76" s="1138">
        <f>ROUND(SUM(E73:E75),0)</f>
        <v>152294394</v>
      </c>
      <c r="F76" s="1119"/>
      <c r="G76" s="1127" t="s">
        <v>1072</v>
      </c>
      <c r="H76" s="1119" t="s">
        <v>6</v>
      </c>
      <c r="I76" s="1144">
        <v>44161200</v>
      </c>
    </row>
    <row r="77" spans="2:9" ht="12.75" customHeight="1" thickTop="1" thickBot="1">
      <c r="B77" s="1119"/>
      <c r="C77" s="1119"/>
      <c r="D77" s="1133"/>
      <c r="F77" s="1119"/>
      <c r="G77" s="1122" t="s">
        <v>1073</v>
      </c>
      <c r="H77" s="1141" t="s">
        <v>6</v>
      </c>
      <c r="I77" s="1138">
        <f>ROUND(SUM(I66:I76),0)</f>
        <v>473298928</v>
      </c>
    </row>
    <row r="78" spans="2:9" ht="12.75" customHeight="1" thickTop="1">
      <c r="B78" s="1119"/>
      <c r="C78" s="1119"/>
      <c r="D78" s="1119"/>
      <c r="E78" s="1119"/>
      <c r="F78" s="1119"/>
      <c r="G78" s="1119"/>
      <c r="H78" s="1119"/>
      <c r="I78" s="1133"/>
    </row>
    <row r="79" spans="2:9" ht="12.75" customHeight="1">
      <c r="G79" s="1122" t="s">
        <v>1074</v>
      </c>
      <c r="H79" s="1119"/>
      <c r="I79" s="1119"/>
    </row>
    <row r="80" spans="2:9" ht="12.75" customHeight="1">
      <c r="G80" s="1140" t="s">
        <v>1075</v>
      </c>
      <c r="H80" s="1119"/>
      <c r="I80" s="1119"/>
    </row>
    <row r="81" spans="7:9" ht="12.75" customHeight="1">
      <c r="G81" s="1127" t="s">
        <v>1076</v>
      </c>
      <c r="H81" s="1141" t="s">
        <v>6</v>
      </c>
      <c r="I81" s="1142">
        <v>3146805</v>
      </c>
    </row>
    <row r="82" spans="7:9" ht="12.75" customHeight="1">
      <c r="G82" s="1127" t="s">
        <v>1077</v>
      </c>
      <c r="H82" s="1119" t="s">
        <v>6</v>
      </c>
      <c r="I82" s="1143">
        <v>4729660</v>
      </c>
    </row>
    <row r="83" spans="7:9" ht="12.75" customHeight="1">
      <c r="G83" s="1127" t="s">
        <v>1078</v>
      </c>
      <c r="H83" s="1119" t="s">
        <v>6</v>
      </c>
      <c r="I83" s="1143">
        <v>14253064</v>
      </c>
    </row>
    <row r="84" spans="7:9" ht="12.75" customHeight="1">
      <c r="G84" s="1127" t="s">
        <v>1079</v>
      </c>
      <c r="H84" s="1119" t="s">
        <v>6</v>
      </c>
      <c r="I84" s="1143">
        <v>7864302</v>
      </c>
    </row>
    <row r="85" spans="7:9" ht="12.75" customHeight="1">
      <c r="G85" s="1127" t="s">
        <v>1080</v>
      </c>
      <c r="H85" s="1119" t="s">
        <v>6</v>
      </c>
      <c r="I85" s="1143">
        <v>65873511</v>
      </c>
    </row>
    <row r="86" spans="7:9" ht="12.75" customHeight="1">
      <c r="G86" s="1127" t="s">
        <v>1081</v>
      </c>
      <c r="H86" s="1119" t="s">
        <v>6</v>
      </c>
      <c r="I86" s="1143">
        <v>18482584</v>
      </c>
    </row>
    <row r="87" spans="7:9" ht="12.75" customHeight="1">
      <c r="G87" s="1127" t="s">
        <v>1082</v>
      </c>
      <c r="H87" s="1119" t="s">
        <v>6</v>
      </c>
      <c r="I87" s="1143">
        <v>16202172</v>
      </c>
    </row>
    <row r="88" spans="7:9" ht="12.75" customHeight="1">
      <c r="G88" s="1127" t="s">
        <v>1083</v>
      </c>
      <c r="H88" s="1119" t="s">
        <v>6</v>
      </c>
      <c r="I88" s="1143">
        <v>16202172</v>
      </c>
    </row>
    <row r="89" spans="7:9" ht="12.75" customHeight="1">
      <c r="G89" s="1127" t="s">
        <v>1084</v>
      </c>
      <c r="H89" s="1119" t="s">
        <v>6</v>
      </c>
      <c r="I89" s="1143">
        <v>16202172</v>
      </c>
    </row>
    <row r="90" spans="7:9" ht="12.75" customHeight="1">
      <c r="G90" s="1127" t="s">
        <v>1085</v>
      </c>
      <c r="H90" s="1119" t="s">
        <v>6</v>
      </c>
      <c r="I90" s="1143">
        <v>16202172</v>
      </c>
    </row>
    <row r="91" spans="7:9" ht="12.75" customHeight="1">
      <c r="G91" s="1127" t="s">
        <v>1086</v>
      </c>
      <c r="H91" s="1119" t="s">
        <v>6</v>
      </c>
      <c r="I91" s="1143">
        <v>16202172</v>
      </c>
    </row>
    <row r="92" spans="7:9" ht="12.75" customHeight="1">
      <c r="G92" s="1127" t="s">
        <v>1087</v>
      </c>
      <c r="H92" s="1119" t="s">
        <v>6</v>
      </c>
      <c r="I92" s="1143">
        <v>16202172</v>
      </c>
    </row>
    <row r="93" spans="7:9" ht="12.75" customHeight="1">
      <c r="G93" s="1127" t="s">
        <v>1088</v>
      </c>
      <c r="H93" s="1119" t="s">
        <v>6</v>
      </c>
      <c r="I93" s="1143">
        <v>16202172</v>
      </c>
    </row>
    <row r="94" spans="7:9" ht="12.75" customHeight="1">
      <c r="G94" s="1127" t="s">
        <v>1072</v>
      </c>
      <c r="H94" s="1119" t="s">
        <v>6</v>
      </c>
      <c r="I94" s="1143">
        <v>44161200</v>
      </c>
    </row>
    <row r="95" spans="7:9" ht="12.75" customHeight="1">
      <c r="G95" s="1127" t="s">
        <v>1089</v>
      </c>
      <c r="H95" s="1119" t="s">
        <v>6</v>
      </c>
      <c r="I95" s="1143">
        <v>67124200</v>
      </c>
    </row>
    <row r="96" spans="7:9" ht="12.75" customHeight="1">
      <c r="G96" s="1127" t="s">
        <v>1090</v>
      </c>
      <c r="H96" s="1119" t="s">
        <v>6</v>
      </c>
      <c r="I96" s="1143">
        <v>67124199</v>
      </c>
    </row>
    <row r="97" spans="7:9" ht="12.75" customHeight="1">
      <c r="G97" s="1127" t="s">
        <v>1091</v>
      </c>
      <c r="H97" s="1119" t="s">
        <v>6</v>
      </c>
      <c r="I97" s="1143">
        <v>22962999</v>
      </c>
    </row>
    <row r="98" spans="7:9" ht="12.75" customHeight="1">
      <c r="G98" s="1127" t="s">
        <v>1092</v>
      </c>
      <c r="H98" s="1119" t="s">
        <v>6</v>
      </c>
      <c r="I98" s="1143">
        <v>14720400</v>
      </c>
    </row>
    <row r="99" spans="7:9" ht="12.75" customHeight="1">
      <c r="G99" s="1127" t="s">
        <v>1093</v>
      </c>
      <c r="H99" s="1119" t="s">
        <v>6</v>
      </c>
      <c r="I99" s="1143">
        <v>14720400</v>
      </c>
    </row>
    <row r="100" spans="7:9" ht="12.75" customHeight="1">
      <c r="G100" s="1127" t="s">
        <v>1094</v>
      </c>
      <c r="H100" s="1119" t="s">
        <v>6</v>
      </c>
      <c r="I100" s="1144">
        <v>14720400</v>
      </c>
    </row>
    <row r="101" spans="7:9" ht="12.75" customHeight="1" thickBot="1">
      <c r="G101" s="1122" t="s">
        <v>1095</v>
      </c>
      <c r="H101" s="1141" t="s">
        <v>6</v>
      </c>
      <c r="I101" s="1138">
        <f>ROUND(SUM(I81:I100),0)</f>
        <v>473298928</v>
      </c>
    </row>
    <row r="102" spans="7:9" ht="16" thickTop="1">
      <c r="I102" s="1118"/>
    </row>
  </sheetData>
  <pageMargins left="0.75" right="0.5" top="0.75" bottom="0.25" header="0.3" footer="0.25"/>
  <pageSetup scale="73" firstPageNumber="115" fitToHeight="2" orientation="landscape" useFirstPageNumber="1"/>
  <headerFooter scaleWithDoc="0">
    <oddFooter>&amp;R&amp;8&amp;P</oddFooter>
  </headerFooter>
  <rowBreaks count="1" manualBreakCount="1">
    <brk id="53" max="16383" man="1"/>
  </rowBreaks>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workbookViewId="0"/>
  </sheetViews>
  <sheetFormatPr baseColWidth="10" defaultColWidth="8.85546875" defaultRowHeight="15" x14ac:dyDescent="0"/>
  <cols>
    <col min="1" max="1" width="26.140625" style="1800" customWidth="1"/>
    <col min="2" max="2" width="1.5703125" style="1789" customWidth="1"/>
    <col min="3" max="12" width="12.42578125" style="1789" customWidth="1"/>
    <col min="13" max="16384" width="8.85546875" style="1789"/>
  </cols>
  <sheetData>
    <row r="1" spans="1:21">
      <c r="A1" s="1582" t="s">
        <v>1443</v>
      </c>
    </row>
    <row r="3" spans="1:21" ht="17">
      <c r="A3" s="1783" t="s">
        <v>0</v>
      </c>
      <c r="B3" s="1784"/>
      <c r="C3" s="1784"/>
      <c r="D3" s="1784"/>
      <c r="E3" s="1784"/>
      <c r="F3" s="1784"/>
      <c r="G3" s="1784"/>
      <c r="H3" s="1784"/>
      <c r="I3" s="1784"/>
      <c r="J3" s="1785"/>
      <c r="K3" s="1786"/>
      <c r="L3" s="1787" t="s">
        <v>2450</v>
      </c>
      <c r="M3" s="1788"/>
      <c r="N3" s="1788"/>
      <c r="O3" s="1788"/>
      <c r="P3" s="1788"/>
      <c r="Q3" s="1788"/>
      <c r="R3" s="1788"/>
      <c r="S3" s="1788"/>
      <c r="T3" s="1788"/>
      <c r="U3" s="1788"/>
    </row>
    <row r="4" spans="1:21" ht="18">
      <c r="A4" s="1783" t="s">
        <v>1096</v>
      </c>
      <c r="B4" s="1784"/>
      <c r="C4" s="1784"/>
      <c r="D4" s="1784"/>
      <c r="E4" s="1784"/>
      <c r="F4" s="1784"/>
      <c r="G4" s="1784"/>
      <c r="H4" s="1784"/>
      <c r="I4" s="1784"/>
      <c r="J4" s="1788"/>
      <c r="K4" s="1790"/>
      <c r="L4" s="1790"/>
      <c r="M4" s="1791"/>
      <c r="N4" s="1788"/>
      <c r="O4" s="1791"/>
      <c r="P4" s="1791"/>
      <c r="Q4" s="1791"/>
      <c r="R4" s="1791"/>
      <c r="S4" s="1792"/>
      <c r="T4" s="1791"/>
      <c r="U4" s="1792" t="s">
        <v>1097</v>
      </c>
    </row>
    <row r="5" spans="1:21" ht="17">
      <c r="A5" s="1793" t="s">
        <v>2591</v>
      </c>
      <c r="B5" s="1784"/>
      <c r="C5" s="1784"/>
      <c r="D5" s="1784"/>
      <c r="E5" s="1784"/>
      <c r="F5" s="1784"/>
      <c r="G5" s="1784"/>
      <c r="H5" s="1784"/>
      <c r="I5" s="1784"/>
      <c r="J5" s="1784"/>
      <c r="K5" s="1790"/>
      <c r="L5" s="1790"/>
      <c r="M5" s="1788"/>
      <c r="N5" s="1788"/>
      <c r="O5" s="1788"/>
      <c r="P5" s="1788"/>
      <c r="Q5" s="1794"/>
      <c r="R5" s="1788"/>
      <c r="S5" s="1788"/>
      <c r="T5" s="1788"/>
      <c r="U5" s="1788"/>
    </row>
    <row r="6" spans="1:21" ht="17">
      <c r="A6" s="1783" t="s">
        <v>1098</v>
      </c>
      <c r="B6" s="1784"/>
      <c r="C6" s="1784"/>
      <c r="D6" s="1784"/>
      <c r="E6" s="1784"/>
      <c r="F6" s="1784"/>
      <c r="G6" s="1784"/>
      <c r="H6" s="1784"/>
      <c r="I6" s="1784"/>
      <c r="J6" s="1784"/>
      <c r="K6" s="1790"/>
      <c r="L6" s="1790"/>
      <c r="M6" s="1788"/>
      <c r="N6" s="1788"/>
      <c r="O6" s="1788"/>
      <c r="P6" s="1788"/>
      <c r="Q6" s="1788"/>
      <c r="R6" s="1788"/>
      <c r="S6" s="1788"/>
      <c r="T6" s="1788"/>
      <c r="U6" s="1788"/>
    </row>
    <row r="7" spans="1:21" ht="17">
      <c r="A7" s="1795"/>
      <c r="B7" s="1784"/>
      <c r="C7" s="1784"/>
      <c r="D7" s="1784"/>
      <c r="E7" s="1784"/>
      <c r="F7" s="1784"/>
      <c r="G7" s="1784"/>
      <c r="H7" s="1784"/>
      <c r="I7" s="1784"/>
      <c r="J7" s="1784"/>
      <c r="K7" s="1790"/>
      <c r="L7" s="1790"/>
      <c r="M7" s="1788"/>
      <c r="N7" s="1788"/>
      <c r="O7" s="1788"/>
      <c r="P7" s="1788"/>
      <c r="Q7" s="1788"/>
      <c r="R7" s="1788"/>
      <c r="S7" s="1788"/>
      <c r="T7" s="1788"/>
      <c r="U7" s="1788"/>
    </row>
    <row r="8" spans="1:21">
      <c r="A8" s="1796"/>
      <c r="B8" s="1797"/>
      <c r="C8" s="1798" t="s">
        <v>91</v>
      </c>
      <c r="D8" s="1799" t="s">
        <v>92</v>
      </c>
      <c r="E8" s="1799" t="s">
        <v>93</v>
      </c>
      <c r="F8" s="1799" t="s">
        <v>94</v>
      </c>
      <c r="G8" s="1799" t="s">
        <v>95</v>
      </c>
      <c r="H8" s="1799" t="s">
        <v>96</v>
      </c>
      <c r="I8" s="1799" t="s">
        <v>10</v>
      </c>
      <c r="J8" s="1799" t="s">
        <v>9</v>
      </c>
      <c r="K8" s="1799" t="s">
        <v>1917</v>
      </c>
      <c r="L8" s="1799" t="s">
        <v>2584</v>
      </c>
      <c r="M8" s="1800"/>
      <c r="N8" s="1800"/>
      <c r="O8" s="1800"/>
    </row>
    <row r="9" spans="1:21">
      <c r="A9" s="1801"/>
      <c r="B9" s="1796"/>
      <c r="C9" s="1796"/>
      <c r="D9" s="1796"/>
      <c r="E9" s="1796"/>
      <c r="F9" s="1802"/>
      <c r="G9" s="1802"/>
      <c r="H9" s="1802"/>
      <c r="I9" s="1802"/>
      <c r="J9" s="1802"/>
      <c r="K9" s="1802"/>
      <c r="L9" s="1802"/>
      <c r="M9" s="1802"/>
      <c r="N9" s="1796"/>
      <c r="O9" s="1802"/>
      <c r="P9" s="1803"/>
      <c r="Q9" s="1790"/>
      <c r="R9" s="1803"/>
      <c r="S9" s="1790"/>
      <c r="T9" s="1803"/>
      <c r="U9" s="1790"/>
    </row>
    <row r="10" spans="1:21">
      <c r="A10" s="1800" t="s">
        <v>1099</v>
      </c>
      <c r="B10" s="1804"/>
      <c r="C10" s="1805">
        <v>5.2609999999999997E-2</v>
      </c>
      <c r="D10" s="1805">
        <v>4.546E-2</v>
      </c>
      <c r="E10" s="1805">
        <v>1.67E-2</v>
      </c>
      <c r="F10" s="1805">
        <v>2.7499999999999998E-3</v>
      </c>
      <c r="G10" s="1805">
        <v>2.2599999999999999E-3</v>
      </c>
      <c r="H10" s="1805">
        <v>1.3600000000000001E-3</v>
      </c>
      <c r="I10" s="1805">
        <v>1.67E-3</v>
      </c>
      <c r="J10" s="1805">
        <v>1.4E-3</v>
      </c>
      <c r="K10" s="1805">
        <v>1.17E-3</v>
      </c>
      <c r="L10" s="1805">
        <v>2.31E-3</v>
      </c>
      <c r="M10" s="1806"/>
      <c r="N10" s="1806"/>
      <c r="O10" s="1806"/>
      <c r="P10" s="1807"/>
    </row>
    <row r="11" spans="1:21">
      <c r="B11" s="1808"/>
      <c r="C11" s="1800"/>
      <c r="D11" s="1800"/>
      <c r="E11" s="1800"/>
      <c r="F11" s="1800"/>
      <c r="G11" s="1800"/>
      <c r="H11" s="1800"/>
      <c r="I11" s="1800"/>
      <c r="J11" s="1800"/>
      <c r="K11" s="1800"/>
      <c r="L11" s="1800"/>
      <c r="M11" s="1808"/>
      <c r="N11" s="1808"/>
      <c r="O11" s="1808"/>
    </row>
    <row r="12" spans="1:21">
      <c r="A12" s="1800" t="s">
        <v>1100</v>
      </c>
      <c r="B12" s="1800" t="s">
        <v>6</v>
      </c>
      <c r="C12" s="1809">
        <v>12012.557000000001</v>
      </c>
      <c r="D12" s="1809">
        <v>11554.550999999999</v>
      </c>
      <c r="E12" s="1809">
        <v>9980.8539999999994</v>
      </c>
      <c r="F12" s="1809">
        <v>6570.0969999999998</v>
      </c>
      <c r="G12" s="1809">
        <v>7304.2749999999996</v>
      </c>
      <c r="H12" s="1809">
        <v>7955.3729999999996</v>
      </c>
      <c r="I12" s="1809">
        <v>6494.29</v>
      </c>
      <c r="J12" s="1809">
        <v>6767.4</v>
      </c>
      <c r="K12" s="1809">
        <v>8890.9869999999992</v>
      </c>
      <c r="L12" s="1809">
        <v>15000.433999999999</v>
      </c>
      <c r="M12" s="1810"/>
      <c r="N12" s="1810"/>
      <c r="O12" s="1808"/>
    </row>
    <row r="13" spans="1:21">
      <c r="B13" s="1811"/>
      <c r="C13" s="1809"/>
      <c r="D13" s="1809"/>
      <c r="E13" s="1809"/>
      <c r="F13" s="1809"/>
      <c r="G13" s="1809"/>
      <c r="H13" s="1809"/>
      <c r="I13" s="1809"/>
      <c r="J13" s="1809"/>
      <c r="K13" s="1809"/>
      <c r="L13" s="1809"/>
      <c r="M13" s="1808"/>
      <c r="N13" s="1808"/>
      <c r="O13" s="1808"/>
    </row>
    <row r="14" spans="1:21">
      <c r="A14" s="1800" t="s">
        <v>1101</v>
      </c>
      <c r="B14" s="1800" t="s">
        <v>6</v>
      </c>
      <c r="C14" s="1809">
        <v>631.99800000000005</v>
      </c>
      <c r="D14" s="1809">
        <v>526.66600000000005</v>
      </c>
      <c r="E14" s="1809">
        <v>168.29599999999999</v>
      </c>
      <c r="F14" s="1809">
        <v>22.359000000000002</v>
      </c>
      <c r="G14" s="1809">
        <v>18.222999999999999</v>
      </c>
      <c r="H14" s="1809">
        <v>11.452</v>
      </c>
      <c r="I14" s="1809">
        <v>10.852</v>
      </c>
      <c r="J14" s="1809">
        <v>9.9779999999999998</v>
      </c>
      <c r="K14" s="1809">
        <v>9.2880000000000003</v>
      </c>
      <c r="L14" s="1809">
        <v>34.283000000000001</v>
      </c>
      <c r="M14" s="1808"/>
      <c r="N14" s="1808"/>
      <c r="O14" s="1808"/>
    </row>
    <row r="15" spans="1:21">
      <c r="B15" s="1808"/>
      <c r="C15" s="1812"/>
      <c r="D15" s="1812"/>
      <c r="E15" s="1812"/>
      <c r="F15" s="1812"/>
      <c r="G15" s="1812"/>
      <c r="H15" s="1812"/>
      <c r="I15" s="1812"/>
      <c r="J15" s="1812"/>
      <c r="K15" s="1812"/>
      <c r="L15" s="1812"/>
      <c r="M15" s="1808"/>
      <c r="N15" s="1808"/>
      <c r="O15" s="1808"/>
    </row>
    <row r="16" spans="1:21">
      <c r="B16" s="1808"/>
      <c r="C16" s="1812"/>
      <c r="D16" s="1812"/>
      <c r="E16" s="1812"/>
      <c r="F16" s="1812"/>
      <c r="G16" s="1812"/>
      <c r="H16" s="1812"/>
      <c r="I16" s="1812"/>
      <c r="J16" s="1812"/>
      <c r="K16" s="1812"/>
      <c r="L16" s="1812"/>
      <c r="M16" s="1808"/>
      <c r="N16" s="1808"/>
      <c r="O16" s="1808"/>
    </row>
    <row r="17" spans="1:15">
      <c r="B17" s="1800"/>
      <c r="C17" s="1813"/>
      <c r="D17" s="1813"/>
      <c r="E17" s="1813"/>
      <c r="F17" s="1813"/>
      <c r="G17" s="1813"/>
      <c r="H17" s="1813"/>
      <c r="I17" s="1813"/>
      <c r="J17" s="1813"/>
      <c r="K17" s="1813"/>
      <c r="L17" s="1813"/>
      <c r="M17" s="1800"/>
      <c r="N17" s="1800"/>
      <c r="O17" s="1800"/>
    </row>
    <row r="18" spans="1:15">
      <c r="B18" s="1800"/>
      <c r="C18" s="1813"/>
      <c r="D18" s="1813"/>
      <c r="E18" s="1813"/>
      <c r="F18" s="1813"/>
      <c r="G18" s="1813"/>
      <c r="H18" s="1813"/>
      <c r="I18" s="1813"/>
      <c r="J18" s="1813"/>
      <c r="K18" s="1813"/>
      <c r="L18" s="1813"/>
      <c r="M18" s="1800"/>
      <c r="N18" s="1800"/>
      <c r="O18" s="1800"/>
    </row>
    <row r="19" spans="1:15">
      <c r="B19" s="1800"/>
      <c r="C19" s="1813"/>
      <c r="D19" s="1813"/>
      <c r="E19" s="1813"/>
      <c r="F19" s="1813"/>
      <c r="G19" s="1813"/>
      <c r="H19" s="1813"/>
      <c r="I19" s="1813"/>
      <c r="J19" s="1813"/>
      <c r="K19" s="1813"/>
      <c r="L19" s="1813"/>
      <c r="M19" s="1800"/>
      <c r="N19" s="1800"/>
      <c r="O19" s="1800"/>
    </row>
    <row r="20" spans="1:15">
      <c r="B20" s="1800"/>
      <c r="C20" s="1813"/>
      <c r="D20" s="1813"/>
      <c r="E20" s="1813"/>
      <c r="F20" s="1813"/>
      <c r="G20" s="1813"/>
      <c r="H20" s="1813"/>
      <c r="I20" s="1813"/>
      <c r="J20" s="1813"/>
      <c r="K20" s="1813"/>
      <c r="L20" s="1813"/>
      <c r="M20" s="1800"/>
      <c r="N20" s="1800"/>
      <c r="O20" s="1800"/>
    </row>
    <row r="21" spans="1:15">
      <c r="B21" s="1800"/>
      <c r="C21" s="1813"/>
      <c r="D21" s="1813"/>
      <c r="E21" s="1813"/>
      <c r="F21" s="1813"/>
      <c r="G21" s="1813"/>
      <c r="H21" s="1813"/>
      <c r="I21" s="1813"/>
      <c r="J21" s="1813"/>
      <c r="K21" s="1813"/>
      <c r="L21" s="1813"/>
      <c r="M21" s="1800"/>
      <c r="N21" s="1800"/>
      <c r="O21" s="1800"/>
    </row>
    <row r="22" spans="1:15">
      <c r="B22" s="1800"/>
      <c r="C22" s="1813"/>
      <c r="D22" s="1813"/>
      <c r="E22" s="1813"/>
      <c r="F22" s="1813"/>
      <c r="G22" s="1813"/>
      <c r="H22" s="1813"/>
      <c r="I22" s="1813"/>
      <c r="J22" s="1813"/>
      <c r="K22" s="1813"/>
      <c r="L22" s="1813"/>
      <c r="M22" s="1800"/>
      <c r="N22" s="1800"/>
      <c r="O22" s="1800"/>
    </row>
    <row r="23" spans="1:15">
      <c r="A23" s="1789"/>
      <c r="C23" s="1814"/>
      <c r="D23" s="1814"/>
      <c r="E23" s="1814"/>
      <c r="F23" s="1814"/>
      <c r="G23" s="1814"/>
      <c r="H23" s="1814"/>
      <c r="I23" s="1814"/>
      <c r="J23" s="1814"/>
      <c r="K23" s="1814"/>
      <c r="L23" s="1814"/>
    </row>
    <row r="24" spans="1:15">
      <c r="A24" s="1789"/>
      <c r="C24" s="1814"/>
      <c r="D24" s="1814"/>
      <c r="E24" s="1814"/>
      <c r="F24" s="1814"/>
      <c r="G24" s="1814"/>
      <c r="H24" s="1814"/>
      <c r="I24" s="1814"/>
      <c r="J24" s="1814"/>
      <c r="K24" s="1814"/>
      <c r="L24" s="1814"/>
    </row>
    <row r="25" spans="1:15">
      <c r="A25" s="1789"/>
      <c r="C25" s="1814"/>
      <c r="D25" s="1814"/>
      <c r="E25" s="1814"/>
      <c r="F25" s="1814"/>
      <c r="G25" s="1814"/>
      <c r="H25" s="1814"/>
      <c r="I25" s="1814"/>
      <c r="J25" s="1814"/>
      <c r="K25" s="1814"/>
      <c r="L25" s="1814"/>
    </row>
    <row r="26" spans="1:15">
      <c r="A26" s="1789"/>
      <c r="C26" s="1814"/>
      <c r="D26" s="1814"/>
      <c r="E26" s="1814"/>
      <c r="F26" s="1814"/>
      <c r="G26" s="1814"/>
      <c r="H26" s="1814"/>
      <c r="I26" s="1814"/>
      <c r="J26" s="1814"/>
      <c r="K26" s="1814"/>
      <c r="L26" s="1814"/>
    </row>
    <row r="27" spans="1:15">
      <c r="A27" s="1789"/>
      <c r="C27" s="1814"/>
      <c r="D27" s="1814"/>
      <c r="E27" s="1814"/>
      <c r="F27" s="1814"/>
      <c r="G27" s="1814"/>
      <c r="H27" s="1814"/>
      <c r="I27" s="1814"/>
      <c r="J27" s="1814"/>
      <c r="K27" s="1814"/>
      <c r="L27" s="1814"/>
    </row>
    <row r="28" spans="1:15">
      <c r="A28" s="1789"/>
      <c r="C28" s="1814"/>
      <c r="D28" s="1814"/>
      <c r="E28" s="1814"/>
      <c r="F28" s="1814"/>
      <c r="G28" s="1814"/>
      <c r="H28" s="1814"/>
      <c r="I28" s="1814"/>
      <c r="J28" s="1814"/>
      <c r="K28" s="1814"/>
      <c r="L28" s="1814"/>
    </row>
    <row r="29" spans="1:15">
      <c r="A29" s="1789"/>
      <c r="C29" s="1814"/>
      <c r="D29" s="1814"/>
      <c r="E29" s="1814"/>
      <c r="F29" s="1814"/>
      <c r="G29" s="1814"/>
      <c r="H29" s="1814"/>
      <c r="I29" s="1814"/>
      <c r="J29" s="1814"/>
      <c r="K29" s="1814"/>
      <c r="L29" s="1814"/>
    </row>
    <row r="30" spans="1:15">
      <c r="A30" s="1789"/>
      <c r="C30" s="1814"/>
      <c r="D30" s="1814"/>
      <c r="E30" s="1814"/>
      <c r="F30" s="1814"/>
      <c r="G30" s="1814"/>
      <c r="H30" s="1814"/>
      <c r="I30" s="1814"/>
      <c r="J30" s="1814"/>
      <c r="K30" s="1814"/>
      <c r="L30" s="1814"/>
    </row>
    <row r="31" spans="1:15">
      <c r="A31" s="1789"/>
      <c r="C31" s="1814"/>
      <c r="D31" s="1814"/>
      <c r="E31" s="1814"/>
      <c r="F31" s="1814"/>
      <c r="G31" s="1814"/>
      <c r="H31" s="1814"/>
      <c r="I31" s="1814"/>
      <c r="J31" s="1814"/>
      <c r="K31" s="1814"/>
      <c r="L31" s="1814"/>
    </row>
    <row r="32" spans="1:15">
      <c r="A32" s="1789"/>
      <c r="C32" s="1814"/>
      <c r="D32" s="1814"/>
      <c r="E32" s="1814"/>
      <c r="F32" s="1814"/>
      <c r="G32" s="1814"/>
      <c r="H32" s="1814"/>
      <c r="I32" s="1814"/>
      <c r="J32" s="1814"/>
      <c r="K32" s="1814"/>
      <c r="L32" s="1814"/>
    </row>
    <row r="33" spans="1:18">
      <c r="A33" s="1789"/>
      <c r="C33" s="1814"/>
      <c r="D33" s="1814"/>
      <c r="E33" s="1814"/>
      <c r="F33" s="1814"/>
      <c r="G33" s="1814"/>
      <c r="H33" s="1814"/>
      <c r="I33" s="1814"/>
      <c r="J33" s="1814"/>
      <c r="K33" s="1814"/>
      <c r="L33" s="1814"/>
    </row>
    <row r="34" spans="1:18">
      <c r="A34" s="1789"/>
      <c r="C34" s="1814"/>
      <c r="D34" s="1814"/>
      <c r="E34" s="1814"/>
      <c r="F34" s="1814"/>
      <c r="G34" s="1814"/>
      <c r="H34" s="1814"/>
      <c r="I34" s="1814"/>
      <c r="J34" s="1814"/>
      <c r="K34" s="1814"/>
      <c r="L34" s="1814"/>
    </row>
    <row r="35" spans="1:18">
      <c r="A35" s="1789"/>
      <c r="C35" s="1814"/>
      <c r="D35" s="1814"/>
      <c r="E35" s="1814"/>
      <c r="F35" s="1814"/>
      <c r="G35" s="1814"/>
      <c r="H35" s="1814"/>
      <c r="I35" s="1814"/>
      <c r="J35" s="1814"/>
      <c r="K35" s="1814"/>
      <c r="L35" s="1814"/>
    </row>
    <row r="36" spans="1:18">
      <c r="A36" s="1789"/>
      <c r="C36" s="1814"/>
      <c r="D36" s="1814"/>
      <c r="E36" s="1814"/>
      <c r="F36" s="1814"/>
      <c r="G36" s="1814"/>
      <c r="H36" s="1814"/>
      <c r="I36" s="1814"/>
      <c r="J36" s="1814"/>
      <c r="K36" s="1814"/>
      <c r="L36" s="1814"/>
    </row>
    <row r="37" spans="1:18">
      <c r="A37" s="1789"/>
      <c r="C37" s="1814"/>
      <c r="D37" s="1814"/>
      <c r="E37" s="1814"/>
      <c r="F37" s="1814"/>
      <c r="G37" s="1814"/>
      <c r="H37" s="1814"/>
      <c r="I37" s="1814"/>
      <c r="J37" s="1814"/>
      <c r="K37" s="1814"/>
      <c r="L37" s="1814"/>
    </row>
    <row r="38" spans="1:18">
      <c r="A38" s="1789"/>
      <c r="C38" s="1814"/>
      <c r="D38" s="1814"/>
      <c r="E38" s="1814"/>
      <c r="F38" s="1814"/>
      <c r="G38" s="1814"/>
      <c r="H38" s="1814"/>
      <c r="I38" s="1814"/>
      <c r="J38" s="1814"/>
      <c r="K38" s="1814"/>
      <c r="L38" s="1814"/>
    </row>
    <row r="39" spans="1:18">
      <c r="A39" s="1789"/>
      <c r="C39" s="1814"/>
      <c r="D39" s="1814"/>
      <c r="E39" s="1814"/>
      <c r="F39" s="1814"/>
      <c r="G39" s="1814"/>
      <c r="H39" s="1814"/>
      <c r="I39" s="1814"/>
      <c r="J39" s="1814"/>
      <c r="K39" s="1814"/>
      <c r="L39" s="1814"/>
    </row>
    <row r="40" spans="1:18">
      <c r="A40" s="1789"/>
      <c r="C40" s="1814"/>
      <c r="D40" s="1814"/>
      <c r="E40" s="1814"/>
      <c r="F40" s="1814"/>
      <c r="G40" s="1814"/>
      <c r="H40" s="1814"/>
      <c r="I40" s="1814"/>
      <c r="J40" s="1814"/>
      <c r="K40" s="1814"/>
      <c r="L40" s="1814"/>
    </row>
    <row r="41" spans="1:18">
      <c r="A41" s="1789"/>
      <c r="C41" s="1814"/>
      <c r="D41" s="1814"/>
      <c r="E41" s="1814"/>
      <c r="F41" s="1814"/>
      <c r="G41" s="1814"/>
      <c r="H41" s="1814"/>
      <c r="I41" s="1814"/>
      <c r="J41" s="1814"/>
      <c r="K41" s="1814"/>
      <c r="L41" s="1814"/>
    </row>
    <row r="42" spans="1:18">
      <c r="A42" s="1789"/>
      <c r="C42" s="1814"/>
      <c r="D42" s="1814"/>
      <c r="E42" s="1814"/>
      <c r="F42" s="1814"/>
      <c r="G42" s="1814"/>
      <c r="H42" s="1814"/>
      <c r="I42" s="1814"/>
      <c r="J42" s="1814"/>
      <c r="K42" s="1814"/>
      <c r="L42" s="1814"/>
    </row>
    <row r="43" spans="1:18" s="1818" customFormat="1" ht="14.25" customHeight="1">
      <c r="A43" s="1815" t="s">
        <v>1102</v>
      </c>
      <c r="B43" s="1816"/>
      <c r="C43" s="1816"/>
      <c r="D43" s="1816"/>
      <c r="E43" s="1816"/>
      <c r="F43" s="1816"/>
      <c r="G43" s="1816"/>
      <c r="H43" s="1816"/>
      <c r="I43" s="1816"/>
      <c r="J43" s="1816"/>
      <c r="K43" s="1816"/>
      <c r="L43" s="1816"/>
      <c r="M43" s="1816"/>
      <c r="N43" s="1816"/>
      <c r="O43" s="1816"/>
      <c r="P43" s="1816"/>
      <c r="Q43" s="1816"/>
      <c r="R43" s="1817"/>
    </row>
    <row r="44" spans="1:18" s="1818" customFormat="1" ht="14.25" customHeight="1">
      <c r="A44" s="1815" t="s">
        <v>1103</v>
      </c>
      <c r="B44" s="1816"/>
      <c r="C44" s="1816"/>
      <c r="D44" s="1816"/>
      <c r="E44" s="1816"/>
      <c r="F44" s="1816"/>
      <c r="G44" s="1816"/>
      <c r="H44" s="1816"/>
      <c r="I44" s="1816"/>
      <c r="J44" s="1816"/>
      <c r="K44" s="1816"/>
      <c r="L44" s="1816"/>
      <c r="M44" s="1816"/>
      <c r="N44" s="1816"/>
      <c r="O44" s="1816"/>
      <c r="P44" s="1816"/>
      <c r="Q44" s="1816"/>
      <c r="R44" s="1817"/>
    </row>
    <row r="45" spans="1:18" s="1818" customFormat="1" ht="14.25" customHeight="1">
      <c r="A45" s="1819" t="s">
        <v>1104</v>
      </c>
      <c r="B45" s="1816"/>
      <c r="C45" s="1816"/>
      <c r="D45" s="1816"/>
      <c r="E45" s="1816"/>
      <c r="F45" s="1816"/>
      <c r="G45" s="1816"/>
      <c r="H45" s="1816"/>
      <c r="I45" s="1816"/>
      <c r="J45" s="1816"/>
      <c r="K45" s="1816"/>
      <c r="L45" s="1816"/>
      <c r="M45" s="1816"/>
      <c r="N45" s="1816"/>
      <c r="O45" s="1816"/>
      <c r="P45" s="1816"/>
      <c r="Q45" s="1816"/>
      <c r="R45" s="1817"/>
    </row>
    <row r="46" spans="1:18" s="1818" customFormat="1" ht="14.25" customHeight="1">
      <c r="A46" s="1815" t="s">
        <v>2634</v>
      </c>
      <c r="B46" s="1816"/>
      <c r="C46" s="1816"/>
      <c r="D46" s="1816"/>
      <c r="E46" s="1816"/>
      <c r="F46" s="1816"/>
      <c r="G46" s="1816"/>
      <c r="H46" s="1816"/>
      <c r="I46" s="1816"/>
      <c r="J46" s="1816"/>
      <c r="K46" s="1816"/>
      <c r="L46" s="1816"/>
      <c r="M46" s="1816"/>
      <c r="N46" s="1816"/>
      <c r="O46" s="1816"/>
      <c r="P46" s="1816"/>
      <c r="Q46" s="1816"/>
      <c r="R46" s="1817"/>
    </row>
    <row r="47" spans="1:18" s="1818" customFormat="1" ht="14.25" customHeight="1">
      <c r="A47" s="1819" t="s">
        <v>1105</v>
      </c>
    </row>
    <row r="48" spans="1:18">
      <c r="B48" s="1800"/>
      <c r="C48" s="1800"/>
      <c r="D48" s="1800"/>
      <c r="E48" s="1800"/>
      <c r="F48" s="1800"/>
      <c r="G48" s="1800"/>
      <c r="H48" s="1800"/>
      <c r="I48" s="1800"/>
      <c r="J48" s="1800"/>
      <c r="K48" s="1800"/>
      <c r="L48" s="1800"/>
    </row>
    <row r="49" spans="2:12">
      <c r="B49" s="1800"/>
      <c r="C49" s="1800"/>
      <c r="D49" s="1800"/>
      <c r="E49" s="1800"/>
      <c r="F49" s="1800"/>
      <c r="G49" s="1800"/>
      <c r="H49" s="1800"/>
      <c r="I49" s="1800"/>
      <c r="J49" s="1800"/>
      <c r="K49" s="1800"/>
      <c r="L49" s="1800"/>
    </row>
  </sheetData>
  <pageMargins left="0.5" right="0.5" top="1" bottom="0.5" header="0.26" footer="0.25"/>
  <pageSetup scale="70" orientation="landscape"/>
  <headerFooter scaleWithDoc="0">
    <oddFooter>&amp;R&amp;8 117</oddFooter>
  </headerFooter>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AF54"/>
  <sheetViews>
    <sheetView showGridLines="0" showOutlineSymbols="0" zoomScale="80" zoomScaleNormal="80" zoomScalePageLayoutView="80" workbookViewId="0"/>
  </sheetViews>
  <sheetFormatPr baseColWidth="10" defaultColWidth="8.85546875" defaultRowHeight="15" x14ac:dyDescent="0"/>
  <cols>
    <col min="1" max="1" width="14.42578125" style="159" customWidth="1"/>
    <col min="2" max="2" width="10.85546875" style="159" customWidth="1"/>
    <col min="3" max="3" width="12.5703125" style="159" customWidth="1"/>
    <col min="4" max="4" width="11" style="159" customWidth="1"/>
    <col min="5" max="5" width="3.140625" style="159" customWidth="1"/>
    <col min="6" max="6" width="10.5703125" style="159" customWidth="1"/>
    <col min="7" max="7" width="2.85546875" style="159" customWidth="1"/>
    <col min="8" max="8" width="12.140625" style="159" customWidth="1"/>
    <col min="9" max="9" width="2.5703125" style="159" customWidth="1"/>
    <col min="10" max="10" width="10.5703125" style="159" customWidth="1"/>
    <col min="11" max="11" width="2.5703125" style="159" customWidth="1"/>
    <col min="12" max="12" width="11.140625" style="159" customWidth="1"/>
    <col min="13" max="13" width="3" style="159" customWidth="1"/>
    <col min="14" max="14" width="12.42578125" style="159" customWidth="1"/>
    <col min="15" max="15" width="2.5703125" style="159" customWidth="1"/>
    <col min="16" max="16" width="10.42578125" style="159" customWidth="1"/>
    <col min="17" max="17" width="2.42578125" style="159" customWidth="1"/>
    <col min="18" max="18" width="11.42578125" style="159" customWidth="1"/>
    <col min="19" max="19" width="2.85546875" style="159" customWidth="1"/>
    <col min="20" max="20" width="11.85546875" style="159" customWidth="1"/>
    <col min="21" max="21" width="2.85546875" style="159" customWidth="1"/>
    <col min="22" max="22" width="10.140625" style="159" customWidth="1"/>
    <col min="23" max="23" width="2.5703125" style="159" customWidth="1"/>
    <col min="24" max="24" width="10.140625" style="159" customWidth="1"/>
    <col min="25" max="25" width="2.5703125" style="159" customWidth="1"/>
    <col min="26" max="26" width="3.140625" style="159" customWidth="1"/>
    <col min="27" max="27" width="11.140625" style="159" customWidth="1"/>
    <col min="28" max="28" width="3.42578125" style="159" customWidth="1"/>
    <col min="29" max="16384" width="8.85546875" style="159"/>
  </cols>
  <sheetData>
    <row r="1" spans="1:29">
      <c r="A1" s="1582" t="s">
        <v>1443</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row>
    <row r="2" spans="1:29">
      <c r="A2" s="252"/>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row>
    <row r="3" spans="1:29" ht="17">
      <c r="A3" s="8" t="s">
        <v>0</v>
      </c>
      <c r="B3" s="252"/>
      <c r="C3" s="252"/>
      <c r="D3" s="252"/>
      <c r="E3" s="252"/>
      <c r="F3" s="252"/>
      <c r="G3" s="252"/>
      <c r="H3" s="252"/>
      <c r="I3" s="252"/>
      <c r="J3" s="252"/>
      <c r="K3" s="252"/>
      <c r="L3" s="252"/>
      <c r="M3" s="252"/>
      <c r="N3" s="252"/>
      <c r="O3" s="252"/>
      <c r="P3" s="252"/>
      <c r="Q3" s="252"/>
      <c r="R3" s="252"/>
      <c r="S3" s="252"/>
      <c r="T3" s="252"/>
      <c r="U3" s="252"/>
      <c r="V3" s="252"/>
      <c r="W3" s="252"/>
      <c r="X3" s="1718" t="s">
        <v>1106</v>
      </c>
      <c r="Y3" s="1719"/>
      <c r="Z3" s="1719"/>
      <c r="AA3" s="1719"/>
      <c r="AB3" s="252"/>
      <c r="AC3"/>
    </row>
    <row r="4" spans="1:29" ht="17">
      <c r="A4" s="8" t="s">
        <v>2708</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row>
    <row r="5" spans="1:29" ht="17">
      <c r="A5" s="1146" t="s">
        <v>2645</v>
      </c>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row>
    <row r="6" spans="1:29" ht="17">
      <c r="A6" s="1783" t="s">
        <v>1098</v>
      </c>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row>
    <row r="7" spans="1:29">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row>
    <row r="8" spans="1:29">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row>
    <row r="9" spans="1:29">
      <c r="A9" s="252"/>
      <c r="B9" s="252"/>
      <c r="C9" s="252"/>
      <c r="D9" s="252"/>
      <c r="E9" s="252"/>
      <c r="F9" s="252"/>
      <c r="G9" s="252"/>
      <c r="H9" s="1717"/>
      <c r="I9" s="203"/>
      <c r="J9" s="203"/>
      <c r="K9" s="203"/>
      <c r="L9" s="1001"/>
      <c r="M9" s="1001"/>
      <c r="N9" s="1001"/>
      <c r="O9" s="1001"/>
      <c r="P9" s="1001"/>
      <c r="Q9" s="203"/>
      <c r="R9" s="203"/>
      <c r="S9" s="203"/>
      <c r="T9" s="1001"/>
      <c r="U9" s="1001"/>
      <c r="V9" s="252"/>
      <c r="W9" s="252"/>
      <c r="X9" s="252"/>
      <c r="Y9" s="252"/>
      <c r="Z9" s="252"/>
      <c r="AA9" s="252"/>
      <c r="AB9" s="252"/>
      <c r="AC9"/>
    </row>
    <row r="10" spans="1:29">
      <c r="A10" s="252"/>
      <c r="B10" s="252"/>
      <c r="C10" s="252"/>
      <c r="D10" s="252"/>
      <c r="E10" s="252"/>
      <c r="F10" s="252"/>
      <c r="G10" s="252"/>
      <c r="H10" s="657" t="s">
        <v>1109</v>
      </c>
      <c r="I10" s="203"/>
      <c r="J10" s="203"/>
      <c r="K10" s="203"/>
      <c r="L10" s="1001" t="s">
        <v>1107</v>
      </c>
      <c r="M10" s="1001"/>
      <c r="N10" s="1001"/>
      <c r="O10" s="1001"/>
      <c r="P10" s="1001"/>
      <c r="Q10" s="203"/>
      <c r="R10" s="203"/>
      <c r="S10" s="203"/>
      <c r="T10" s="1001" t="s">
        <v>1108</v>
      </c>
      <c r="U10" s="1001"/>
      <c r="V10" s="252"/>
      <c r="W10" s="252"/>
      <c r="X10" s="252"/>
      <c r="Y10" s="252"/>
      <c r="Z10" s="252"/>
      <c r="AA10" s="252"/>
      <c r="AB10" s="252"/>
      <c r="AC10"/>
    </row>
    <row r="11" spans="1:29">
      <c r="A11" s="252"/>
      <c r="B11" s="252"/>
      <c r="C11" s="252"/>
      <c r="D11" s="252"/>
      <c r="E11" s="252"/>
      <c r="F11" s="252"/>
      <c r="G11" s="252"/>
      <c r="H11" s="657" t="s">
        <v>1111</v>
      </c>
      <c r="I11" s="203"/>
      <c r="J11" s="203"/>
      <c r="K11" s="203"/>
      <c r="L11" s="1001" t="s">
        <v>529</v>
      </c>
      <c r="M11" s="1001"/>
      <c r="N11" s="1001"/>
      <c r="O11" s="1001"/>
      <c r="P11" s="1001"/>
      <c r="Q11" s="203"/>
      <c r="R11" s="203"/>
      <c r="S11" s="203"/>
      <c r="T11" s="1001" t="s">
        <v>1110</v>
      </c>
      <c r="U11" s="1001"/>
      <c r="V11" s="252"/>
      <c r="W11" s="252"/>
      <c r="X11" s="252"/>
      <c r="Y11" s="252"/>
      <c r="Z11" s="252"/>
      <c r="AA11" s="252"/>
      <c r="AB11" s="252"/>
      <c r="AC11"/>
    </row>
    <row r="12" spans="1:29">
      <c r="A12" s="1003"/>
      <c r="B12" s="1003"/>
      <c r="C12" s="1003"/>
      <c r="D12" s="1003"/>
      <c r="E12" s="1003"/>
      <c r="F12" s="1003"/>
      <c r="G12" s="1003"/>
      <c r="H12" s="1003"/>
      <c r="I12" s="1003"/>
      <c r="J12" s="1003"/>
      <c r="K12" s="1003"/>
      <c r="L12" s="1003"/>
      <c r="M12" s="1003"/>
      <c r="N12" s="1003"/>
      <c r="O12" s="1003"/>
      <c r="P12" s="1003"/>
      <c r="Q12" s="1003"/>
      <c r="R12" s="1003"/>
      <c r="S12" s="1003"/>
      <c r="T12" s="1003"/>
      <c r="U12" s="1003"/>
      <c r="V12" s="252"/>
      <c r="W12" s="252"/>
      <c r="X12" s="252"/>
      <c r="Y12" s="252"/>
      <c r="Z12" s="252"/>
      <c r="AA12" s="252"/>
      <c r="AB12" s="252"/>
      <c r="AC12"/>
    </row>
    <row r="13" spans="1:29">
      <c r="A13" s="2373" t="s">
        <v>1112</v>
      </c>
      <c r="B13" s="2371"/>
      <c r="C13" s="2371"/>
      <c r="D13" s="2371"/>
      <c r="E13" s="2371"/>
      <c r="F13" s="2371"/>
      <c r="G13" s="2371"/>
      <c r="H13" s="1720">
        <v>2.31E-3</v>
      </c>
      <c r="I13" s="2371"/>
      <c r="J13" s="2371"/>
      <c r="K13" s="2371"/>
      <c r="L13" s="2371"/>
      <c r="M13" s="2371"/>
      <c r="N13" s="1721">
        <v>15000.433999999999</v>
      </c>
      <c r="O13" s="2371"/>
      <c r="P13" s="2371"/>
      <c r="Q13" s="2371"/>
      <c r="R13" s="2371"/>
      <c r="S13" s="2371"/>
      <c r="T13" s="1721">
        <v>34.283000000000001</v>
      </c>
      <c r="U13" s="1722" t="s">
        <v>275</v>
      </c>
      <c r="V13" s="2371"/>
      <c r="W13" s="2371"/>
      <c r="X13" s="2374"/>
      <c r="Y13" s="2371"/>
      <c r="Z13" s="2371"/>
      <c r="AA13" s="2371"/>
      <c r="AB13" s="252"/>
      <c r="AC13"/>
    </row>
    <row r="14" spans="1:29">
      <c r="A14" s="2371"/>
      <c r="B14" s="2371"/>
      <c r="C14" s="2371"/>
      <c r="D14" s="2371"/>
      <c r="E14" s="2371"/>
      <c r="F14" s="2371"/>
      <c r="G14" s="2371"/>
      <c r="H14" s="1720"/>
      <c r="I14" s="2371"/>
      <c r="J14" s="2371"/>
      <c r="K14" s="2371"/>
      <c r="L14" s="2371"/>
      <c r="M14" s="2371"/>
      <c r="N14" s="1721"/>
      <c r="O14" s="2371"/>
      <c r="P14" s="2371"/>
      <c r="Q14" s="2371"/>
      <c r="R14" s="2371"/>
      <c r="S14" s="2371"/>
      <c r="T14" s="1721"/>
      <c r="U14" s="1722"/>
      <c r="V14" s="2371"/>
      <c r="W14" s="2371"/>
      <c r="X14" s="2371"/>
      <c r="Y14" s="2371"/>
      <c r="Z14" s="2371"/>
      <c r="AA14" s="2371"/>
      <c r="AB14" s="252"/>
      <c r="AC14"/>
    </row>
    <row r="15" spans="1:29">
      <c r="A15" s="2371" t="s">
        <v>1113</v>
      </c>
      <c r="B15" s="2371"/>
      <c r="C15" s="2371"/>
      <c r="D15" s="2371"/>
      <c r="E15" s="2371"/>
      <c r="F15" s="2371"/>
      <c r="G15" s="2371"/>
      <c r="H15" s="1720">
        <v>6.9999999999999999E-4</v>
      </c>
      <c r="I15" s="2371"/>
      <c r="J15" s="2371"/>
      <c r="K15" s="2371"/>
      <c r="L15" s="2371"/>
      <c r="M15" s="2371"/>
      <c r="N15" s="2375">
        <v>857.178</v>
      </c>
      <c r="O15" s="2371"/>
      <c r="P15" s="2371"/>
      <c r="Q15" s="2371"/>
      <c r="R15" s="2371"/>
      <c r="S15" s="2371"/>
      <c r="T15" s="2375">
        <v>0.59799999999999998</v>
      </c>
      <c r="U15" s="1722"/>
      <c r="V15" s="2371"/>
      <c r="W15" s="2371"/>
      <c r="X15" s="2371"/>
      <c r="Y15" s="2371"/>
      <c r="Z15" s="2371"/>
      <c r="AA15" s="2371"/>
      <c r="AB15" s="252"/>
      <c r="AC15"/>
    </row>
    <row r="16" spans="1:29">
      <c r="A16" s="2371"/>
      <c r="B16" s="2371"/>
      <c r="C16" s="2371"/>
      <c r="D16" s="2371"/>
      <c r="E16" s="2371"/>
      <c r="F16" s="2371"/>
      <c r="G16" s="2371"/>
      <c r="H16" s="1720"/>
      <c r="I16" s="2371"/>
      <c r="J16" s="2371"/>
      <c r="K16" s="2371"/>
      <c r="L16" s="2371"/>
      <c r="M16" s="2371"/>
      <c r="N16" s="2376"/>
      <c r="O16" s="2371"/>
      <c r="P16" s="2371"/>
      <c r="Q16" s="2371"/>
      <c r="R16" s="2371"/>
      <c r="S16" s="2371"/>
      <c r="T16" s="2376"/>
      <c r="U16" s="1722"/>
      <c r="V16" s="2371"/>
      <c r="W16" s="2371"/>
      <c r="X16" s="2371"/>
      <c r="Y16" s="2371"/>
      <c r="Z16" s="2371"/>
      <c r="AA16" s="2371"/>
      <c r="AB16" s="252"/>
      <c r="AC16"/>
    </row>
    <row r="17" spans="1:29">
      <c r="A17" s="2371" t="s">
        <v>1114</v>
      </c>
      <c r="B17" s="2371"/>
      <c r="C17" s="2371"/>
      <c r="D17" s="2371"/>
      <c r="E17" s="2371"/>
      <c r="F17" s="2371"/>
      <c r="G17" s="2371"/>
      <c r="H17" s="1720"/>
      <c r="I17" s="2371"/>
      <c r="J17" s="2371"/>
      <c r="K17" s="2371"/>
      <c r="L17" s="2371"/>
      <c r="M17" s="2371"/>
      <c r="N17" s="2376"/>
      <c r="O17" s="2371"/>
      <c r="P17" s="2371"/>
      <c r="Q17" s="2371"/>
      <c r="R17" s="2371"/>
      <c r="S17" s="2371"/>
      <c r="T17" s="2376"/>
      <c r="U17" s="1722"/>
      <c r="V17" s="2371"/>
      <c r="W17" s="2371"/>
      <c r="X17" s="2371"/>
      <c r="Y17" s="2371"/>
      <c r="Z17" s="2371"/>
      <c r="AA17" s="2371"/>
      <c r="AB17" s="252"/>
      <c r="AC17"/>
    </row>
    <row r="18" spans="1:29">
      <c r="A18" s="2371" t="s">
        <v>1115</v>
      </c>
      <c r="B18" s="2371"/>
      <c r="C18" s="2371"/>
      <c r="D18" s="2371"/>
      <c r="E18" s="2371"/>
      <c r="F18" s="2371"/>
      <c r="G18" s="2371"/>
      <c r="H18" s="1723">
        <v>0</v>
      </c>
      <c r="I18" s="905"/>
      <c r="J18" s="905"/>
      <c r="K18" s="905"/>
      <c r="L18" s="905"/>
      <c r="M18" s="905"/>
      <c r="N18" s="1724">
        <v>0</v>
      </c>
      <c r="O18" s="2371"/>
      <c r="P18" s="2371"/>
      <c r="Q18" s="2371"/>
      <c r="R18" s="2371"/>
      <c r="S18" s="2371"/>
      <c r="T18" s="2377">
        <v>0</v>
      </c>
      <c r="U18" s="1722"/>
      <c r="V18" s="2371"/>
      <c r="W18" s="2371"/>
      <c r="X18" s="2371"/>
      <c r="Y18" s="2371"/>
      <c r="Z18" s="2371"/>
      <c r="AA18" s="2371"/>
      <c r="AB18" s="252"/>
      <c r="AC18"/>
    </row>
    <row r="19" spans="1:29">
      <c r="A19" s="2378" t="s">
        <v>2680</v>
      </c>
      <c r="B19" s="2371"/>
      <c r="C19" s="2371"/>
      <c r="D19" s="2371"/>
      <c r="E19" s="2371"/>
      <c r="F19" s="2371"/>
      <c r="G19" s="2371"/>
      <c r="H19" s="1720">
        <v>1.157E-2</v>
      </c>
      <c r="I19" s="2371"/>
      <c r="J19" s="2371"/>
      <c r="K19" s="2371"/>
      <c r="L19" s="2371"/>
      <c r="M19" s="2371"/>
      <c r="N19" s="2375">
        <v>49.488999999999997</v>
      </c>
      <c r="O19" s="2371"/>
      <c r="P19" s="2371"/>
      <c r="Q19" s="2371"/>
      <c r="R19" s="2371"/>
      <c r="S19" s="2371"/>
      <c r="T19" s="2375">
        <v>0.57399999999999995</v>
      </c>
      <c r="U19" s="2392" t="s">
        <v>309</v>
      </c>
      <c r="V19" s="2371"/>
      <c r="W19" s="2371"/>
      <c r="X19" s="2371"/>
      <c r="Y19" s="2371"/>
      <c r="Z19" s="2371"/>
      <c r="AA19" s="2371"/>
      <c r="AB19" s="252"/>
      <c r="AC19"/>
    </row>
    <row r="20" spans="1:29">
      <c r="A20" s="2371" t="s">
        <v>1116</v>
      </c>
      <c r="B20" s="2371"/>
      <c r="C20" s="2371"/>
      <c r="D20" s="2371"/>
      <c r="E20" s="2371"/>
      <c r="F20" s="2371"/>
      <c r="G20" s="2371"/>
      <c r="H20" s="1723">
        <v>0</v>
      </c>
      <c r="I20" s="905"/>
      <c r="J20" s="905"/>
      <c r="K20" s="905"/>
      <c r="L20" s="905"/>
      <c r="M20" s="905"/>
      <c r="N20" s="1724">
        <v>0</v>
      </c>
      <c r="O20" s="2371"/>
      <c r="P20" s="2371"/>
      <c r="Q20" s="2371"/>
      <c r="R20" s="2371"/>
      <c r="S20" s="2371"/>
      <c r="T20" s="1724">
        <v>0</v>
      </c>
      <c r="U20" s="1722"/>
      <c r="V20" s="2371"/>
      <c r="W20" s="2371"/>
      <c r="X20" s="2371"/>
      <c r="Y20" s="2371"/>
      <c r="Z20" s="2371"/>
      <c r="AA20" s="2371"/>
      <c r="AB20" s="252"/>
      <c r="AC20"/>
    </row>
    <row r="21" spans="1:29">
      <c r="A21" s="2371" t="s">
        <v>1117</v>
      </c>
      <c r="B21" s="2371"/>
      <c r="C21" s="2371"/>
      <c r="D21" s="2371"/>
      <c r="E21" s="2371"/>
      <c r="F21" s="2371"/>
      <c r="G21" s="2371"/>
      <c r="H21" s="1723">
        <v>0</v>
      </c>
      <c r="I21" s="905"/>
      <c r="J21" s="905"/>
      <c r="K21" s="905"/>
      <c r="L21" s="905"/>
      <c r="M21" s="905"/>
      <c r="N21" s="1724">
        <v>0</v>
      </c>
      <c r="O21" s="2371"/>
      <c r="P21" s="2371"/>
      <c r="Q21" s="2371"/>
      <c r="R21" s="2371"/>
      <c r="S21" s="2371"/>
      <c r="T21" s="1724">
        <v>0</v>
      </c>
      <c r="U21" s="1722"/>
      <c r="V21" s="2371"/>
      <c r="W21" s="2371"/>
      <c r="X21" s="2371"/>
      <c r="Y21" s="2371"/>
      <c r="Z21" s="2371"/>
      <c r="AA21" s="2371"/>
      <c r="AB21" s="252"/>
      <c r="AC21"/>
    </row>
    <row r="22" spans="1:29">
      <c r="A22" s="2371" t="s">
        <v>1118</v>
      </c>
      <c r="B22" s="2371"/>
      <c r="C22" s="2371"/>
      <c r="D22" s="2371"/>
      <c r="E22" s="2371"/>
      <c r="F22" s="2371"/>
      <c r="G22" s="2371"/>
      <c r="H22" s="1720">
        <v>1.7799999999999999E-3</v>
      </c>
      <c r="I22" s="2371"/>
      <c r="J22" s="2371"/>
      <c r="K22" s="2371"/>
      <c r="L22" s="2371"/>
      <c r="M22" s="2371"/>
      <c r="N22" s="2375">
        <v>34.267000000000003</v>
      </c>
      <c r="O22" s="2371"/>
      <c r="P22" s="2371"/>
      <c r="Q22" s="2371"/>
      <c r="R22" s="2371"/>
      <c r="S22" s="2371"/>
      <c r="T22" s="2375">
        <v>6.0999999999999999E-2</v>
      </c>
      <c r="U22" s="1722"/>
      <c r="V22" s="2371"/>
      <c r="W22" s="2371"/>
      <c r="X22" s="2371"/>
      <c r="Y22" s="2371"/>
      <c r="Z22" s="2371"/>
      <c r="AA22" s="2371"/>
      <c r="AB22" s="252"/>
      <c r="AC22"/>
    </row>
    <row r="23" spans="1:29">
      <c r="A23" s="2371" t="s">
        <v>1119</v>
      </c>
      <c r="B23" s="2371"/>
      <c r="C23" s="2371"/>
      <c r="D23" s="2371"/>
      <c r="E23" s="2371"/>
      <c r="F23" s="2371"/>
      <c r="G23" s="2371"/>
      <c r="H23" s="1720">
        <v>1.15E-3</v>
      </c>
      <c r="I23" s="2371"/>
      <c r="J23" s="2371"/>
      <c r="K23" s="2371"/>
      <c r="L23" s="2371"/>
      <c r="M23" s="2371"/>
      <c r="N23" s="2375">
        <v>99.228999999999999</v>
      </c>
      <c r="O23" s="2371"/>
      <c r="P23" s="2371"/>
      <c r="Q23" s="2371"/>
      <c r="R23" s="2371"/>
      <c r="S23" s="2371"/>
      <c r="T23" s="2375">
        <v>0.114</v>
      </c>
      <c r="U23" s="1722"/>
      <c r="V23" s="2371"/>
      <c r="W23" s="2371"/>
      <c r="X23" s="2371"/>
      <c r="Y23" s="2371"/>
      <c r="Z23" s="2371"/>
      <c r="AA23" s="2371"/>
      <c r="AB23" s="252"/>
      <c r="AC23"/>
    </row>
    <row r="24" spans="1:29">
      <c r="A24" s="2371" t="s">
        <v>1120</v>
      </c>
      <c r="B24" s="2371"/>
      <c r="C24" s="2371"/>
      <c r="D24" s="2371"/>
      <c r="E24" s="2371"/>
      <c r="F24" s="2371"/>
      <c r="G24" s="2371"/>
      <c r="H24" s="1723">
        <v>0</v>
      </c>
      <c r="I24" s="905"/>
      <c r="J24" s="905"/>
      <c r="K24" s="905"/>
      <c r="L24" s="905"/>
      <c r="M24" s="905"/>
      <c r="N24" s="1724">
        <v>0</v>
      </c>
      <c r="O24" s="2371"/>
      <c r="P24" s="2371"/>
      <c r="Q24" s="2371"/>
      <c r="R24" s="2371"/>
      <c r="S24" s="2371"/>
      <c r="T24" s="1724">
        <v>0</v>
      </c>
      <c r="U24" s="1209"/>
      <c r="V24" s="2371"/>
      <c r="W24" s="2371"/>
      <c r="X24" s="2371"/>
      <c r="Y24" s="2371"/>
      <c r="Z24" s="2371"/>
      <c r="AA24" s="2371"/>
      <c r="AB24" s="252"/>
      <c r="AC24"/>
    </row>
    <row r="25" spans="1:29">
      <c r="A25" s="2371" t="s">
        <v>1121</v>
      </c>
      <c r="B25" s="2371"/>
      <c r="C25" s="2371"/>
      <c r="D25" s="2371"/>
      <c r="E25" s="2371"/>
      <c r="F25" s="2371"/>
      <c r="G25" s="2371"/>
      <c r="H25" s="1720">
        <v>1.8400000000000001E-3</v>
      </c>
      <c r="I25" s="2371"/>
      <c r="J25" s="2371"/>
      <c r="K25" s="2371"/>
      <c r="L25" s="2371"/>
      <c r="M25" s="2371"/>
      <c r="N25" s="2375">
        <v>16.033999999999999</v>
      </c>
      <c r="O25" s="2371"/>
      <c r="P25" s="2371"/>
      <c r="Q25" s="2371"/>
      <c r="R25" s="2371"/>
      <c r="S25" s="2371"/>
      <c r="T25" s="2375">
        <v>0.03</v>
      </c>
      <c r="U25" s="1209"/>
      <c r="V25" s="2371"/>
      <c r="W25" s="2371"/>
      <c r="X25" s="2371"/>
      <c r="Y25" s="2371"/>
      <c r="Z25" s="2371"/>
      <c r="AA25" s="2371"/>
      <c r="AB25" s="252"/>
      <c r="AC25"/>
    </row>
    <row r="26" spans="1:29">
      <c r="A26" s="548"/>
      <c r="B26" s="2371"/>
      <c r="C26" s="2371"/>
      <c r="D26" s="2371"/>
      <c r="E26" s="2371"/>
      <c r="F26" s="2371"/>
      <c r="G26" s="2371"/>
      <c r="H26" s="2371"/>
      <c r="I26" s="2371"/>
      <c r="J26" s="2371"/>
      <c r="K26" s="2371"/>
      <c r="L26" s="2371"/>
      <c r="M26" s="2371"/>
      <c r="N26" s="2376"/>
      <c r="O26" s="2371"/>
      <c r="P26" s="2371"/>
      <c r="Q26" s="2371"/>
      <c r="R26" s="2371"/>
      <c r="S26" s="2371"/>
      <c r="T26" s="2376"/>
      <c r="U26" s="1209"/>
      <c r="V26" s="2371"/>
      <c r="W26" s="2371"/>
      <c r="X26" s="2371"/>
      <c r="Y26" s="2371"/>
      <c r="Z26" s="2371"/>
      <c r="AA26" s="2371"/>
      <c r="AB26" s="252"/>
      <c r="AC26"/>
    </row>
    <row r="27" spans="1:29">
      <c r="A27" s="548"/>
      <c r="B27" s="2371"/>
      <c r="C27" s="2371"/>
      <c r="D27" s="2371"/>
      <c r="E27" s="2371"/>
      <c r="F27" s="2371"/>
      <c r="G27" s="2371"/>
      <c r="H27" s="2371"/>
      <c r="I27" s="2371"/>
      <c r="J27" s="2371"/>
      <c r="K27" s="2371"/>
      <c r="L27" s="2371"/>
      <c r="M27" s="2371"/>
      <c r="N27" s="2376"/>
      <c r="O27" s="2371"/>
      <c r="P27" s="2371"/>
      <c r="Q27" s="2371"/>
      <c r="R27" s="2371"/>
      <c r="S27" s="2371"/>
      <c r="T27" s="1209"/>
      <c r="U27" s="1209"/>
      <c r="V27" s="2371"/>
      <c r="W27" s="2371"/>
      <c r="X27" s="2371"/>
      <c r="Y27" s="2371"/>
      <c r="Z27" s="2371"/>
      <c r="AA27" s="2371"/>
      <c r="AB27" s="252"/>
      <c r="AC27"/>
    </row>
    <row r="28" spans="1:29">
      <c r="A28" s="548"/>
      <c r="B28" s="2371"/>
      <c r="C28" s="2371"/>
      <c r="D28" s="2371"/>
      <c r="E28" s="2371"/>
      <c r="F28" s="2371"/>
      <c r="G28" s="2371"/>
      <c r="H28" s="2371"/>
      <c r="I28" s="2371"/>
      <c r="J28" s="2371"/>
      <c r="K28" s="2371"/>
      <c r="L28" s="2371"/>
      <c r="M28" s="2371"/>
      <c r="N28" s="2371"/>
      <c r="O28" s="2371"/>
      <c r="P28" s="2371"/>
      <c r="Q28" s="2371"/>
      <c r="R28" s="2371"/>
      <c r="S28" s="2371"/>
      <c r="T28" s="1209"/>
      <c r="U28" s="1209"/>
      <c r="V28" s="2371"/>
      <c r="W28" s="2371"/>
      <c r="X28" s="2371"/>
      <c r="Y28" s="2371"/>
      <c r="Z28" s="2371"/>
      <c r="AA28" s="2371"/>
      <c r="AB28" s="252"/>
      <c r="AC28"/>
    </row>
    <row r="29" spans="1:29">
      <c r="A29" s="2371"/>
      <c r="B29" s="2371"/>
      <c r="C29" s="2371"/>
      <c r="D29" s="2379" t="s">
        <v>2632</v>
      </c>
      <c r="E29" s="2380"/>
      <c r="F29" s="2380"/>
      <c r="G29" s="2380"/>
      <c r="H29" s="2380"/>
      <c r="I29" s="2380"/>
      <c r="J29" s="2380"/>
      <c r="K29" s="2380"/>
      <c r="L29" s="2380"/>
      <c r="M29" s="2380"/>
      <c r="N29" s="2380"/>
      <c r="O29" s="2380"/>
      <c r="P29" s="2380"/>
      <c r="Q29" s="2380"/>
      <c r="R29" s="2380"/>
      <c r="S29" s="2380"/>
      <c r="T29" s="2380"/>
      <c r="U29" s="2380"/>
      <c r="V29" s="2380"/>
      <c r="W29" s="2380"/>
      <c r="X29" s="2380"/>
      <c r="Y29" s="2380"/>
      <c r="Z29" s="2380"/>
      <c r="AA29" s="2380"/>
      <c r="AB29" s="252"/>
      <c r="AC29"/>
    </row>
    <row r="30" spans="1:29">
      <c r="A30" s="548"/>
      <c r="B30" s="2371"/>
      <c r="C30" s="2371"/>
      <c r="D30" s="2381"/>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52"/>
      <c r="AC30"/>
    </row>
    <row r="31" spans="1:29">
      <c r="A31" s="548"/>
      <c r="B31" s="2371"/>
      <c r="C31" s="2371"/>
      <c r="D31" s="494"/>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252"/>
      <c r="AC31"/>
    </row>
    <row r="32" spans="1:29">
      <c r="A32" s="548"/>
      <c r="B32" s="2371"/>
      <c r="C32" s="2371"/>
      <c r="D32" s="2382" t="s">
        <v>1122</v>
      </c>
      <c r="E32" s="2383"/>
      <c r="F32" s="2382" t="s">
        <v>1123</v>
      </c>
      <c r="G32" s="2383"/>
      <c r="H32" s="2382" t="s">
        <v>1124</v>
      </c>
      <c r="I32" s="2383"/>
      <c r="J32" s="2382" t="s">
        <v>1125</v>
      </c>
      <c r="K32" s="2383"/>
      <c r="L32" s="2382" t="s">
        <v>1126</v>
      </c>
      <c r="M32" s="2383"/>
      <c r="N32" s="2382" t="s">
        <v>1127</v>
      </c>
      <c r="O32" s="2383"/>
      <c r="P32" s="2382" t="s">
        <v>1128</v>
      </c>
      <c r="Q32" s="2383"/>
      <c r="R32" s="2382" t="s">
        <v>1129</v>
      </c>
      <c r="S32" s="2383"/>
      <c r="T32" s="2382" t="s">
        <v>1130</v>
      </c>
      <c r="U32" s="2383"/>
      <c r="V32" s="2382" t="s">
        <v>1131</v>
      </c>
      <c r="W32" s="2383"/>
      <c r="X32" s="2382" t="s">
        <v>1132</v>
      </c>
      <c r="Y32" s="2383"/>
      <c r="Z32" s="2383"/>
      <c r="AA32" s="2382" t="s">
        <v>1133</v>
      </c>
      <c r="AC32"/>
    </row>
    <row r="33" spans="1:32">
      <c r="A33" s="1725" t="s">
        <v>1134</v>
      </c>
      <c r="B33" s="1725"/>
      <c r="C33" s="1725"/>
      <c r="D33" s="1726"/>
      <c r="E33" s="1726"/>
      <c r="F33" s="1726"/>
      <c r="G33" s="1727"/>
      <c r="H33" s="1727"/>
      <c r="I33" s="1727"/>
      <c r="J33" s="1727"/>
      <c r="K33" s="1727"/>
      <c r="L33" s="1727"/>
      <c r="M33" s="1727"/>
      <c r="N33" s="1727"/>
      <c r="O33" s="1727"/>
      <c r="P33" s="1727"/>
      <c r="Q33" s="1727"/>
      <c r="R33" s="1727"/>
      <c r="S33" s="1727"/>
      <c r="T33" s="1727"/>
      <c r="U33" s="1727"/>
      <c r="V33" s="1727"/>
      <c r="W33" s="1727"/>
      <c r="X33" s="1727"/>
      <c r="Y33" s="1727"/>
      <c r="Z33" s="1727"/>
      <c r="AA33" s="1727"/>
      <c r="AB33" s="252"/>
      <c r="AC33" s="1149"/>
      <c r="AD33" s="1149"/>
    </row>
    <row r="34" spans="1:32">
      <c r="A34" s="2371" t="s">
        <v>1135</v>
      </c>
      <c r="B34" s="2371"/>
      <c r="C34" s="2371"/>
      <c r="D34" s="1720">
        <v>1.01E-3</v>
      </c>
      <c r="E34" s="1728"/>
      <c r="F34" s="1720">
        <v>1.0200000000000001E-3</v>
      </c>
      <c r="G34" s="1728"/>
      <c r="H34" s="1720">
        <v>1.1900000000000001E-3</v>
      </c>
      <c r="I34" s="1728"/>
      <c r="J34" s="1720">
        <v>1.34E-3</v>
      </c>
      <c r="K34" s="1728"/>
      <c r="L34" s="1720">
        <v>1.42E-3</v>
      </c>
      <c r="M34" s="1728"/>
      <c r="N34" s="1720">
        <v>1.5399999999999999E-3</v>
      </c>
      <c r="O34" s="1728"/>
      <c r="P34" s="1720">
        <v>1.5299999999999999E-3</v>
      </c>
      <c r="Q34" s="1728"/>
      <c r="R34" s="1720">
        <v>1.47E-3</v>
      </c>
      <c r="S34" s="1728"/>
      <c r="T34" s="1720">
        <v>2.2100000000000002E-3</v>
      </c>
      <c r="U34" s="1728"/>
      <c r="V34" s="1720">
        <v>4.0499999999999998E-3</v>
      </c>
      <c r="W34" s="1728"/>
      <c r="X34" s="1720">
        <v>4.5599999999999998E-3</v>
      </c>
      <c r="Y34" s="1728"/>
      <c r="Z34" s="1728"/>
      <c r="AA34" s="1720">
        <v>4.6100000000000004E-3</v>
      </c>
      <c r="AB34" s="1150"/>
      <c r="AC34" s="1150"/>
      <c r="AD34" s="1150"/>
      <c r="AE34" s="1148"/>
      <c r="AF34" s="1148"/>
    </row>
    <row r="35" spans="1:32">
      <c r="A35" s="2371" t="s">
        <v>1136</v>
      </c>
      <c r="B35" s="2371"/>
      <c r="C35" s="2371"/>
      <c r="D35" s="1729">
        <v>10787.1</v>
      </c>
      <c r="E35" s="1730"/>
      <c r="F35" s="1729">
        <v>14543.1</v>
      </c>
      <c r="G35" s="1730"/>
      <c r="H35" s="1729">
        <v>14574.8</v>
      </c>
      <c r="I35" s="1730"/>
      <c r="J35" s="1729">
        <v>14268.7</v>
      </c>
      <c r="K35" s="1730"/>
      <c r="L35" s="1729">
        <v>13965</v>
      </c>
      <c r="M35" s="1730"/>
      <c r="N35" s="1729">
        <v>14987.9</v>
      </c>
      <c r="O35" s="1730"/>
      <c r="P35" s="1729">
        <v>12494.2</v>
      </c>
      <c r="Q35" s="1730"/>
      <c r="R35" s="1729">
        <v>14653.3</v>
      </c>
      <c r="S35" s="1730"/>
      <c r="T35" s="1729">
        <v>13038.4</v>
      </c>
      <c r="U35" s="1730"/>
      <c r="V35" s="1729">
        <v>18003.099999999999</v>
      </c>
      <c r="W35" s="1730"/>
      <c r="X35" s="1729">
        <v>19835.7</v>
      </c>
      <c r="Y35" s="1730"/>
      <c r="Z35" s="1730"/>
      <c r="AA35" s="1729">
        <v>15638.8</v>
      </c>
      <c r="AB35" s="252"/>
      <c r="AC35"/>
    </row>
    <row r="36" spans="1:32">
      <c r="A36" s="2371"/>
      <c r="B36" s="2371"/>
      <c r="C36" s="2371"/>
      <c r="D36" s="2371"/>
      <c r="E36" s="2371"/>
      <c r="F36" s="2371"/>
      <c r="G36" s="2371"/>
      <c r="H36" s="2371"/>
      <c r="I36" s="2371"/>
      <c r="J36" s="2371"/>
      <c r="K36" s="2371"/>
      <c r="L36" s="2371"/>
      <c r="M36" s="2371"/>
      <c r="N36" s="2371"/>
      <c r="O36" s="2371"/>
      <c r="P36" s="2371"/>
      <c r="Q36" s="2371"/>
      <c r="R36" s="2371"/>
      <c r="S36" s="2371"/>
      <c r="T36" s="2371"/>
      <c r="U36" s="2371"/>
      <c r="V36" s="2371"/>
      <c r="W36" s="2371"/>
      <c r="X36" s="2371"/>
      <c r="Y36" s="2371"/>
      <c r="Z36" s="2371"/>
      <c r="AA36" s="2371"/>
      <c r="AB36" s="252"/>
      <c r="AC36"/>
    </row>
    <row r="37" spans="1:32">
      <c r="A37" s="2371" t="s">
        <v>1113</v>
      </c>
      <c r="B37" s="2371"/>
      <c r="C37" s="2371"/>
      <c r="D37" s="2384"/>
      <c r="E37" s="2384"/>
      <c r="F37" s="2384"/>
      <c r="G37" s="2384"/>
      <c r="H37" s="2384"/>
      <c r="I37" s="2384"/>
      <c r="J37" s="2384"/>
      <c r="K37" s="2384"/>
      <c r="L37" s="2384"/>
      <c r="M37" s="2384"/>
      <c r="N37" s="2384"/>
      <c r="O37" s="2384"/>
      <c r="P37" s="2384"/>
      <c r="Q37" s="2384"/>
      <c r="R37" s="2384"/>
      <c r="S37" s="2384"/>
      <c r="T37" s="2384"/>
      <c r="U37" s="2384"/>
      <c r="V37" s="2384"/>
      <c r="W37" s="2371"/>
      <c r="X37" s="2371"/>
      <c r="Y37" s="2371"/>
      <c r="Z37" s="2371"/>
      <c r="AA37" s="2371"/>
      <c r="AB37" s="1147"/>
      <c r="AC37" s="1149"/>
      <c r="AD37" s="1149"/>
      <c r="AE37" s="1149"/>
      <c r="AF37" s="1149"/>
    </row>
    <row r="38" spans="1:32">
      <c r="A38" s="2371" t="s">
        <v>1135</v>
      </c>
      <c r="B38" s="2371"/>
      <c r="C38" s="2371"/>
      <c r="D38" s="1720">
        <v>1.2E-4</v>
      </c>
      <c r="E38" s="2385"/>
      <c r="F38" s="1720">
        <v>1.2E-4</v>
      </c>
      <c r="G38" s="1728"/>
      <c r="H38" s="1720">
        <v>2.66E-3</v>
      </c>
      <c r="I38" s="1728"/>
      <c r="J38" s="1720">
        <v>2.4000000000000001E-4</v>
      </c>
      <c r="K38" s="1728"/>
      <c r="L38" s="1720">
        <v>1.6000000000000001E-3</v>
      </c>
      <c r="M38" s="1728"/>
      <c r="N38" s="1720">
        <v>3.4000000000000002E-4</v>
      </c>
      <c r="O38" s="1728"/>
      <c r="P38" s="1720">
        <v>6.9999999999999999E-4</v>
      </c>
      <c r="Q38" s="1728"/>
      <c r="R38" s="1720">
        <v>9.2000000000000003E-4</v>
      </c>
      <c r="S38" s="1728"/>
      <c r="T38" s="1720">
        <v>9.6000000000000002E-4</v>
      </c>
      <c r="U38" s="1728"/>
      <c r="V38" s="1720">
        <v>2.0400000000000001E-3</v>
      </c>
      <c r="W38" s="1728"/>
      <c r="X38" s="1720">
        <v>2.0799999999999998E-3</v>
      </c>
      <c r="Y38" s="1728"/>
      <c r="Z38" s="1728"/>
      <c r="AA38" s="1720">
        <v>2.14E-3</v>
      </c>
      <c r="AB38" s="1148"/>
      <c r="AC38" s="1151"/>
      <c r="AD38" s="1152"/>
      <c r="AE38" s="1152"/>
    </row>
    <row r="39" spans="1:32">
      <c r="A39" s="2371" t="s">
        <v>1136</v>
      </c>
      <c r="B39" s="2371"/>
      <c r="C39" s="2371"/>
      <c r="D39" s="1729">
        <v>212.8</v>
      </c>
      <c r="E39" s="1729"/>
      <c r="F39" s="1729">
        <v>168.3</v>
      </c>
      <c r="G39" s="1729"/>
      <c r="H39" s="1729">
        <v>731.6</v>
      </c>
      <c r="I39" s="1729"/>
      <c r="J39" s="1729">
        <v>3794.2</v>
      </c>
      <c r="K39" s="1729"/>
      <c r="L39" s="1729">
        <v>1749.4</v>
      </c>
      <c r="M39" s="1729"/>
      <c r="N39" s="1729">
        <v>1318.3</v>
      </c>
      <c r="O39" s="1729"/>
      <c r="P39" s="1729">
        <v>507.5</v>
      </c>
      <c r="Q39" s="1729"/>
      <c r="R39" s="1729">
        <v>290.8</v>
      </c>
      <c r="S39" s="1729"/>
      <c r="T39" s="1729">
        <v>67.599999999999994</v>
      </c>
      <c r="U39" s="1729"/>
      <c r="V39" s="1729">
        <v>746.6</v>
      </c>
      <c r="W39" s="1729"/>
      <c r="X39" s="1729">
        <v>426.3</v>
      </c>
      <c r="Y39" s="1729"/>
      <c r="Z39" s="1729"/>
      <c r="AA39" s="1729">
        <v>216.7</v>
      </c>
      <c r="AB39" s="1148"/>
      <c r="AC39" s="1151"/>
      <c r="AD39" s="1152"/>
      <c r="AE39" s="1152"/>
    </row>
    <row r="40" spans="1:32">
      <c r="A40" s="2371"/>
      <c r="B40" s="2371"/>
      <c r="C40" s="2371"/>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c r="AA40" s="1722"/>
      <c r="AB40" s="252"/>
      <c r="AC40"/>
    </row>
    <row r="41" spans="1:32">
      <c r="A41" s="2378" t="s">
        <v>2681</v>
      </c>
      <c r="B41" s="2371"/>
      <c r="C41" s="2371"/>
      <c r="D41" s="2371"/>
      <c r="E41" s="2371"/>
      <c r="F41" s="2371"/>
      <c r="G41" s="2371"/>
      <c r="H41" s="2371"/>
      <c r="I41" s="2371"/>
      <c r="J41" s="2371"/>
      <c r="K41" s="2371"/>
      <c r="L41" s="2371"/>
      <c r="M41" s="2371"/>
      <c r="N41" s="2371"/>
      <c r="O41" s="2371"/>
      <c r="P41" s="2371"/>
      <c r="Q41" s="2371"/>
      <c r="R41" s="2371"/>
      <c r="S41" s="2371"/>
      <c r="T41" s="2371"/>
      <c r="U41" s="2371"/>
      <c r="V41" s="2371"/>
      <c r="W41" s="2371"/>
      <c r="X41" s="2371"/>
      <c r="Y41" s="2371"/>
      <c r="Z41" s="2371"/>
      <c r="AA41" s="2371"/>
      <c r="AB41" s="1147"/>
      <c r="AC41" s="1149"/>
      <c r="AD41" s="1149"/>
      <c r="AE41" s="1149"/>
      <c r="AF41" s="1149"/>
    </row>
    <row r="42" spans="1:32">
      <c r="A42" s="2371" t="s">
        <v>1135</v>
      </c>
      <c r="B42" s="2371"/>
      <c r="C42" s="2371"/>
      <c r="D42" s="1720">
        <v>5.3899999999999998E-3</v>
      </c>
      <c r="E42" s="1728"/>
      <c r="F42" s="1720">
        <v>3.8300000000000001E-3</v>
      </c>
      <c r="G42" s="1728"/>
      <c r="H42" s="1720">
        <v>2.2799999999999999E-3</v>
      </c>
      <c r="I42" s="1728"/>
      <c r="J42" s="1720">
        <v>3.3800000000000002E-3</v>
      </c>
      <c r="K42" s="1728"/>
      <c r="L42" s="1720">
        <v>5.62E-3</v>
      </c>
      <c r="M42" s="1728"/>
      <c r="N42" s="1720">
        <v>4.4000000000000003E-3</v>
      </c>
      <c r="O42" s="1728"/>
      <c r="P42" s="1720">
        <v>3.5599999999999998E-3</v>
      </c>
      <c r="Q42" s="1728"/>
      <c r="R42" s="1720">
        <v>3.3E-3</v>
      </c>
      <c r="S42" s="1728"/>
      <c r="T42" s="1720">
        <v>3.13E-3</v>
      </c>
      <c r="U42" s="1728"/>
      <c r="V42" s="1720">
        <v>1.67E-3</v>
      </c>
      <c r="W42" s="1728"/>
      <c r="X42" s="1720">
        <v>5.0099999999999997E-3</v>
      </c>
      <c r="Y42" s="1728"/>
      <c r="Z42" s="1728"/>
      <c r="AA42" s="1720">
        <v>5.45E-3</v>
      </c>
      <c r="AB42" s="1148"/>
      <c r="AC42" s="1148"/>
      <c r="AD42" s="1148"/>
      <c r="AE42" s="1148"/>
      <c r="AF42" s="1148"/>
    </row>
    <row r="43" spans="1:32">
      <c r="A43" s="2371" t="s">
        <v>1136</v>
      </c>
      <c r="B43" s="2371"/>
      <c r="C43" s="2371"/>
      <c r="D43" s="1729">
        <v>113.8</v>
      </c>
      <c r="E43" s="1729"/>
      <c r="F43" s="1729">
        <v>164.6</v>
      </c>
      <c r="G43" s="1729"/>
      <c r="H43" s="1729">
        <v>296</v>
      </c>
      <c r="I43" s="1729"/>
      <c r="J43" s="1729">
        <v>192.9</v>
      </c>
      <c r="K43" s="1729"/>
      <c r="L43" s="1729">
        <v>110.4</v>
      </c>
      <c r="M43" s="1729"/>
      <c r="N43" s="1729">
        <v>164</v>
      </c>
      <c r="O43" s="1729"/>
      <c r="P43" s="1729">
        <v>221</v>
      </c>
      <c r="Q43" s="1729"/>
      <c r="R43" s="1729">
        <v>274.8</v>
      </c>
      <c r="S43" s="1729"/>
      <c r="T43" s="1729">
        <v>334.8</v>
      </c>
      <c r="U43" s="1729"/>
      <c r="V43" s="1729">
        <v>285.3</v>
      </c>
      <c r="W43" s="1729"/>
      <c r="X43" s="1729">
        <v>173.2</v>
      </c>
      <c r="Y43" s="1729"/>
      <c r="Z43" s="1729"/>
      <c r="AA43" s="1729">
        <v>205.8</v>
      </c>
      <c r="AB43" s="252"/>
      <c r="AC43"/>
    </row>
    <row r="44" spans="1:32">
      <c r="A44" s="2371"/>
      <c r="B44" s="2371"/>
      <c r="C44" s="2371"/>
      <c r="D44" s="2371"/>
      <c r="E44" s="2371"/>
      <c r="F44" s="2371"/>
      <c r="G44" s="2371"/>
      <c r="H44" s="2371"/>
      <c r="I44" s="2371"/>
      <c r="J44" s="2371"/>
      <c r="K44" s="2371"/>
      <c r="L44" s="2371"/>
      <c r="M44" s="2371"/>
      <c r="N44" s="2371"/>
      <c r="O44" s="2371"/>
      <c r="P44" s="2371"/>
      <c r="Q44" s="2371"/>
      <c r="R44" s="2371"/>
      <c r="S44" s="2371"/>
      <c r="T44" s="2371"/>
      <c r="U44" s="2371"/>
      <c r="V44" s="2371"/>
      <c r="W44" s="2371"/>
      <c r="X44" s="2371"/>
      <c r="Y44" s="2371"/>
      <c r="Z44" s="2371"/>
      <c r="AA44" s="2371"/>
    </row>
    <row r="45" spans="1:32">
      <c r="A45" s="2384"/>
      <c r="B45" s="2384"/>
      <c r="C45" s="2384"/>
      <c r="D45" s="2384"/>
      <c r="E45" s="2384"/>
      <c r="F45" s="2384"/>
      <c r="G45" s="2384"/>
      <c r="H45" s="2384"/>
      <c r="I45" s="2384"/>
      <c r="J45" s="2384"/>
      <c r="K45" s="2384"/>
      <c r="L45" s="2384"/>
      <c r="M45" s="2384"/>
      <c r="N45" s="2384"/>
      <c r="O45" s="2384"/>
      <c r="P45" s="2384"/>
      <c r="Q45" s="2384"/>
      <c r="R45" s="2384"/>
      <c r="S45" s="2384"/>
      <c r="T45" s="2384"/>
      <c r="U45" s="2384"/>
      <c r="V45" s="2384"/>
      <c r="W45" s="2384"/>
      <c r="X45" s="2384"/>
      <c r="Y45" s="2384"/>
      <c r="Z45" s="2384"/>
      <c r="AA45" s="2384"/>
    </row>
    <row r="46" spans="1:32">
      <c r="A46" s="2384"/>
      <c r="B46" s="2384"/>
      <c r="C46" s="2384"/>
      <c r="D46" s="2384"/>
      <c r="E46" s="2384"/>
      <c r="F46" s="2384"/>
      <c r="G46" s="2384"/>
      <c r="H46" s="2384"/>
      <c r="I46" s="2384"/>
      <c r="J46" s="2384"/>
      <c r="K46" s="2384"/>
      <c r="L46" s="2384"/>
      <c r="M46" s="2384"/>
      <c r="N46" s="2384"/>
      <c r="O46" s="2384"/>
      <c r="P46" s="2384"/>
      <c r="Q46" s="2384"/>
      <c r="R46" s="2384"/>
      <c r="S46" s="2384"/>
      <c r="T46" s="2384"/>
      <c r="U46" s="2384"/>
      <c r="V46" s="2384"/>
      <c r="W46" s="2384"/>
      <c r="X46" s="2384"/>
      <c r="Y46" s="2384"/>
      <c r="Z46" s="2384"/>
      <c r="AA46" s="2384"/>
    </row>
    <row r="47" spans="1:32">
      <c r="A47" s="2384"/>
      <c r="B47" s="2384"/>
      <c r="C47" s="2384"/>
      <c r="D47" s="2384"/>
      <c r="E47" s="2384"/>
      <c r="F47" s="2384"/>
      <c r="G47" s="2384"/>
      <c r="H47" s="2384"/>
      <c r="I47" s="2384"/>
      <c r="J47" s="2384"/>
      <c r="K47" s="2384"/>
      <c r="L47" s="2384"/>
      <c r="M47" s="2384"/>
      <c r="N47" s="2384"/>
      <c r="O47" s="2384"/>
      <c r="P47" s="2384"/>
      <c r="Q47" s="2384"/>
      <c r="R47" s="2384"/>
      <c r="S47" s="2384"/>
      <c r="T47" s="2384"/>
      <c r="U47" s="2384"/>
      <c r="V47" s="2384"/>
      <c r="W47" s="2384"/>
      <c r="X47" s="2384"/>
      <c r="Y47" s="2384"/>
      <c r="Z47" s="2384"/>
      <c r="AA47" s="2384"/>
      <c r="AB47" s="252"/>
      <c r="AC47"/>
    </row>
    <row r="48" spans="1:32">
      <c r="A48" s="904" t="s">
        <v>1137</v>
      </c>
      <c r="B48" s="2371"/>
      <c r="C48" s="2371"/>
      <c r="D48" s="2371"/>
      <c r="E48" s="2371"/>
      <c r="F48" s="2371"/>
      <c r="G48" s="2371"/>
      <c r="H48" s="2371"/>
      <c r="I48" s="2371"/>
      <c r="J48" s="2371"/>
      <c r="K48" s="2371"/>
      <c r="L48" s="2371"/>
      <c r="M48" s="2371"/>
      <c r="N48" s="2371"/>
      <c r="O48" s="2371"/>
      <c r="P48" s="2371"/>
      <c r="Q48" s="2371"/>
      <c r="R48" s="2371"/>
      <c r="S48" s="2371"/>
      <c r="T48" s="2371"/>
      <c r="U48" s="2371"/>
      <c r="V48" s="2371"/>
      <c r="W48" s="2371"/>
      <c r="X48" s="2371"/>
      <c r="Y48" s="2371"/>
      <c r="Z48" s="2371"/>
      <c r="AA48" s="2371"/>
      <c r="AB48" s="252"/>
      <c r="AC48"/>
    </row>
    <row r="49" spans="1:29">
      <c r="A49" s="904" t="s">
        <v>1138</v>
      </c>
      <c r="B49" s="2371"/>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52"/>
      <c r="AC49"/>
    </row>
    <row r="50" spans="1:29">
      <c r="A50" s="2386" t="s">
        <v>1139</v>
      </c>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52"/>
      <c r="AC50"/>
    </row>
    <row r="51" spans="1:29">
      <c r="A51" s="2372" t="s">
        <v>1140</v>
      </c>
      <c r="B51" s="548"/>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row>
    <row r="52" spans="1:29">
      <c r="A52" s="2387" t="s">
        <v>2633</v>
      </c>
      <c r="B52" s="851"/>
      <c r="C52" s="2384"/>
      <c r="D52" s="2384"/>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2384"/>
    </row>
    <row r="53" spans="1:29">
      <c r="A53" s="2384"/>
      <c r="B53" s="2384"/>
      <c r="C53" s="2384"/>
      <c r="D53" s="2384"/>
      <c r="E53" s="2384"/>
      <c r="F53" s="2384"/>
      <c r="G53" s="2384"/>
      <c r="H53" s="2384"/>
      <c r="I53" s="2384"/>
      <c r="J53" s="2384"/>
      <c r="K53" s="2384"/>
      <c r="L53" s="2384"/>
      <c r="M53" s="2384"/>
      <c r="N53" s="2384"/>
      <c r="O53" s="2384"/>
      <c r="P53" s="2384"/>
      <c r="Q53" s="2384"/>
      <c r="R53" s="2384"/>
      <c r="S53" s="2384"/>
      <c r="T53" s="2384"/>
      <c r="U53" s="2384"/>
      <c r="V53" s="2384"/>
      <c r="W53" s="2384"/>
      <c r="X53" s="2384"/>
      <c r="Y53" s="2384"/>
      <c r="Z53" s="2384"/>
      <c r="AA53" s="2384"/>
    </row>
    <row r="54" spans="1:29">
      <c r="A54" s="2388" t="s">
        <v>2701</v>
      </c>
      <c r="B54" s="2384"/>
      <c r="C54" s="2384"/>
      <c r="D54" s="2384"/>
      <c r="E54" s="2384"/>
      <c r="F54" s="2384"/>
      <c r="G54" s="2384"/>
      <c r="H54" s="2384"/>
      <c r="I54" s="2384"/>
      <c r="J54" s="2384"/>
      <c r="K54" s="2384"/>
      <c r="L54" s="2384"/>
      <c r="M54" s="2384"/>
      <c r="N54" s="2384"/>
      <c r="O54" s="2384"/>
      <c r="P54" s="2384"/>
      <c r="Q54" s="2384"/>
      <c r="R54" s="2384"/>
      <c r="S54" s="2384"/>
      <c r="T54" s="2384"/>
      <c r="U54" s="2384"/>
      <c r="V54" s="2384"/>
      <c r="W54" s="2384"/>
      <c r="X54" s="2384"/>
      <c r="Y54" s="2384"/>
      <c r="Z54" s="2384"/>
      <c r="AA54" s="2384"/>
    </row>
  </sheetData>
  <pageMargins left="0.5" right="0.5" top="1" bottom="0.25" header="0.5" footer="0.25"/>
  <pageSetup scale="52" orientation="landscape"/>
  <headerFooter scaleWithDoc="0">
    <oddFooter>&amp;R&amp;8 118</oddFooter>
  </headerFooter>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51"/>
  <sheetViews>
    <sheetView showGridLines="0" showOutlineSymbols="0" zoomScale="75" zoomScaleNormal="75" zoomScalePageLayoutView="75" workbookViewId="0"/>
  </sheetViews>
  <sheetFormatPr baseColWidth="10" defaultColWidth="8.42578125" defaultRowHeight="13" x14ac:dyDescent="0"/>
  <cols>
    <col min="1" max="1" width="40.42578125" style="1157" customWidth="1"/>
    <col min="2" max="2" width="2.140625" style="1157" customWidth="1"/>
    <col min="3" max="3" width="13.42578125" style="1157" customWidth="1"/>
    <col min="4" max="4" width="2.140625" style="1157" customWidth="1"/>
    <col min="5" max="5" width="13.85546875" style="1157" customWidth="1"/>
    <col min="6" max="6" width="2.140625" style="1157" customWidth="1"/>
    <col min="7" max="7" width="16.42578125" style="1157" customWidth="1"/>
    <col min="8" max="8" width="2.140625" style="1157" customWidth="1"/>
    <col min="9" max="9" width="15.140625" style="1157" bestFit="1" customWidth="1"/>
    <col min="10" max="10" width="2.140625" style="1157" customWidth="1"/>
    <col min="11" max="11" width="15.140625" style="1157" bestFit="1" customWidth="1"/>
    <col min="12" max="12" width="2.140625" style="1157" customWidth="1"/>
    <col min="13" max="13" width="14.42578125" style="1157" customWidth="1"/>
    <col min="14" max="14" width="2.140625" style="1157" customWidth="1"/>
    <col min="15" max="15" width="17.140625" style="1157" customWidth="1"/>
    <col min="16" max="16" width="2.42578125" style="1157" customWidth="1"/>
    <col min="17" max="17" width="15.5703125" style="1157" customWidth="1"/>
    <col min="18" max="16384" width="8.42578125" style="1157"/>
  </cols>
  <sheetData>
    <row r="1" spans="1:19" ht="15" customHeight="1">
      <c r="A1" s="1582" t="s">
        <v>1443</v>
      </c>
    </row>
    <row r="3" spans="1:19" ht="18">
      <c r="A3" s="1153" t="s">
        <v>0</v>
      </c>
      <c r="B3" s="1154"/>
      <c r="C3" s="1155"/>
      <c r="D3" s="1155"/>
      <c r="E3" s="1155"/>
      <c r="F3" s="1155"/>
      <c r="G3" s="1155"/>
      <c r="H3" s="1155"/>
      <c r="I3" s="1155"/>
      <c r="J3" s="1155"/>
      <c r="K3" s="1155"/>
      <c r="L3" s="1155"/>
      <c r="M3" s="1155"/>
      <c r="N3" s="1155"/>
      <c r="O3" s="1155"/>
      <c r="P3" s="1156"/>
    </row>
    <row r="4" spans="1:19" ht="18">
      <c r="A4" s="1153" t="s">
        <v>1442</v>
      </c>
      <c r="B4" s="1154"/>
      <c r="C4" s="1155"/>
      <c r="D4" s="1155"/>
      <c r="E4" s="1155"/>
      <c r="F4" s="1155"/>
      <c r="G4" s="1155"/>
      <c r="H4" s="1155"/>
      <c r="I4" s="1155"/>
      <c r="J4" s="1155"/>
      <c r="K4" s="1155"/>
      <c r="L4" s="1155"/>
      <c r="M4" s="1155"/>
      <c r="N4" s="1155"/>
      <c r="P4" s="1156"/>
      <c r="Q4" s="1158" t="s">
        <v>1141</v>
      </c>
    </row>
    <row r="5" spans="1:19" ht="18">
      <c r="A5" s="1159" t="s">
        <v>2596</v>
      </c>
      <c r="B5" s="1154"/>
      <c r="C5" s="1155"/>
      <c r="D5" s="1155"/>
      <c r="E5" s="1155"/>
      <c r="F5" s="1155"/>
      <c r="G5" s="1155"/>
      <c r="H5" s="1155"/>
      <c r="I5" s="1155"/>
      <c r="J5" s="1155"/>
      <c r="K5" s="1155"/>
      <c r="L5" s="1155"/>
      <c r="M5" s="1155"/>
      <c r="N5" s="1155"/>
      <c r="O5" s="1155"/>
      <c r="P5" s="1156"/>
    </row>
    <row r="6" spans="1:19" ht="15">
      <c r="A6" s="1154"/>
      <c r="B6" s="1155"/>
      <c r="C6" s="1155"/>
      <c r="D6" s="1155"/>
      <c r="E6" s="1155"/>
      <c r="F6" s="1155"/>
      <c r="G6" s="1155"/>
      <c r="H6" s="1155"/>
      <c r="I6" s="1155"/>
      <c r="J6" s="1155"/>
      <c r="K6" s="1155"/>
      <c r="L6" s="1155"/>
      <c r="N6" s="1155"/>
      <c r="O6" s="1155"/>
      <c r="P6" s="1156"/>
    </row>
    <row r="7" spans="1:19" ht="15">
      <c r="A7" s="1154"/>
      <c r="B7" s="1155"/>
      <c r="C7" s="1155"/>
      <c r="D7" s="1155"/>
      <c r="E7" s="1155"/>
      <c r="F7" s="1155"/>
      <c r="G7" s="1155"/>
      <c r="H7" s="1155"/>
      <c r="I7" s="1155"/>
      <c r="J7" s="1155"/>
      <c r="K7" s="1155"/>
      <c r="L7" s="1155"/>
      <c r="N7" s="1155"/>
      <c r="O7" s="1155"/>
      <c r="P7" s="1156"/>
    </row>
    <row r="8" spans="1:19" ht="15">
      <c r="A8" s="1155"/>
      <c r="B8" s="1155"/>
      <c r="C8" s="1155"/>
      <c r="D8" s="1155"/>
      <c r="E8" s="1155"/>
      <c r="F8" s="1155"/>
      <c r="G8" s="1155"/>
      <c r="H8" s="1155"/>
      <c r="I8" s="1155"/>
      <c r="J8" s="1155"/>
      <c r="K8" s="1155"/>
      <c r="L8" s="1155"/>
      <c r="N8" s="1155"/>
      <c r="O8" s="1155"/>
      <c r="P8" s="1156"/>
    </row>
    <row r="9" spans="1:19" ht="15">
      <c r="A9" s="1155"/>
      <c r="B9" s="1155"/>
      <c r="C9" s="1155"/>
      <c r="D9" s="1155"/>
      <c r="E9" s="1155"/>
      <c r="F9" s="1155"/>
      <c r="G9" s="1155"/>
      <c r="H9" s="1155"/>
      <c r="I9" s="1155"/>
      <c r="J9" s="1155"/>
      <c r="K9" s="1155"/>
      <c r="L9" s="1155"/>
      <c r="N9" s="1155"/>
      <c r="O9" s="1155"/>
      <c r="P9" s="1156"/>
    </row>
    <row r="10" spans="1:19" ht="15">
      <c r="A10" s="1155"/>
      <c r="B10" s="1155"/>
      <c r="C10" s="1160"/>
      <c r="D10" s="1160"/>
      <c r="E10" s="1161" t="s">
        <v>827</v>
      </c>
      <c r="F10" s="1160"/>
      <c r="G10" s="1160"/>
      <c r="H10" s="1160"/>
      <c r="I10" s="1160"/>
      <c r="J10" s="1160"/>
      <c r="K10" s="1160"/>
      <c r="L10" s="1160"/>
      <c r="M10" s="1162"/>
      <c r="N10" s="1160"/>
      <c r="O10" s="1160"/>
      <c r="P10" s="1156"/>
    </row>
    <row r="11" spans="1:19" ht="15">
      <c r="A11" s="1154"/>
      <c r="B11" s="1154"/>
      <c r="C11" s="1161" t="s">
        <v>1142</v>
      </c>
      <c r="D11" s="1160"/>
      <c r="E11" s="1161" t="s">
        <v>1143</v>
      </c>
      <c r="F11" s="1160"/>
      <c r="G11" s="1161" t="s">
        <v>1144</v>
      </c>
      <c r="H11" s="1160"/>
      <c r="I11" s="1161" t="s">
        <v>1145</v>
      </c>
      <c r="J11" s="1160"/>
      <c r="K11" s="1161" t="s">
        <v>1146</v>
      </c>
      <c r="L11" s="1160"/>
      <c r="M11" s="1161" t="s">
        <v>1147</v>
      </c>
      <c r="N11" s="1160"/>
      <c r="O11" s="1731"/>
      <c r="P11" s="1732" t="s">
        <v>1148</v>
      </c>
      <c r="Q11" s="1733"/>
      <c r="R11" s="1163"/>
      <c r="S11" s="1163"/>
    </row>
    <row r="12" spans="1:19" ht="15">
      <c r="A12" s="1154"/>
      <c r="B12" s="1154"/>
      <c r="C12" s="1161" t="s">
        <v>1149</v>
      </c>
      <c r="D12" s="1164"/>
      <c r="E12" s="1161" t="s">
        <v>1150</v>
      </c>
      <c r="F12" s="1160"/>
      <c r="G12" s="1161" t="s">
        <v>2721</v>
      </c>
      <c r="H12" s="1160"/>
      <c r="I12" s="1161" t="s">
        <v>1151</v>
      </c>
      <c r="J12" s="1160"/>
      <c r="K12" s="1734" t="s">
        <v>1152</v>
      </c>
      <c r="L12" s="1160"/>
      <c r="M12" s="1161" t="s">
        <v>1153</v>
      </c>
      <c r="N12" s="1160"/>
      <c r="O12" s="1165" t="s">
        <v>2584</v>
      </c>
      <c r="P12" s="1156"/>
      <c r="Q12" s="1166" t="s">
        <v>1917</v>
      </c>
      <c r="R12" s="1163"/>
      <c r="S12" s="1163"/>
    </row>
    <row r="13" spans="1:19" ht="12.75" customHeight="1">
      <c r="A13" s="1154"/>
      <c r="B13" s="1154"/>
      <c r="C13" s="1167"/>
      <c r="D13" s="1154"/>
      <c r="E13" s="1167"/>
      <c r="F13" s="1154"/>
      <c r="G13" s="1167"/>
      <c r="H13" s="1154"/>
      <c r="I13" s="1167"/>
      <c r="J13" s="1154"/>
      <c r="K13" s="1154"/>
      <c r="L13" s="1154"/>
      <c r="M13" s="1167"/>
      <c r="N13" s="1154"/>
      <c r="O13" s="1167"/>
      <c r="P13" s="1163"/>
      <c r="Q13" s="1163"/>
      <c r="R13" s="1163"/>
      <c r="S13" s="1163"/>
    </row>
    <row r="14" spans="1:19" ht="15">
      <c r="A14" s="1154"/>
      <c r="B14" s="1154" t="s">
        <v>6</v>
      </c>
      <c r="C14" s="1154"/>
      <c r="D14" s="1154"/>
      <c r="E14" s="1154"/>
      <c r="F14" s="1154"/>
      <c r="G14" s="1154"/>
      <c r="H14" s="1154"/>
      <c r="I14" s="1154"/>
      <c r="J14" s="1154"/>
      <c r="K14" s="1154"/>
      <c r="L14" s="1154"/>
      <c r="M14" s="1154"/>
      <c r="N14" s="1154"/>
      <c r="O14" s="1154"/>
      <c r="P14" s="1163"/>
      <c r="Q14" s="1163"/>
      <c r="R14" s="1163"/>
      <c r="S14" s="1163"/>
    </row>
    <row r="15" spans="1:19" ht="15">
      <c r="A15" s="1168" t="s">
        <v>1154</v>
      </c>
      <c r="B15" s="1169" t="s">
        <v>6</v>
      </c>
      <c r="C15" s="1735">
        <v>0</v>
      </c>
      <c r="D15" s="1736" t="s">
        <v>6</v>
      </c>
      <c r="E15" s="1735">
        <v>175000000</v>
      </c>
      <c r="F15" s="1736" t="s">
        <v>6</v>
      </c>
      <c r="G15" s="1737">
        <v>1533217042</v>
      </c>
      <c r="H15" s="1736" t="s">
        <v>6</v>
      </c>
      <c r="I15" s="1736">
        <v>8653238000</v>
      </c>
      <c r="J15" s="1736" t="s">
        <v>6</v>
      </c>
      <c r="K15" s="1736">
        <v>1250000000</v>
      </c>
      <c r="L15" s="1736" t="s">
        <v>6</v>
      </c>
      <c r="M15" s="1737">
        <v>525526187</v>
      </c>
      <c r="N15" s="1170" t="s">
        <v>6</v>
      </c>
      <c r="O15" s="1171">
        <f>ROUND(SUM(C15:M15),1)</f>
        <v>12136981229</v>
      </c>
      <c r="P15" s="1170" t="s">
        <v>6</v>
      </c>
      <c r="Q15" s="1170">
        <v>7825047064</v>
      </c>
      <c r="R15" s="1172"/>
      <c r="S15" s="1163"/>
    </row>
    <row r="16" spans="1:19" ht="15">
      <c r="A16" s="1155"/>
      <c r="B16" s="1155" t="s">
        <v>6</v>
      </c>
      <c r="C16" s="1738"/>
      <c r="D16" s="1738"/>
      <c r="E16" s="1738"/>
      <c r="F16" s="1738"/>
      <c r="G16" s="1738"/>
      <c r="H16" s="1738"/>
      <c r="I16" s="1738"/>
      <c r="J16" s="1738"/>
      <c r="K16" s="1738"/>
      <c r="L16" s="1738"/>
      <c r="M16" s="1738"/>
      <c r="N16" s="1173"/>
      <c r="O16" s="1173"/>
      <c r="P16" s="1174"/>
      <c r="Q16" s="1175"/>
      <c r="R16" s="1172"/>
      <c r="S16" s="1163"/>
    </row>
    <row r="17" spans="1:19" ht="15">
      <c r="A17" s="1168" t="s">
        <v>1155</v>
      </c>
      <c r="B17" s="1155" t="s">
        <v>6</v>
      </c>
      <c r="C17" s="1739">
        <v>0</v>
      </c>
      <c r="D17" s="1738"/>
      <c r="E17" s="1739">
        <v>0</v>
      </c>
      <c r="F17" s="1738"/>
      <c r="G17" s="1740">
        <v>6145000</v>
      </c>
      <c r="H17" s="1738"/>
      <c r="I17" s="1739">
        <v>0</v>
      </c>
      <c r="J17" s="1738"/>
      <c r="K17" s="1739">
        <v>0</v>
      </c>
      <c r="L17" s="1738"/>
      <c r="M17" s="1739">
        <v>0</v>
      </c>
      <c r="N17" s="1173"/>
      <c r="O17" s="1173">
        <f>ROUND(SUM(C17:M17),1)</f>
        <v>6145000</v>
      </c>
      <c r="P17" s="1174"/>
      <c r="Q17" s="1177">
        <v>221113000</v>
      </c>
      <c r="R17" s="1172"/>
      <c r="S17" s="1163"/>
    </row>
    <row r="18" spans="1:19" ht="15">
      <c r="A18" s="1168"/>
      <c r="B18" s="1155"/>
      <c r="C18" s="1739"/>
      <c r="D18" s="1738"/>
      <c r="E18" s="1741"/>
      <c r="F18" s="1738"/>
      <c r="G18" s="1741"/>
      <c r="H18" s="1738"/>
      <c r="I18" s="1739"/>
      <c r="J18" s="1738"/>
      <c r="K18" s="1742"/>
      <c r="L18" s="1738"/>
      <c r="M18" s="1739"/>
      <c r="N18" s="1173"/>
      <c r="O18" s="1173"/>
      <c r="P18" s="1174"/>
      <c r="Q18" s="1177"/>
      <c r="R18" s="1172"/>
      <c r="S18" s="1163"/>
    </row>
    <row r="19" spans="1:19" ht="15">
      <c r="A19" s="2396" t="s">
        <v>2709</v>
      </c>
      <c r="B19" s="1155"/>
      <c r="C19" s="1738"/>
      <c r="D19" s="1738"/>
      <c r="E19" s="1738"/>
      <c r="F19" s="1738"/>
      <c r="G19" s="1738"/>
      <c r="H19" s="1738"/>
      <c r="I19" s="1738"/>
      <c r="J19" s="1738"/>
      <c r="K19" s="1742"/>
      <c r="L19" s="1738"/>
      <c r="M19" s="1738"/>
      <c r="N19" s="1173"/>
      <c r="O19" s="1173"/>
      <c r="P19" s="1174"/>
      <c r="Q19" s="1177"/>
      <c r="R19" s="1172"/>
      <c r="S19" s="1163"/>
    </row>
    <row r="20" spans="1:19" ht="15">
      <c r="A20" s="2389" t="s">
        <v>2682</v>
      </c>
      <c r="B20" s="1155" t="s">
        <v>6</v>
      </c>
      <c r="C20" s="1739">
        <v>51000000</v>
      </c>
      <c r="D20" s="1738"/>
      <c r="E20" s="1739">
        <v>0</v>
      </c>
      <c r="F20" s="1738"/>
      <c r="G20" s="1739">
        <v>0</v>
      </c>
      <c r="H20" s="1738"/>
      <c r="I20" s="1739">
        <v>0</v>
      </c>
      <c r="J20" s="1738"/>
      <c r="K20" s="1739">
        <v>0</v>
      </c>
      <c r="L20" s="1738"/>
      <c r="M20" s="1739">
        <v>0</v>
      </c>
      <c r="N20" s="1173"/>
      <c r="O20" s="1173">
        <f>ROUND(SUM(C20:M20),1)</f>
        <v>51000000</v>
      </c>
      <c r="P20" s="1174"/>
      <c r="Q20" s="1173">
        <f>ROUND(SUM(E20:O20),1)</f>
        <v>51000000</v>
      </c>
      <c r="R20" s="1172"/>
      <c r="S20" s="1163"/>
    </row>
    <row r="21" spans="1:19" ht="15">
      <c r="A21" s="1155"/>
      <c r="B21" s="1155" t="s">
        <v>6</v>
      </c>
      <c r="C21" s="1742" t="s">
        <v>6</v>
      </c>
      <c r="D21" s="1738"/>
      <c r="E21" s="1739"/>
      <c r="F21" s="1738"/>
      <c r="G21" s="1739"/>
      <c r="H21" s="1738"/>
      <c r="I21" s="1738"/>
      <c r="J21" s="1738"/>
      <c r="K21" s="1742"/>
      <c r="L21" s="1738"/>
      <c r="M21" s="1738"/>
      <c r="N21" s="1173"/>
      <c r="O21" s="1173"/>
      <c r="P21" s="1174"/>
      <c r="Q21" s="1178"/>
      <c r="R21" s="1172"/>
      <c r="S21" s="1163"/>
    </row>
    <row r="22" spans="1:19" ht="15">
      <c r="A22" s="1168" t="s">
        <v>1156</v>
      </c>
      <c r="B22" s="1155" t="s">
        <v>6</v>
      </c>
      <c r="C22" s="1739">
        <v>0</v>
      </c>
      <c r="D22" s="1738"/>
      <c r="E22" s="1739">
        <v>0</v>
      </c>
      <c r="F22" s="1738"/>
      <c r="G22" s="1739">
        <v>0</v>
      </c>
      <c r="H22" s="1738"/>
      <c r="I22" s="1739">
        <v>0</v>
      </c>
      <c r="J22" s="1738"/>
      <c r="K22" s="1739">
        <v>0</v>
      </c>
      <c r="L22" s="1738"/>
      <c r="M22" s="1739">
        <v>0</v>
      </c>
      <c r="N22" s="1173"/>
      <c r="O22" s="1176">
        <f>ROUND(SUM(C22:M22),1)</f>
        <v>0</v>
      </c>
      <c r="P22" s="1174"/>
      <c r="Q22" s="1176">
        <v>0</v>
      </c>
      <c r="R22" s="1163"/>
      <c r="S22" s="1163"/>
    </row>
    <row r="23" spans="1:19" ht="15">
      <c r="A23" s="1155"/>
      <c r="B23" s="1155" t="s">
        <v>6</v>
      </c>
      <c r="C23" s="1742" t="s">
        <v>6</v>
      </c>
      <c r="D23" s="1738"/>
      <c r="E23" s="1739"/>
      <c r="F23" s="1738"/>
      <c r="G23" s="1739"/>
      <c r="H23" s="1738"/>
      <c r="I23" s="1738"/>
      <c r="J23" s="1738"/>
      <c r="K23" s="1742"/>
      <c r="L23" s="1738"/>
      <c r="M23" s="1738"/>
      <c r="N23" s="1173"/>
      <c r="O23" s="1173"/>
      <c r="P23" s="1174"/>
      <c r="Q23" s="1178"/>
      <c r="R23" s="1163"/>
      <c r="S23" s="1163"/>
    </row>
    <row r="24" spans="1:19" ht="15">
      <c r="A24" s="1168" t="s">
        <v>1157</v>
      </c>
      <c r="B24" s="1155" t="s">
        <v>6</v>
      </c>
      <c r="C24" s="1739">
        <v>0</v>
      </c>
      <c r="D24" s="1738"/>
      <c r="E24" s="1739">
        <v>0</v>
      </c>
      <c r="F24" s="1738"/>
      <c r="G24" s="1739">
        <v>0</v>
      </c>
      <c r="H24" s="1738"/>
      <c r="I24" s="1739">
        <v>0</v>
      </c>
      <c r="J24" s="1738"/>
      <c r="K24" s="1739">
        <v>0</v>
      </c>
      <c r="L24" s="1738"/>
      <c r="M24" s="1739">
        <v>0</v>
      </c>
      <c r="N24" s="1173"/>
      <c r="O24" s="1176">
        <f>ROUND(SUM(C24:M24),1)</f>
        <v>0</v>
      </c>
      <c r="P24" s="1174"/>
      <c r="Q24" s="1176">
        <v>0</v>
      </c>
      <c r="R24" s="1172"/>
      <c r="S24" s="1163"/>
    </row>
    <row r="25" spans="1:19" ht="15">
      <c r="A25" s="1155"/>
      <c r="B25" s="1155" t="s">
        <v>6</v>
      </c>
      <c r="C25" s="1738"/>
      <c r="D25" s="1738"/>
      <c r="E25" s="1738"/>
      <c r="F25" s="1738"/>
      <c r="G25" s="1738"/>
      <c r="H25" s="1738"/>
      <c r="I25" s="1738"/>
      <c r="J25" s="1738"/>
      <c r="K25" s="1742"/>
      <c r="L25" s="1738"/>
      <c r="M25" s="1738"/>
      <c r="N25" s="1173"/>
      <c r="O25" s="1173"/>
      <c r="P25" s="1174"/>
      <c r="Q25" s="1178"/>
      <c r="R25" s="1172"/>
      <c r="S25" s="1163"/>
    </row>
    <row r="26" spans="1:19" ht="15">
      <c r="A26" s="1168" t="s">
        <v>1158</v>
      </c>
      <c r="B26" s="1155" t="s">
        <v>6</v>
      </c>
      <c r="C26" s="1743">
        <v>0</v>
      </c>
      <c r="D26" s="1738"/>
      <c r="E26" s="1739">
        <v>0</v>
      </c>
      <c r="F26" s="1738"/>
      <c r="G26" s="1739">
        <v>27630000</v>
      </c>
      <c r="H26" s="1738"/>
      <c r="I26" s="1739">
        <v>0</v>
      </c>
      <c r="J26" s="1738"/>
      <c r="K26" s="1739">
        <v>0</v>
      </c>
      <c r="L26" s="1738"/>
      <c r="M26" s="1739">
        <v>0</v>
      </c>
      <c r="N26" s="1173"/>
      <c r="O26" s="1173">
        <f>ROUND(SUM(C26:M26),1)</f>
        <v>27630000</v>
      </c>
      <c r="P26" s="1174"/>
      <c r="Q26" s="1178">
        <v>26867000</v>
      </c>
      <c r="R26" s="1172"/>
      <c r="S26" s="1163"/>
    </row>
    <row r="27" spans="1:19" ht="15">
      <c r="A27" s="1155"/>
      <c r="B27" s="1155" t="s">
        <v>6</v>
      </c>
      <c r="C27" s="1738"/>
      <c r="D27" s="1738"/>
      <c r="E27" s="1738"/>
      <c r="F27" s="1738"/>
      <c r="G27" s="1738"/>
      <c r="H27" s="1738"/>
      <c r="I27" s="1738"/>
      <c r="J27" s="1738"/>
      <c r="K27" s="1742"/>
      <c r="L27" s="1738"/>
      <c r="M27" s="1738"/>
      <c r="N27" s="1173"/>
      <c r="O27" s="1173"/>
      <c r="P27" s="1174"/>
      <c r="Q27" s="1178"/>
      <c r="R27" s="1172"/>
      <c r="S27" s="1163"/>
    </row>
    <row r="28" spans="1:19" ht="15">
      <c r="A28" s="1168" t="s">
        <v>1159</v>
      </c>
      <c r="B28" s="1155" t="s">
        <v>6</v>
      </c>
      <c r="C28" s="1739">
        <v>0</v>
      </c>
      <c r="D28" s="1738"/>
      <c r="E28" s="1739">
        <v>0</v>
      </c>
      <c r="F28" s="1738"/>
      <c r="G28" s="1739">
        <v>0</v>
      </c>
      <c r="H28" s="1738"/>
      <c r="I28" s="1739">
        <v>0</v>
      </c>
      <c r="J28" s="1738"/>
      <c r="K28" s="1739">
        <v>0</v>
      </c>
      <c r="L28" s="1738"/>
      <c r="M28" s="1739">
        <v>0</v>
      </c>
      <c r="N28" s="1173"/>
      <c r="O28" s="1176">
        <f>ROUND(SUM(C28:M28),1)</f>
        <v>0</v>
      </c>
      <c r="P28" s="1174"/>
      <c r="Q28" s="1178">
        <v>0</v>
      </c>
      <c r="R28" s="1172"/>
      <c r="S28" s="1163"/>
    </row>
    <row r="29" spans="1:19" ht="15" customHeight="1">
      <c r="A29" s="1155"/>
      <c r="B29" s="1155"/>
      <c r="C29" s="1742"/>
      <c r="D29" s="1738"/>
      <c r="E29" s="1738"/>
      <c r="F29" s="1738"/>
      <c r="G29" s="1738"/>
      <c r="H29" s="1738"/>
      <c r="I29" s="1742"/>
      <c r="J29" s="1738"/>
      <c r="K29" s="1742"/>
      <c r="L29" s="1738"/>
      <c r="M29" s="1742"/>
      <c r="N29" s="1173"/>
      <c r="O29" s="1173"/>
      <c r="P29" s="1174"/>
      <c r="Q29" s="1178"/>
      <c r="R29" s="1172"/>
      <c r="S29" s="1163"/>
    </row>
    <row r="30" spans="1:19" ht="16.5" customHeight="1">
      <c r="A30" s="1168" t="s">
        <v>1160</v>
      </c>
      <c r="B30" s="1155" t="s">
        <v>6</v>
      </c>
      <c r="C30" s="1743">
        <v>19476500</v>
      </c>
      <c r="D30" s="1738"/>
      <c r="E30" s="1744">
        <v>0</v>
      </c>
      <c r="F30" s="1738"/>
      <c r="G30" s="1744">
        <v>0</v>
      </c>
      <c r="H30" s="1738"/>
      <c r="I30" s="1739">
        <v>0</v>
      </c>
      <c r="J30" s="1738"/>
      <c r="K30" s="1745">
        <v>0</v>
      </c>
      <c r="L30" s="1738"/>
      <c r="M30" s="1739">
        <v>0</v>
      </c>
      <c r="N30" s="1173"/>
      <c r="O30" s="1173">
        <f>ROUND(SUM(C30:M30),1)</f>
        <v>19476500</v>
      </c>
      <c r="P30" s="1174"/>
      <c r="Q30" s="1178">
        <v>19805400</v>
      </c>
    </row>
    <row r="31" spans="1:19" ht="30.5" customHeight="1" thickBot="1">
      <c r="A31" s="1160" t="s">
        <v>1161</v>
      </c>
      <c r="B31" s="1179" t="s">
        <v>6</v>
      </c>
      <c r="C31" s="1180">
        <f>ROUND(SUM(C14:C30),1)</f>
        <v>70476500</v>
      </c>
      <c r="D31" s="1181" t="s">
        <v>6</v>
      </c>
      <c r="E31" s="1180">
        <f>ROUND(SUM(E14:E30),1)</f>
        <v>175000000</v>
      </c>
      <c r="F31" s="1181" t="s">
        <v>6</v>
      </c>
      <c r="G31" s="1180">
        <f>ROUND(SUM(G14:G30),1)</f>
        <v>1566992042</v>
      </c>
      <c r="H31" s="1181" t="s">
        <v>6</v>
      </c>
      <c r="I31" s="1180">
        <f>ROUND(SUM(I14:I30),1)</f>
        <v>8653238000</v>
      </c>
      <c r="J31" s="1181" t="s">
        <v>6</v>
      </c>
      <c r="K31" s="1180">
        <f>ROUND(SUM(K14:K30),1)</f>
        <v>1250000000</v>
      </c>
      <c r="L31" s="1181" t="s">
        <v>6</v>
      </c>
      <c r="M31" s="1180">
        <f>ROUND(SUM(M14:M30),1)</f>
        <v>525526187</v>
      </c>
      <c r="N31" s="1182" t="s">
        <v>6</v>
      </c>
      <c r="O31" s="1180">
        <f>ROUND(SUM(O14:O30),1)</f>
        <v>12241232729</v>
      </c>
      <c r="P31" s="1182" t="s">
        <v>6</v>
      </c>
      <c r="Q31" s="1180">
        <f>ROUND(SUM(Q14:Q30),1)</f>
        <v>8143832464</v>
      </c>
      <c r="R31" s="1185"/>
      <c r="S31" s="1186"/>
    </row>
    <row r="32" spans="1:19" ht="14" thickTop="1">
      <c r="R32" s="1172"/>
    </row>
    <row r="33" spans="1:18" ht="15">
      <c r="A33" s="2397" t="s">
        <v>1162</v>
      </c>
      <c r="B33" s="1155" t="s">
        <v>6</v>
      </c>
      <c r="C33" s="1183"/>
      <c r="D33" s="1183"/>
      <c r="E33" s="1183"/>
      <c r="F33" s="1183"/>
      <c r="G33" s="1183"/>
      <c r="H33" s="1183"/>
      <c r="I33" s="1183"/>
      <c r="J33" s="1184"/>
      <c r="K33" s="1184"/>
      <c r="L33" s="1184"/>
      <c r="M33" s="1184"/>
      <c r="N33" s="1183"/>
      <c r="O33" s="1183"/>
      <c r="P33" s="1185"/>
      <c r="Q33" s="1185"/>
      <c r="R33" s="1172"/>
    </row>
    <row r="34" spans="1:18">
      <c r="A34" s="1156"/>
      <c r="B34" s="1156"/>
      <c r="C34" s="1172"/>
      <c r="D34" s="1172"/>
      <c r="E34" s="1172"/>
      <c r="F34" s="1172"/>
      <c r="G34" s="1172"/>
      <c r="H34" s="1172"/>
      <c r="I34" s="1172"/>
      <c r="J34" s="1156"/>
      <c r="K34" s="1156"/>
      <c r="L34" s="1156"/>
      <c r="M34" s="1156"/>
      <c r="N34" s="1172"/>
      <c r="O34" s="1172"/>
      <c r="P34" s="1172"/>
      <c r="Q34" s="1172"/>
      <c r="R34" s="1172"/>
    </row>
    <row r="35" spans="1:18">
      <c r="A35" s="2398" t="s">
        <v>2701</v>
      </c>
      <c r="C35" s="1172"/>
      <c r="D35" s="1172"/>
      <c r="E35" s="1172"/>
      <c r="F35" s="1172"/>
      <c r="G35" s="1172"/>
      <c r="H35" s="1172"/>
      <c r="I35" s="1172"/>
      <c r="N35" s="1172"/>
      <c r="O35" s="1172"/>
      <c r="P35" s="1172"/>
      <c r="Q35" s="1172"/>
      <c r="R35" s="1172"/>
    </row>
    <row r="36" spans="1:18">
      <c r="C36" s="1172"/>
      <c r="D36" s="1172"/>
      <c r="E36" s="1172"/>
      <c r="F36" s="1172"/>
      <c r="G36" s="1172"/>
      <c r="H36" s="1172"/>
      <c r="I36" s="1172"/>
      <c r="N36" s="1172"/>
      <c r="O36" s="1172"/>
      <c r="P36" s="1172"/>
      <c r="Q36" s="1172"/>
      <c r="R36" s="1172"/>
    </row>
    <row r="37" spans="1:18">
      <c r="C37" s="1172"/>
      <c r="D37" s="1172"/>
      <c r="E37" s="1172"/>
      <c r="F37" s="1172"/>
      <c r="G37" s="1172"/>
      <c r="H37" s="1172"/>
      <c r="I37" s="1172"/>
      <c r="N37" s="1172"/>
      <c r="O37" s="1172"/>
      <c r="P37" s="1172"/>
      <c r="Q37" s="1172"/>
      <c r="R37" s="1172"/>
    </row>
    <row r="38" spans="1:18">
      <c r="C38" s="1172"/>
      <c r="D38" s="1172"/>
      <c r="E38" s="1172"/>
      <c r="F38" s="1172"/>
      <c r="G38" s="1172"/>
      <c r="H38" s="1172"/>
      <c r="I38" s="1172"/>
      <c r="N38" s="1172"/>
      <c r="O38" s="1172"/>
      <c r="P38" s="1172"/>
      <c r="Q38" s="1172"/>
      <c r="R38" s="1172"/>
    </row>
    <row r="39" spans="1:18">
      <c r="C39" s="1172"/>
      <c r="D39" s="1172"/>
      <c r="E39" s="1172"/>
      <c r="F39" s="1172"/>
      <c r="G39" s="1172"/>
      <c r="H39" s="1172"/>
      <c r="I39" s="1172"/>
      <c r="N39" s="1172"/>
      <c r="O39" s="1172"/>
      <c r="P39" s="1172"/>
      <c r="Q39" s="1172"/>
      <c r="R39" s="1172"/>
    </row>
    <row r="40" spans="1:18">
      <c r="C40" s="1172"/>
      <c r="D40" s="1172"/>
      <c r="E40" s="1172"/>
      <c r="F40" s="1172"/>
      <c r="G40" s="1172"/>
      <c r="H40" s="1172"/>
      <c r="I40" s="1172"/>
      <c r="N40" s="1172"/>
      <c r="O40" s="1172"/>
      <c r="P40" s="1172"/>
      <c r="Q40" s="1172"/>
      <c r="R40" s="1172"/>
    </row>
    <row r="41" spans="1:18">
      <c r="C41" s="1172"/>
      <c r="D41" s="1172"/>
      <c r="E41" s="1172"/>
      <c r="F41" s="1172"/>
      <c r="G41" s="1172"/>
      <c r="H41" s="1172"/>
      <c r="I41" s="1172"/>
      <c r="N41" s="1172"/>
      <c r="O41" s="1172"/>
      <c r="P41" s="1172"/>
      <c r="Q41" s="1172"/>
      <c r="R41" s="1172"/>
    </row>
    <row r="42" spans="1:18">
      <c r="C42" s="1172"/>
      <c r="D42" s="1172"/>
      <c r="E42" s="1172"/>
      <c r="F42" s="1172"/>
      <c r="G42" s="1172"/>
      <c r="H42" s="1172"/>
      <c r="I42" s="1172"/>
      <c r="N42" s="1172"/>
      <c r="O42" s="1172"/>
      <c r="P42" s="1172"/>
      <c r="Q42" s="1172"/>
      <c r="R42" s="1172"/>
    </row>
    <row r="43" spans="1:18">
      <c r="C43" s="1172"/>
      <c r="D43" s="1172"/>
      <c r="E43" s="1172"/>
      <c r="F43" s="1172"/>
      <c r="G43" s="1172"/>
      <c r="H43" s="1172"/>
      <c r="I43" s="1172"/>
      <c r="N43" s="1172"/>
      <c r="O43" s="1172"/>
      <c r="P43" s="1172"/>
      <c r="Q43" s="1172"/>
      <c r="R43" s="1172"/>
    </row>
    <row r="44" spans="1:18">
      <c r="C44" s="1172"/>
      <c r="D44" s="1172"/>
      <c r="E44" s="1172"/>
      <c r="F44" s="1172"/>
      <c r="G44" s="1172"/>
      <c r="H44" s="1172"/>
      <c r="I44" s="1172"/>
      <c r="N44" s="1172"/>
      <c r="O44" s="1172"/>
      <c r="P44" s="1172"/>
      <c r="Q44" s="1172"/>
      <c r="R44" s="1172"/>
    </row>
    <row r="45" spans="1:18">
      <c r="C45" s="1172"/>
      <c r="D45" s="1172"/>
      <c r="E45" s="1172"/>
      <c r="F45" s="1172"/>
      <c r="G45" s="1172"/>
      <c r="H45" s="1172"/>
      <c r="I45" s="1172"/>
      <c r="N45" s="1172"/>
      <c r="O45" s="1172"/>
      <c r="P45" s="1172"/>
      <c r="Q45" s="1172"/>
      <c r="R45" s="1172"/>
    </row>
    <row r="46" spans="1:18">
      <c r="C46" s="1172"/>
      <c r="D46" s="1172"/>
      <c r="E46" s="1172"/>
      <c r="F46" s="1172"/>
      <c r="G46" s="1172"/>
      <c r="H46" s="1172"/>
      <c r="I46" s="1172"/>
      <c r="N46" s="1172"/>
      <c r="O46" s="1172"/>
      <c r="P46" s="1172"/>
      <c r="Q46" s="1172"/>
      <c r="R46" s="1172"/>
    </row>
    <row r="47" spans="1:18">
      <c r="C47" s="1172"/>
      <c r="D47" s="1172"/>
      <c r="E47" s="1172"/>
      <c r="F47" s="1172"/>
      <c r="G47" s="1172"/>
      <c r="H47" s="1172"/>
      <c r="I47" s="1172"/>
      <c r="N47" s="1172"/>
      <c r="O47" s="1172"/>
      <c r="P47" s="1172"/>
      <c r="Q47" s="1172"/>
      <c r="R47" s="1172"/>
    </row>
    <row r="48" spans="1:18">
      <c r="C48" s="1172"/>
      <c r="D48" s="1172"/>
      <c r="E48" s="1172"/>
      <c r="F48" s="1172"/>
      <c r="G48" s="1172"/>
      <c r="H48" s="1172"/>
      <c r="I48" s="1172"/>
      <c r="N48" s="1172"/>
      <c r="O48" s="1172"/>
      <c r="P48" s="1172"/>
      <c r="Q48" s="1172"/>
      <c r="R48" s="1172"/>
    </row>
    <row r="49" spans="3:18">
      <c r="C49" s="1172"/>
      <c r="D49" s="1172"/>
      <c r="E49" s="1172"/>
      <c r="F49" s="1172"/>
      <c r="G49" s="1172"/>
      <c r="H49" s="1172"/>
      <c r="I49" s="1172"/>
      <c r="N49" s="1172"/>
      <c r="O49" s="1172"/>
      <c r="P49" s="1172"/>
      <c r="Q49" s="1172"/>
      <c r="R49" s="1172"/>
    </row>
    <row r="50" spans="3:18">
      <c r="C50" s="1172"/>
      <c r="D50" s="1172"/>
      <c r="E50" s="1172"/>
      <c r="F50" s="1172"/>
      <c r="G50" s="1172"/>
      <c r="H50" s="1172"/>
      <c r="I50" s="1172"/>
      <c r="N50" s="1172"/>
      <c r="O50" s="1172"/>
      <c r="P50" s="1172"/>
      <c r="Q50" s="1172"/>
      <c r="R50" s="1172"/>
    </row>
    <row r="51" spans="3:18">
      <c r="C51" s="1172"/>
      <c r="D51" s="1172"/>
      <c r="E51" s="1172"/>
      <c r="F51" s="1172"/>
      <c r="G51" s="1172"/>
      <c r="H51" s="1172"/>
      <c r="I51" s="1172"/>
      <c r="N51" s="1172"/>
      <c r="O51" s="1172"/>
      <c r="P51" s="1172"/>
      <c r="Q51" s="1172"/>
      <c r="R51" s="1172"/>
    </row>
  </sheetData>
  <pageMargins left="0.5" right="0.5" top="1" bottom="0.25" header="0.5" footer="0.25"/>
  <pageSetup scale="60" firstPageNumber="119" orientation="landscape" useFirstPageNumber="1"/>
  <headerFooter scaleWithDoc="0">
    <oddFooter>&amp;R&amp;9&amp;P</oddFooter>
  </headerFooter>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Z77"/>
  <sheetViews>
    <sheetView showGridLines="0" showOutlineSymbols="0" zoomScale="75" zoomScaleNormal="87" zoomScalePageLayoutView="87" workbookViewId="0"/>
  </sheetViews>
  <sheetFormatPr baseColWidth="10" defaultColWidth="9.5703125" defaultRowHeight="13" outlineLevelRow="1" x14ac:dyDescent="0"/>
  <cols>
    <col min="1" max="1" width="2.85546875" style="4" bestFit="1" customWidth="1"/>
    <col min="2" max="2" width="33.140625" style="4" customWidth="1"/>
    <col min="3" max="3" width="2" style="4" customWidth="1"/>
    <col min="4" max="4" width="2.140625" style="4" customWidth="1"/>
    <col min="5" max="5" width="16.5703125" style="4" customWidth="1"/>
    <col min="6" max="6" width="16.85546875" style="63" customWidth="1"/>
    <col min="7" max="9" width="16.85546875" style="4" customWidth="1"/>
    <col min="10" max="10" width="17.5703125" style="4" customWidth="1"/>
    <col min="11" max="11" width="16.85546875" style="4" customWidth="1"/>
    <col min="12" max="12" width="17" style="4" customWidth="1"/>
    <col min="13" max="13" width="17.5703125" style="4" customWidth="1"/>
    <col min="14" max="14" width="16.85546875" style="4" customWidth="1"/>
    <col min="15" max="16384" width="9.5703125" style="4"/>
  </cols>
  <sheetData>
    <row r="1" spans="1:234" ht="15" customHeight="1">
      <c r="A1" s="1582" t="s">
        <v>1443</v>
      </c>
    </row>
    <row r="3" spans="1:234" ht="19.5" customHeight="1">
      <c r="A3" s="1" t="s">
        <v>0</v>
      </c>
      <c r="C3" s="3"/>
      <c r="D3" s="2488"/>
      <c r="E3" s="2488"/>
      <c r="F3" s="2488"/>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1163</v>
      </c>
      <c r="C4" s="3"/>
      <c r="D4" s="3"/>
      <c r="G4" s="1575"/>
      <c r="K4" s="1188"/>
      <c r="M4" s="1188"/>
      <c r="N4" s="1188" t="s">
        <v>1164</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2591</v>
      </c>
      <c r="C5" s="3"/>
      <c r="D5" s="3"/>
      <c r="E5" s="1187"/>
      <c r="F5" s="11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1187"/>
      <c r="F6" s="11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1187"/>
      <c r="F7" s="11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1187"/>
      <c r="F8" s="11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1187"/>
      <c r="F9" s="11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 customHeight="1">
      <c r="B10" s="3"/>
      <c r="C10" s="3"/>
      <c r="D10" s="3"/>
      <c r="E10" s="1187"/>
      <c r="F10" s="1187"/>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489" t="s">
        <v>1165</v>
      </c>
      <c r="B11" s="2489"/>
      <c r="C11" s="1012"/>
      <c r="E11" s="1576" t="s">
        <v>91</v>
      </c>
      <c r="F11" s="1576" t="s">
        <v>92</v>
      </c>
      <c r="G11" s="1576" t="s">
        <v>93</v>
      </c>
      <c r="H11" s="1576" t="s">
        <v>94</v>
      </c>
      <c r="I11" s="1576" t="s">
        <v>95</v>
      </c>
      <c r="J11" s="1576" t="s">
        <v>96</v>
      </c>
      <c r="K11" s="1576" t="s">
        <v>10</v>
      </c>
      <c r="L11" s="1576" t="s">
        <v>9</v>
      </c>
      <c r="M11" s="1576" t="s">
        <v>1917</v>
      </c>
      <c r="N11" s="1576" t="s">
        <v>2584</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 customHeight="1">
      <c r="A12" s="1021"/>
      <c r="C12" s="1013"/>
      <c r="E12" s="1013"/>
      <c r="F12" s="1013"/>
      <c r="G12" s="1013"/>
      <c r="H12" s="1013"/>
      <c r="I12" s="1013"/>
      <c r="J12" s="1013"/>
      <c r="K12" s="1013"/>
      <c r="L12" s="101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 customHeight="1">
      <c r="A13" s="1021" t="s">
        <v>2440</v>
      </c>
      <c r="C13" s="1021"/>
      <c r="D13" s="1190" t="s">
        <v>6</v>
      </c>
      <c r="E13" s="1191">
        <v>268546819.79000002</v>
      </c>
      <c r="F13" s="1191">
        <v>293656352.61000001</v>
      </c>
      <c r="G13" s="1191">
        <v>284165299.29000002</v>
      </c>
      <c r="H13" s="1191">
        <v>376887975.94999999</v>
      </c>
      <c r="I13" s="1191">
        <v>413840422.81</v>
      </c>
      <c r="J13" s="1191">
        <v>455159430.75999999</v>
      </c>
      <c r="K13" s="1191">
        <v>419499664.89999998</v>
      </c>
      <c r="L13" s="1192">
        <v>442503062.89999998</v>
      </c>
      <c r="M13" s="1192">
        <v>323140719.98000002</v>
      </c>
      <c r="N13" s="1192">
        <v>345240384.01999998</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 customHeight="1">
      <c r="A14" s="1013" t="s">
        <v>1970</v>
      </c>
      <c r="C14" s="1013"/>
      <c r="D14" s="1194" t="s">
        <v>6</v>
      </c>
      <c r="E14" s="1193">
        <v>348531004.01999998</v>
      </c>
      <c r="F14" s="1193">
        <v>465234183.39999998</v>
      </c>
      <c r="G14" s="1193">
        <v>410549604.43000001</v>
      </c>
      <c r="H14" s="1193">
        <v>318346351.89999998</v>
      </c>
      <c r="I14" s="1193">
        <v>344096270.50999993</v>
      </c>
      <c r="J14" s="1193">
        <v>341941278.04000002</v>
      </c>
      <c r="K14" s="1193">
        <v>322956954.98000002</v>
      </c>
      <c r="L14" s="1193">
        <v>643460447.10000002</v>
      </c>
      <c r="M14" s="1193">
        <v>718739098.23000002</v>
      </c>
      <c r="N14" s="1193">
        <v>1258139231.72</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 customHeight="1">
      <c r="A15" s="1013" t="s">
        <v>1971</v>
      </c>
      <c r="C15" s="1013"/>
      <c r="D15" s="1194" t="s">
        <v>6</v>
      </c>
      <c r="E15" s="1193">
        <v>290301.71000000002</v>
      </c>
      <c r="F15" s="1193">
        <v>348870.45</v>
      </c>
      <c r="G15" s="1193">
        <v>351073.55</v>
      </c>
      <c r="H15" s="1193">
        <v>0</v>
      </c>
      <c r="I15" s="1195">
        <v>0</v>
      </c>
      <c r="J15" s="1195">
        <v>0</v>
      </c>
      <c r="K15" s="1195">
        <v>0</v>
      </c>
      <c r="L15" s="1195">
        <v>0</v>
      </c>
      <c r="M15" s="1195">
        <v>0</v>
      </c>
      <c r="N15" s="1195">
        <v>0</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1013" t="s">
        <v>1972</v>
      </c>
      <c r="C16" s="1013"/>
      <c r="D16" s="1196" t="s">
        <v>6</v>
      </c>
      <c r="E16" s="1189">
        <v>63542881.839999989</v>
      </c>
      <c r="F16" s="1189">
        <v>58676950.689999998</v>
      </c>
      <c r="G16" s="1193">
        <v>53137540.490000002</v>
      </c>
      <c r="H16" s="1193">
        <v>55749465.270000003</v>
      </c>
      <c r="I16" s="1193">
        <v>41593035.560000002</v>
      </c>
      <c r="J16" s="1193">
        <v>37435452.57</v>
      </c>
      <c r="K16" s="1193">
        <v>79098819.939999998</v>
      </c>
      <c r="L16" s="1193">
        <v>122773157.23999999</v>
      </c>
      <c r="M16" s="1193">
        <v>233654939.37</v>
      </c>
      <c r="N16" s="1193">
        <v>179316239.49000001</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 customHeight="1">
      <c r="A17" s="1035" t="s">
        <v>1973</v>
      </c>
      <c r="C17" s="1013"/>
      <c r="D17" s="1194" t="s">
        <v>6</v>
      </c>
      <c r="E17" s="1198">
        <v>709932813.17000008</v>
      </c>
      <c r="F17" s="1198">
        <v>712702520</v>
      </c>
      <c r="G17" s="1199">
        <v>808073754.42999995</v>
      </c>
      <c r="H17" s="1199">
        <v>734593737.91999996</v>
      </c>
      <c r="I17" s="1199">
        <v>856641092.45999992</v>
      </c>
      <c r="J17" s="1199">
        <v>930502988.49000001</v>
      </c>
      <c r="K17" s="1199">
        <v>972368348.38</v>
      </c>
      <c r="L17" s="1197">
        <v>1034847615.92</v>
      </c>
      <c r="M17" s="1197">
        <v>1029229405.6</v>
      </c>
      <c r="N17" s="1197">
        <v>966447979.03999996</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2.75" customHeight="1">
      <c r="A18" s="1013"/>
      <c r="C18" s="101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21" customHeight="1">
      <c r="A19" s="2"/>
      <c r="C19" s="2"/>
      <c r="D19" s="1200"/>
      <c r="E19" s="1578">
        <f t="shared" ref="E19:N19" si="0">ROUND(SUM(E13:E17),2)</f>
        <v>1390843820.53</v>
      </c>
      <c r="F19" s="1578">
        <f t="shared" si="0"/>
        <v>1530618877.1500001</v>
      </c>
      <c r="G19" s="1578">
        <f t="shared" si="0"/>
        <v>1556277272.1900001</v>
      </c>
      <c r="H19" s="1578">
        <f t="shared" si="0"/>
        <v>1485577531.04</v>
      </c>
      <c r="I19" s="1578">
        <f t="shared" si="0"/>
        <v>1656170821.3399999</v>
      </c>
      <c r="J19" s="1578">
        <f t="shared" si="0"/>
        <v>1765039149.8599999</v>
      </c>
      <c r="K19" s="1578">
        <f t="shared" si="0"/>
        <v>1793923788.2</v>
      </c>
      <c r="L19" s="1578">
        <f t="shared" si="0"/>
        <v>2243584283.1599998</v>
      </c>
      <c r="M19" s="1578">
        <f t="shared" si="0"/>
        <v>2304764163.1799998</v>
      </c>
      <c r="N19" s="1578">
        <f t="shared" si="0"/>
        <v>2749143834.27</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14" customHeight="1">
      <c r="A20" s="1013"/>
      <c r="C20" s="101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 customHeight="1">
      <c r="A21" s="1013"/>
      <c r="C21" s="1013"/>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 customHeight="1">
      <c r="A22" s="1012" t="s">
        <v>1170</v>
      </c>
      <c r="C22" s="1013"/>
      <c r="D22" s="1201"/>
      <c r="E22" s="1577">
        <v>-5.4800000000000001E-2</v>
      </c>
      <c r="F22" s="1577">
        <f t="shared" ref="F22:L22" si="1">ROUND(SUM((+F19-E19)/E19),4)</f>
        <v>0.10050000000000001</v>
      </c>
      <c r="G22" s="1577">
        <f t="shared" si="1"/>
        <v>1.6799999999999999E-2</v>
      </c>
      <c r="H22" s="1577">
        <f t="shared" si="1"/>
        <v>-4.5400000000000003E-2</v>
      </c>
      <c r="I22" s="1577">
        <f t="shared" si="1"/>
        <v>0.1148</v>
      </c>
      <c r="J22" s="1577">
        <f t="shared" si="1"/>
        <v>6.5699999999999995E-2</v>
      </c>
      <c r="K22" s="1577">
        <f t="shared" si="1"/>
        <v>1.6400000000000001E-2</v>
      </c>
      <c r="L22" s="1577">
        <f t="shared" si="1"/>
        <v>0.25069999999999998</v>
      </c>
      <c r="M22" s="1577">
        <f>ROUND(SUM((+M19-L19)/L19),4)</f>
        <v>2.7300000000000001E-2</v>
      </c>
      <c r="N22" s="1577">
        <f>ROUND(SUM((+N19-M19)/M19),4)</f>
        <v>0.1928</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 customHeight="1">
      <c r="A23" s="1013"/>
      <c r="C23" s="1013"/>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 customHeight="1">
      <c r="A24" s="1202" t="s">
        <v>2597</v>
      </c>
      <c r="C24" s="1013"/>
      <c r="D24" s="3"/>
      <c r="E24" s="1201"/>
      <c r="F24" s="1201"/>
      <c r="G24" s="1201"/>
      <c r="H24" s="1201"/>
      <c r="I24" s="3"/>
      <c r="J24" s="3"/>
      <c r="K24" s="3"/>
      <c r="L24" s="1201"/>
      <c r="M24" s="1201"/>
      <c r="N24" s="1577">
        <f>ROUND(SUM((+N19-E19)/E19),4)</f>
        <v>0.97660000000000002</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 customHeight="1">
      <c r="B25" s="3"/>
      <c r="C25" s="3"/>
      <c r="D25" s="3"/>
      <c r="E25" s="3"/>
      <c r="F25" s="1187"/>
      <c r="G25" s="211"/>
      <c r="H25" s="211"/>
      <c r="I25" s="3"/>
      <c r="J25" s="3"/>
      <c r="L25" s="211"/>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c r="B26" s="157"/>
      <c r="C26" s="11"/>
      <c r="D26" s="3"/>
      <c r="E26" s="3"/>
      <c r="F26" s="1187"/>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57"/>
      <c r="C27" s="11"/>
      <c r="D27" s="3"/>
      <c r="E27" s="3"/>
      <c r="F27" s="1187"/>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57"/>
      <c r="C28" s="11"/>
      <c r="D28" s="3"/>
      <c r="E28" s="3"/>
      <c r="F28" s="1187"/>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57"/>
      <c r="C29" s="11"/>
      <c r="D29" s="3"/>
      <c r="E29" s="3"/>
      <c r="F29" s="1187"/>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8" customHeight="1">
      <c r="D30" s="3"/>
      <c r="E30" s="3"/>
      <c r="F30" s="1187"/>
      <c r="G30" s="3"/>
      <c r="H30" s="259"/>
      <c r="I30" s="3"/>
      <c r="J30" s="3"/>
      <c r="K30" s="259"/>
      <c r="L30" s="259"/>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1187"/>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1187"/>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1187"/>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1187"/>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1187"/>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1187"/>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1187"/>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1187"/>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1187"/>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1187"/>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1187"/>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1187"/>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1187"/>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1187"/>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1187"/>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1187"/>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118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1187"/>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1187"/>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118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118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c r="D52" s="3"/>
      <c r="E52" s="3"/>
      <c r="F52" s="1187"/>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1187"/>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1187"/>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1187"/>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1187"/>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118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1187"/>
      <c r="G58" s="3"/>
      <c r="H58" s="3"/>
      <c r="I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J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ht="15">
      <c r="B60" s="906"/>
      <c r="D60" s="3"/>
      <c r="E60" s="3"/>
      <c r="F60" s="1187"/>
      <c r="G60" s="3"/>
      <c r="H60" s="3"/>
      <c r="I60" s="3"/>
      <c r="J60" s="120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81.75" customHeight="1">
      <c r="A61" s="1204" t="s">
        <v>275</v>
      </c>
      <c r="B61" s="2490" t="s">
        <v>2639</v>
      </c>
      <c r="C61" s="2420"/>
      <c r="D61" s="2420"/>
      <c r="E61" s="2420"/>
      <c r="F61" s="2420"/>
      <c r="G61" s="2420"/>
      <c r="H61" s="2420"/>
      <c r="I61" s="2420"/>
      <c r="J61" s="2420"/>
      <c r="K61" s="2420"/>
      <c r="L61" s="2420"/>
      <c r="M61" s="2420"/>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15">
      <c r="B62" s="906"/>
      <c r="C62" s="3"/>
      <c r="D62" s="3"/>
      <c r="E62" s="3"/>
      <c r="F62" s="1187"/>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906"/>
      <c r="C63" s="3"/>
      <c r="D63" s="3"/>
      <c r="E63" s="3"/>
      <c r="F63" s="1187"/>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906"/>
      <c r="C64" s="3"/>
      <c r="D64" s="3"/>
      <c r="E64" s="3"/>
      <c r="F64" s="1187"/>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906"/>
      <c r="C65" s="3"/>
      <c r="D65" s="3"/>
      <c r="E65" s="3"/>
      <c r="F65" s="1187"/>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906"/>
      <c r="C66" s="3"/>
      <c r="D66" s="3"/>
      <c r="E66" s="3"/>
      <c r="F66" s="1187"/>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906"/>
      <c r="C67" s="3"/>
      <c r="D67" s="3"/>
      <c r="E67" s="3"/>
      <c r="F67" s="118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906"/>
      <c r="C68" s="3"/>
      <c r="D68" s="3"/>
      <c r="E68" s="3"/>
      <c r="F68" s="1187"/>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c r="B69" s="3"/>
      <c r="C69" s="3"/>
      <c r="D69" s="3"/>
      <c r="E69" s="3"/>
      <c r="F69" s="1187"/>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1187"/>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1187"/>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1187"/>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1187"/>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1187"/>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1187"/>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1187"/>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1187"/>
      <c r="G77" s="3"/>
      <c r="H77" s="3"/>
      <c r="I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sheetData>
  <mergeCells count="3">
    <mergeCell ref="D3:F3"/>
    <mergeCell ref="A11:B11"/>
    <mergeCell ref="B61:M61"/>
  </mergeCells>
  <printOptions horizontalCentered="1"/>
  <pageMargins left="0.5" right="0.5" top="1" bottom="0.25" header="0" footer="0.25"/>
  <pageSetup scale="51" orientation="landscape"/>
  <headerFooter scaleWithDoc="0">
    <oddFooter>&amp;R&amp;8 120</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16"/>
  <sheetViews>
    <sheetView showGridLines="0" showOutlineSymbols="0" zoomScale="60" zoomScaleNormal="60" zoomScaleSheetLayoutView="70" zoomScalePageLayoutView="60" workbookViewId="0"/>
  </sheetViews>
  <sheetFormatPr baseColWidth="10" defaultColWidth="9.5703125" defaultRowHeight="13" x14ac:dyDescent="0"/>
  <cols>
    <col min="1" max="1" width="58.42578125" style="67" customWidth="1"/>
    <col min="2" max="2" width="1.42578125" style="67" customWidth="1"/>
    <col min="3" max="3" width="19.5703125" style="67" customWidth="1"/>
    <col min="4" max="4" width="2.140625" style="67" customWidth="1"/>
    <col min="5" max="5" width="19" style="110" customWidth="1"/>
    <col min="6" max="6" width="2.140625" style="67" customWidth="1"/>
    <col min="7" max="7" width="18.85546875" style="67" customWidth="1"/>
    <col min="8" max="8" width="2.140625" style="67" customWidth="1"/>
    <col min="9" max="9" width="18.5703125" style="110" customWidth="1"/>
    <col min="10" max="10" width="1.5703125" style="67" customWidth="1"/>
    <col min="11" max="11" width="20.140625" style="67" customWidth="1"/>
    <col min="12" max="12" width="1.85546875" style="67" customWidth="1"/>
    <col min="13" max="13" width="18.5703125" style="110" customWidth="1"/>
    <col min="14" max="14" width="2.140625" style="67" customWidth="1"/>
    <col min="15" max="15" width="18.85546875" style="67" customWidth="1"/>
    <col min="16" max="16" width="1.5703125" style="67" customWidth="1"/>
    <col min="17" max="17" width="18.5703125" style="110" customWidth="1"/>
    <col min="18" max="18" width="1.5703125" style="67" customWidth="1"/>
    <col min="19" max="19" width="19" style="67" customWidth="1"/>
    <col min="20" max="20" width="1.140625" style="67" customWidth="1"/>
    <col min="21" max="21" width="20" style="67" customWidth="1"/>
    <col min="22" max="22" width="2.5703125" style="67" customWidth="1"/>
    <col min="23" max="23" width="25.5703125" style="67" customWidth="1"/>
    <col min="24" max="16384" width="9.5703125" style="67"/>
  </cols>
  <sheetData>
    <row r="1" spans="1:254" ht="18" customHeight="1">
      <c r="A1" s="1582" t="s">
        <v>1443</v>
      </c>
    </row>
    <row r="3" spans="1:254" s="1406" customFormat="1" ht="28">
      <c r="A3" s="1403" t="s">
        <v>0</v>
      </c>
      <c r="B3" s="1403"/>
      <c r="C3" s="1403"/>
      <c r="D3" s="1403"/>
      <c r="E3" s="1404"/>
      <c r="F3" s="1403"/>
      <c r="G3" s="1403"/>
      <c r="H3" s="1403"/>
      <c r="I3" s="1404"/>
      <c r="J3" s="1403"/>
      <c r="K3" s="1403"/>
      <c r="L3" s="1403"/>
      <c r="M3" s="1404"/>
      <c r="N3" s="1403"/>
      <c r="O3" s="1403"/>
      <c r="P3" s="1403"/>
      <c r="Q3" s="1404"/>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5"/>
      <c r="AW3" s="1405"/>
      <c r="AX3" s="1405"/>
      <c r="AY3" s="1405"/>
      <c r="AZ3" s="1405"/>
      <c r="BA3" s="1405"/>
      <c r="BB3" s="1405"/>
      <c r="BC3" s="1405"/>
      <c r="BD3" s="1405"/>
      <c r="BE3" s="1405"/>
      <c r="BF3" s="1405"/>
      <c r="BG3" s="1405"/>
      <c r="BH3" s="1405"/>
      <c r="BI3" s="1405"/>
      <c r="BJ3" s="1405"/>
      <c r="BK3" s="1405"/>
      <c r="BL3" s="1405"/>
      <c r="BM3" s="1405"/>
      <c r="BN3" s="1405"/>
      <c r="BO3" s="1405"/>
      <c r="BP3" s="1405"/>
      <c r="BQ3" s="1405"/>
      <c r="BR3" s="1405"/>
      <c r="BS3" s="1405"/>
      <c r="BT3" s="1405"/>
      <c r="BU3" s="1405"/>
      <c r="BV3" s="1405"/>
      <c r="BW3" s="1405"/>
      <c r="BX3" s="1405"/>
      <c r="BY3" s="1405"/>
      <c r="BZ3" s="1405"/>
      <c r="CA3" s="1405"/>
      <c r="CB3" s="1405"/>
      <c r="CC3" s="1405"/>
      <c r="CD3" s="1405"/>
      <c r="CE3" s="1405"/>
      <c r="CF3" s="1405"/>
      <c r="CG3" s="1405"/>
      <c r="CH3" s="1405"/>
      <c r="CI3" s="1405"/>
      <c r="CJ3" s="1405"/>
      <c r="CK3" s="1405"/>
      <c r="CL3" s="1405"/>
      <c r="CM3" s="1405"/>
      <c r="CN3" s="1405"/>
      <c r="CO3" s="1405"/>
      <c r="CP3" s="1405"/>
      <c r="CQ3" s="1405"/>
      <c r="CR3" s="1405"/>
      <c r="CS3" s="1405"/>
      <c r="CT3" s="1405"/>
      <c r="CU3" s="1405"/>
      <c r="CV3" s="1405"/>
      <c r="CW3" s="1405"/>
      <c r="CX3" s="1405"/>
      <c r="CY3" s="1405"/>
      <c r="CZ3" s="1405"/>
      <c r="DA3" s="1405"/>
      <c r="DB3" s="1405"/>
      <c r="DC3" s="1405"/>
      <c r="DD3" s="1405"/>
      <c r="DE3" s="1405"/>
      <c r="DF3" s="1405"/>
      <c r="DG3" s="1405"/>
      <c r="DH3" s="1405"/>
      <c r="DI3" s="1405"/>
      <c r="DJ3" s="1405"/>
      <c r="DK3" s="1405"/>
      <c r="DL3" s="1405"/>
      <c r="DM3" s="1405"/>
      <c r="DN3" s="1405"/>
      <c r="DO3" s="1405"/>
      <c r="DP3" s="1405"/>
      <c r="DQ3" s="1405"/>
      <c r="DR3" s="1405"/>
      <c r="DS3" s="1405"/>
      <c r="DT3" s="1405"/>
      <c r="DU3" s="1405"/>
      <c r="DV3" s="1405"/>
      <c r="DW3" s="1405"/>
      <c r="DX3" s="1405"/>
      <c r="DY3" s="1405"/>
      <c r="DZ3" s="1405"/>
      <c r="EA3" s="1405"/>
      <c r="EB3" s="1405"/>
      <c r="EC3" s="1405"/>
      <c r="ED3" s="1405"/>
      <c r="EE3" s="1405"/>
      <c r="EF3" s="1405"/>
      <c r="EG3" s="1405"/>
      <c r="EH3" s="1405"/>
      <c r="EI3" s="1405"/>
      <c r="EJ3" s="1405"/>
      <c r="EK3" s="1405"/>
      <c r="EL3" s="1405"/>
      <c r="EM3" s="1405"/>
      <c r="EN3" s="1405"/>
      <c r="EO3" s="1405"/>
      <c r="EP3" s="1405"/>
      <c r="EQ3" s="1405"/>
      <c r="ER3" s="1405"/>
      <c r="ES3" s="1405"/>
      <c r="ET3" s="1405"/>
      <c r="EU3" s="1405"/>
      <c r="EV3" s="1405"/>
      <c r="EW3" s="1405"/>
      <c r="EX3" s="1405"/>
      <c r="EY3" s="1405"/>
      <c r="EZ3" s="1405"/>
      <c r="FA3" s="1405"/>
      <c r="FB3" s="1405"/>
      <c r="FC3" s="1405"/>
      <c r="FD3" s="1405"/>
      <c r="FE3" s="1405"/>
      <c r="FF3" s="1405"/>
      <c r="FG3" s="1405"/>
      <c r="FH3" s="1405"/>
      <c r="FI3" s="1405"/>
      <c r="FJ3" s="1405"/>
      <c r="FK3" s="1405"/>
      <c r="FL3" s="1405"/>
      <c r="FM3" s="1405"/>
      <c r="FN3" s="1405"/>
      <c r="FO3" s="1405"/>
      <c r="FP3" s="1405"/>
      <c r="FQ3" s="1405"/>
      <c r="FR3" s="1405"/>
      <c r="FS3" s="1405"/>
      <c r="FT3" s="1405"/>
      <c r="FU3" s="1405"/>
      <c r="FV3" s="1405"/>
      <c r="FW3" s="1405"/>
      <c r="FX3" s="1405"/>
      <c r="FY3" s="1405"/>
      <c r="FZ3" s="1405"/>
      <c r="GA3" s="1405"/>
      <c r="GB3" s="1405"/>
      <c r="GC3" s="1405"/>
      <c r="GD3" s="1405"/>
      <c r="GE3" s="1405"/>
      <c r="GF3" s="1405"/>
      <c r="GG3" s="1405"/>
      <c r="GH3" s="1405"/>
      <c r="GI3" s="1405"/>
      <c r="GJ3" s="1405"/>
      <c r="GK3" s="1405"/>
      <c r="GL3" s="1405"/>
      <c r="GM3" s="1405"/>
      <c r="GN3" s="1405"/>
      <c r="GO3" s="1405"/>
      <c r="GP3" s="1405"/>
      <c r="GQ3" s="1405"/>
      <c r="GR3" s="1405"/>
      <c r="GS3" s="1405"/>
      <c r="GT3" s="1405"/>
      <c r="GU3" s="1405"/>
      <c r="GV3" s="1405"/>
      <c r="GW3" s="1405"/>
      <c r="GX3" s="1405"/>
      <c r="GY3" s="1405"/>
      <c r="GZ3" s="1405"/>
      <c r="HA3" s="1405"/>
      <c r="HB3" s="1405"/>
      <c r="HC3" s="1405"/>
      <c r="HD3" s="1405"/>
      <c r="HE3" s="1405"/>
      <c r="HF3" s="1405"/>
      <c r="HG3" s="1405"/>
      <c r="HH3" s="1405"/>
      <c r="HI3" s="1405"/>
      <c r="HJ3" s="1405"/>
      <c r="HK3" s="1405"/>
      <c r="HL3" s="1405"/>
      <c r="HM3" s="1405"/>
      <c r="HN3" s="1405"/>
      <c r="HO3" s="1405"/>
      <c r="HP3" s="1405"/>
      <c r="HQ3" s="1405"/>
      <c r="HR3" s="1405"/>
      <c r="HS3" s="1405"/>
      <c r="HT3" s="1405"/>
      <c r="HU3" s="1405"/>
      <c r="HV3" s="1405"/>
      <c r="HW3" s="1405"/>
      <c r="HX3" s="1405"/>
      <c r="HY3" s="1405"/>
      <c r="HZ3" s="1405"/>
      <c r="IA3" s="1405"/>
      <c r="IB3" s="1405"/>
      <c r="IC3" s="1405"/>
      <c r="ID3" s="1405"/>
      <c r="IE3" s="1405"/>
      <c r="IF3" s="1405"/>
      <c r="IG3" s="1405"/>
      <c r="IH3" s="1405"/>
      <c r="II3" s="1405"/>
      <c r="IJ3" s="1405"/>
      <c r="IK3" s="1405"/>
      <c r="IL3" s="1405"/>
      <c r="IM3" s="1405"/>
      <c r="IN3" s="1405"/>
      <c r="IO3" s="1405"/>
      <c r="IP3" s="1405"/>
      <c r="IQ3" s="1405"/>
      <c r="IR3" s="1405"/>
      <c r="IS3" s="1405"/>
      <c r="IT3" s="1405"/>
    </row>
    <row r="4" spans="1:254" s="1406" customFormat="1" ht="28">
      <c r="A4" s="1403" t="s">
        <v>1</v>
      </c>
      <c r="B4" s="1403"/>
      <c r="C4" s="1403"/>
      <c r="D4" s="1403"/>
      <c r="E4" s="1404"/>
      <c r="F4" s="1403"/>
      <c r="G4" s="1403"/>
      <c r="H4" s="1403"/>
      <c r="I4" s="1404"/>
      <c r="J4" s="1403"/>
      <c r="K4" s="1403"/>
      <c r="L4" s="1403"/>
      <c r="M4" s="1404"/>
      <c r="N4" s="1403"/>
      <c r="O4" s="1403"/>
      <c r="P4" s="1403"/>
      <c r="Q4" s="1407"/>
      <c r="R4" s="1403"/>
      <c r="S4" s="1403"/>
      <c r="T4" s="1403"/>
      <c r="U4" s="1408" t="s">
        <v>38</v>
      </c>
      <c r="V4" s="1405"/>
      <c r="W4" s="1405"/>
      <c r="X4" s="1405"/>
      <c r="Y4" s="1405"/>
      <c r="Z4" s="1405"/>
      <c r="AA4" s="1405"/>
      <c r="AB4" s="1405"/>
      <c r="AC4" s="1405"/>
      <c r="AD4" s="1405"/>
      <c r="AE4" s="1405"/>
      <c r="AF4" s="1405"/>
      <c r="AG4" s="1405"/>
      <c r="AH4" s="1405"/>
      <c r="AI4" s="1405"/>
      <c r="AJ4" s="1405"/>
      <c r="AK4" s="1405"/>
      <c r="AL4" s="1405"/>
      <c r="AM4" s="1405"/>
      <c r="AN4" s="1405"/>
      <c r="AO4" s="1405"/>
      <c r="AP4" s="1405"/>
      <c r="AQ4" s="1405"/>
      <c r="AR4" s="1405"/>
      <c r="AS4" s="1405"/>
      <c r="AT4" s="1405"/>
      <c r="AU4" s="1405"/>
      <c r="AV4" s="1405"/>
      <c r="AW4" s="1405"/>
      <c r="AX4" s="1405"/>
      <c r="AY4" s="1405"/>
      <c r="AZ4" s="1405"/>
      <c r="BA4" s="1405"/>
      <c r="BB4" s="1405"/>
      <c r="BC4" s="1405"/>
      <c r="BD4" s="1405"/>
      <c r="BE4" s="1405"/>
      <c r="BF4" s="1405"/>
      <c r="BG4" s="1405"/>
      <c r="BH4" s="1405"/>
      <c r="BI4" s="1405"/>
      <c r="BJ4" s="1405"/>
      <c r="BK4" s="1405"/>
      <c r="BL4" s="1405"/>
      <c r="BM4" s="1405"/>
      <c r="BN4" s="1405"/>
      <c r="BO4" s="1405"/>
      <c r="BP4" s="1405"/>
      <c r="BQ4" s="1405"/>
      <c r="BR4" s="1405"/>
      <c r="BS4" s="1405"/>
      <c r="BT4" s="1405"/>
      <c r="BU4" s="1405"/>
      <c r="BV4" s="1405"/>
      <c r="BW4" s="1405"/>
      <c r="BX4" s="1405"/>
      <c r="BY4" s="1405"/>
      <c r="BZ4" s="1405"/>
      <c r="CA4" s="1405"/>
      <c r="CB4" s="1405"/>
      <c r="CC4" s="1405"/>
      <c r="CD4" s="1405"/>
      <c r="CE4" s="1405"/>
      <c r="CF4" s="1405"/>
      <c r="CG4" s="1405"/>
      <c r="CH4" s="1405"/>
      <c r="CI4" s="1405"/>
      <c r="CJ4" s="1405"/>
      <c r="CK4" s="1405"/>
      <c r="CL4" s="1405"/>
      <c r="CM4" s="1405"/>
      <c r="CN4" s="1405"/>
      <c r="CO4" s="1405"/>
      <c r="CP4" s="1405"/>
      <c r="CQ4" s="1405"/>
      <c r="CR4" s="1405"/>
      <c r="CS4" s="1405"/>
      <c r="CT4" s="1405"/>
      <c r="CU4" s="1405"/>
      <c r="CV4" s="1405"/>
      <c r="CW4" s="1405"/>
      <c r="CX4" s="1405"/>
      <c r="CY4" s="1405"/>
      <c r="CZ4" s="1405"/>
      <c r="DA4" s="1405"/>
      <c r="DB4" s="1405"/>
      <c r="DC4" s="1405"/>
      <c r="DD4" s="1405"/>
      <c r="DE4" s="1405"/>
      <c r="DF4" s="1405"/>
      <c r="DG4" s="1405"/>
      <c r="DH4" s="1405"/>
      <c r="DI4" s="1405"/>
      <c r="DJ4" s="1405"/>
      <c r="DK4" s="1405"/>
      <c r="DL4" s="1405"/>
      <c r="DM4" s="1405"/>
      <c r="DN4" s="1405"/>
      <c r="DO4" s="1405"/>
      <c r="DP4" s="1405"/>
      <c r="DQ4" s="1405"/>
      <c r="DR4" s="1405"/>
      <c r="DS4" s="1405"/>
      <c r="DT4" s="1405"/>
      <c r="DU4" s="1405"/>
      <c r="DV4" s="1405"/>
      <c r="DW4" s="1405"/>
      <c r="DX4" s="1405"/>
      <c r="DY4" s="1405"/>
      <c r="DZ4" s="1405"/>
      <c r="EA4" s="1405"/>
      <c r="EB4" s="1405"/>
      <c r="EC4" s="1405"/>
      <c r="ED4" s="1405"/>
      <c r="EE4" s="1405"/>
      <c r="EF4" s="1405"/>
      <c r="EG4" s="1405"/>
      <c r="EH4" s="1405"/>
      <c r="EI4" s="1405"/>
      <c r="EJ4" s="1405"/>
      <c r="EK4" s="1405"/>
      <c r="EL4" s="1405"/>
      <c r="EM4" s="1405"/>
      <c r="EN4" s="1405"/>
      <c r="EO4" s="1405"/>
      <c r="EP4" s="1405"/>
      <c r="EQ4" s="1405"/>
      <c r="ER4" s="1405"/>
      <c r="ES4" s="1405"/>
      <c r="ET4" s="1405"/>
      <c r="EU4" s="1405"/>
      <c r="EV4" s="1405"/>
      <c r="EW4" s="1405"/>
      <c r="EX4" s="1405"/>
      <c r="EY4" s="1405"/>
      <c r="EZ4" s="1405"/>
      <c r="FA4" s="1405"/>
      <c r="FB4" s="1405"/>
      <c r="FC4" s="1405"/>
      <c r="FD4" s="1405"/>
      <c r="FE4" s="1405"/>
      <c r="FF4" s="1405"/>
      <c r="FG4" s="1405"/>
      <c r="FH4" s="1405"/>
      <c r="FI4" s="1405"/>
      <c r="FJ4" s="1405"/>
      <c r="FK4" s="1405"/>
      <c r="FL4" s="1405"/>
      <c r="FM4" s="1405"/>
      <c r="FN4" s="1405"/>
      <c r="FO4" s="1405"/>
      <c r="FP4" s="1405"/>
      <c r="FQ4" s="1405"/>
      <c r="FR4" s="1405"/>
      <c r="FS4" s="1405"/>
      <c r="FT4" s="1405"/>
      <c r="FU4" s="1405"/>
      <c r="FV4" s="1405"/>
      <c r="FW4" s="1405"/>
      <c r="FX4" s="1405"/>
      <c r="FY4" s="1405"/>
      <c r="FZ4" s="1405"/>
      <c r="GA4" s="1405"/>
      <c r="GB4" s="1405"/>
      <c r="GC4" s="1405"/>
      <c r="GD4" s="1405"/>
      <c r="GE4" s="1405"/>
      <c r="GF4" s="1405"/>
      <c r="GG4" s="1405"/>
      <c r="GH4" s="1405"/>
      <c r="GI4" s="1405"/>
      <c r="GJ4" s="1405"/>
      <c r="GK4" s="1405"/>
      <c r="GL4" s="1405"/>
      <c r="GM4" s="1405"/>
      <c r="GN4" s="1405"/>
      <c r="GO4" s="1405"/>
      <c r="GP4" s="1405"/>
      <c r="GQ4" s="1405"/>
      <c r="GR4" s="1405"/>
      <c r="GS4" s="1405"/>
      <c r="GT4" s="1405"/>
      <c r="GU4" s="1405"/>
      <c r="GV4" s="1405"/>
      <c r="GW4" s="1405"/>
      <c r="GX4" s="1405"/>
      <c r="GY4" s="1405"/>
      <c r="GZ4" s="1405"/>
      <c r="HA4" s="1405"/>
      <c r="HB4" s="1405"/>
      <c r="HC4" s="1405"/>
      <c r="HD4" s="1405"/>
      <c r="HE4" s="1405"/>
      <c r="HF4" s="1405"/>
      <c r="HG4" s="1405"/>
      <c r="HH4" s="1405"/>
      <c r="HI4" s="1405"/>
      <c r="HJ4" s="1405"/>
      <c r="HK4" s="1405"/>
      <c r="HL4" s="1405"/>
      <c r="HM4" s="1405"/>
      <c r="HN4" s="1405"/>
      <c r="HO4" s="1405"/>
      <c r="HP4" s="1405"/>
      <c r="HQ4" s="1405"/>
      <c r="HR4" s="1405"/>
      <c r="HS4" s="1405"/>
      <c r="HT4" s="1405"/>
      <c r="HU4" s="1405"/>
      <c r="HV4" s="1405"/>
      <c r="HW4" s="1405"/>
      <c r="HX4" s="1405"/>
      <c r="HY4" s="1405"/>
      <c r="HZ4" s="1405"/>
      <c r="IA4" s="1405"/>
      <c r="IB4" s="1405"/>
      <c r="IC4" s="1405"/>
      <c r="ID4" s="1405"/>
      <c r="IE4" s="1405"/>
      <c r="IF4" s="1405"/>
      <c r="IG4" s="1405"/>
      <c r="IH4" s="1405"/>
      <c r="II4" s="1405"/>
      <c r="IJ4" s="1405"/>
      <c r="IK4" s="1405"/>
      <c r="IL4" s="1405"/>
      <c r="IM4" s="1405"/>
      <c r="IN4" s="1405"/>
      <c r="IO4" s="1405"/>
      <c r="IP4" s="1405"/>
      <c r="IQ4" s="1405"/>
      <c r="IR4" s="1405"/>
      <c r="IS4" s="1405"/>
      <c r="IT4" s="1405"/>
    </row>
    <row r="5" spans="1:254" s="1406" customFormat="1" ht="28">
      <c r="A5" s="1409" t="s">
        <v>2544</v>
      </c>
      <c r="B5" s="1403"/>
      <c r="C5" s="1403"/>
      <c r="D5" s="1403"/>
      <c r="E5" s="1404"/>
      <c r="F5" s="1403"/>
      <c r="G5" s="1403"/>
      <c r="H5" s="1403"/>
      <c r="I5" s="1404"/>
      <c r="J5" s="1403"/>
      <c r="K5" s="1403"/>
      <c r="L5" s="1403"/>
      <c r="M5" s="1404"/>
      <c r="N5" s="1403"/>
      <c r="O5" s="1403"/>
      <c r="P5" s="1403"/>
      <c r="Q5" s="1404"/>
      <c r="R5" s="1403"/>
      <c r="S5" s="1403"/>
      <c r="T5" s="1403"/>
      <c r="U5" s="1410" t="s">
        <v>131</v>
      </c>
      <c r="V5" s="1405"/>
      <c r="W5" s="1405"/>
      <c r="X5" s="1405"/>
      <c r="Y5" s="1405"/>
      <c r="Z5" s="1405"/>
      <c r="AA5" s="1405"/>
      <c r="AB5" s="1405"/>
      <c r="AC5" s="1405"/>
      <c r="AD5" s="1405"/>
      <c r="AE5" s="1405"/>
      <c r="AF5" s="1405"/>
      <c r="AG5" s="1405"/>
      <c r="AH5" s="1405"/>
      <c r="AI5" s="1405"/>
      <c r="AJ5" s="1405"/>
      <c r="AK5" s="1405"/>
      <c r="AL5" s="1405"/>
      <c r="AM5" s="1405"/>
      <c r="AN5" s="1405"/>
      <c r="AO5" s="1405"/>
      <c r="AP5" s="1405"/>
      <c r="AQ5" s="1405"/>
      <c r="AR5" s="1405"/>
      <c r="AS5" s="1405"/>
      <c r="AT5" s="1405"/>
      <c r="AU5" s="1405"/>
      <c r="AV5" s="1405"/>
      <c r="AW5" s="1405"/>
      <c r="AX5" s="1405"/>
      <c r="AY5" s="1405"/>
      <c r="AZ5" s="1405"/>
      <c r="BA5" s="1405"/>
      <c r="BB5" s="1405"/>
      <c r="BC5" s="1405"/>
      <c r="BD5" s="1405"/>
      <c r="BE5" s="1405"/>
      <c r="BF5" s="1405"/>
      <c r="BG5" s="1405"/>
      <c r="BH5" s="1405"/>
      <c r="BI5" s="1405"/>
      <c r="BJ5" s="1405"/>
      <c r="BK5" s="1405"/>
      <c r="BL5" s="1405"/>
      <c r="BM5" s="1405"/>
      <c r="BN5" s="1405"/>
      <c r="BO5" s="1405"/>
      <c r="BP5" s="1405"/>
      <c r="BQ5" s="1405"/>
      <c r="BR5" s="1405"/>
      <c r="BS5" s="1405"/>
      <c r="BT5" s="1405"/>
      <c r="BU5" s="1405"/>
      <c r="BV5" s="1405"/>
      <c r="BW5" s="1405"/>
      <c r="BX5" s="1405"/>
      <c r="BY5" s="1405"/>
      <c r="BZ5" s="1405"/>
      <c r="CA5" s="1405"/>
      <c r="CB5" s="1405"/>
      <c r="CC5" s="1405"/>
      <c r="CD5" s="1405"/>
      <c r="CE5" s="1405"/>
      <c r="CF5" s="1405"/>
      <c r="CG5" s="1405"/>
      <c r="CH5" s="1405"/>
      <c r="CI5" s="1405"/>
      <c r="CJ5" s="1405"/>
      <c r="CK5" s="1405"/>
      <c r="CL5" s="1405"/>
      <c r="CM5" s="1405"/>
      <c r="CN5" s="1405"/>
      <c r="CO5" s="1405"/>
      <c r="CP5" s="1405"/>
      <c r="CQ5" s="1405"/>
      <c r="CR5" s="1405"/>
      <c r="CS5" s="1405"/>
      <c r="CT5" s="1405"/>
      <c r="CU5" s="1405"/>
      <c r="CV5" s="1405"/>
      <c r="CW5" s="1405"/>
      <c r="CX5" s="1405"/>
      <c r="CY5" s="1405"/>
      <c r="CZ5" s="1405"/>
      <c r="DA5" s="1405"/>
      <c r="DB5" s="1405"/>
      <c r="DC5" s="1405"/>
      <c r="DD5" s="1405"/>
      <c r="DE5" s="1405"/>
      <c r="DF5" s="1405"/>
      <c r="DG5" s="1405"/>
      <c r="DH5" s="1405"/>
      <c r="DI5" s="1405"/>
      <c r="DJ5" s="1405"/>
      <c r="DK5" s="1405"/>
      <c r="DL5" s="1405"/>
      <c r="DM5" s="1405"/>
      <c r="DN5" s="1405"/>
      <c r="DO5" s="1405"/>
      <c r="DP5" s="1405"/>
      <c r="DQ5" s="1405"/>
      <c r="DR5" s="1405"/>
      <c r="DS5" s="1405"/>
      <c r="DT5" s="1405"/>
      <c r="DU5" s="1405"/>
      <c r="DV5" s="1405"/>
      <c r="DW5" s="1405"/>
      <c r="DX5" s="1405"/>
      <c r="DY5" s="1405"/>
      <c r="DZ5" s="1405"/>
      <c r="EA5" s="1405"/>
      <c r="EB5" s="1405"/>
      <c r="EC5" s="1405"/>
      <c r="ED5" s="1405"/>
      <c r="EE5" s="1405"/>
      <c r="EF5" s="1405"/>
      <c r="EG5" s="1405"/>
      <c r="EH5" s="1405"/>
      <c r="EI5" s="1405"/>
      <c r="EJ5" s="1405"/>
      <c r="EK5" s="1405"/>
      <c r="EL5" s="1405"/>
      <c r="EM5" s="1405"/>
      <c r="EN5" s="1405"/>
      <c r="EO5" s="1405"/>
      <c r="EP5" s="1405"/>
      <c r="EQ5" s="1405"/>
      <c r="ER5" s="1405"/>
      <c r="ES5" s="1405"/>
      <c r="ET5" s="1405"/>
      <c r="EU5" s="1405"/>
      <c r="EV5" s="1405"/>
      <c r="EW5" s="1405"/>
      <c r="EX5" s="1405"/>
      <c r="EY5" s="1405"/>
      <c r="EZ5" s="1405"/>
      <c r="FA5" s="1405"/>
      <c r="FB5" s="1405"/>
      <c r="FC5" s="1405"/>
      <c r="FD5" s="1405"/>
      <c r="FE5" s="1405"/>
      <c r="FF5" s="1405"/>
      <c r="FG5" s="1405"/>
      <c r="FH5" s="1405"/>
      <c r="FI5" s="1405"/>
      <c r="FJ5" s="1405"/>
      <c r="FK5" s="1405"/>
      <c r="FL5" s="1405"/>
      <c r="FM5" s="1405"/>
      <c r="FN5" s="1405"/>
      <c r="FO5" s="1405"/>
      <c r="FP5" s="1405"/>
      <c r="FQ5" s="1405"/>
      <c r="FR5" s="1405"/>
      <c r="FS5" s="1405"/>
      <c r="FT5" s="1405"/>
      <c r="FU5" s="1405"/>
      <c r="FV5" s="1405"/>
      <c r="FW5" s="1405"/>
      <c r="FX5" s="1405"/>
      <c r="FY5" s="1405"/>
      <c r="FZ5" s="1405"/>
      <c r="GA5" s="1405"/>
      <c r="GB5" s="1405"/>
      <c r="GC5" s="1405"/>
      <c r="GD5" s="1405"/>
      <c r="GE5" s="1405"/>
      <c r="GF5" s="1405"/>
      <c r="GG5" s="1405"/>
      <c r="GH5" s="1405"/>
      <c r="GI5" s="1405"/>
      <c r="GJ5" s="1405"/>
      <c r="GK5" s="1405"/>
      <c r="GL5" s="1405"/>
      <c r="GM5" s="1405"/>
      <c r="GN5" s="1405"/>
      <c r="GO5" s="1405"/>
      <c r="GP5" s="1405"/>
      <c r="GQ5" s="1405"/>
      <c r="GR5" s="1405"/>
      <c r="GS5" s="1405"/>
      <c r="GT5" s="1405"/>
      <c r="GU5" s="1405"/>
      <c r="GV5" s="1405"/>
      <c r="GW5" s="1405"/>
      <c r="GX5" s="1405"/>
      <c r="GY5" s="1405"/>
      <c r="GZ5" s="1405"/>
      <c r="HA5" s="1405"/>
      <c r="HB5" s="1405"/>
      <c r="HC5" s="1405"/>
      <c r="HD5" s="1405"/>
      <c r="HE5" s="1405"/>
      <c r="HF5" s="1405"/>
      <c r="HG5" s="1405"/>
      <c r="HH5" s="1405"/>
      <c r="HI5" s="1405"/>
      <c r="HJ5" s="1405"/>
      <c r="HK5" s="1405"/>
      <c r="HL5" s="1405"/>
      <c r="HM5" s="1405"/>
      <c r="HN5" s="1405"/>
      <c r="HO5" s="1405"/>
      <c r="HP5" s="1405"/>
      <c r="HQ5" s="1405"/>
      <c r="HR5" s="1405"/>
      <c r="HS5" s="1405"/>
      <c r="HT5" s="1405"/>
      <c r="HU5" s="1405"/>
      <c r="HV5" s="1405"/>
      <c r="HW5" s="1405"/>
      <c r="HX5" s="1405"/>
      <c r="HY5" s="1405"/>
      <c r="HZ5" s="1405"/>
      <c r="IA5" s="1405"/>
      <c r="IB5" s="1405"/>
      <c r="IC5" s="1405"/>
      <c r="ID5" s="1405"/>
      <c r="IE5" s="1405"/>
      <c r="IF5" s="1405"/>
      <c r="IG5" s="1405"/>
      <c r="IH5" s="1405"/>
      <c r="II5" s="1405"/>
      <c r="IJ5" s="1405"/>
      <c r="IK5" s="1405"/>
      <c r="IL5" s="1405"/>
      <c r="IM5" s="1405"/>
      <c r="IN5" s="1405"/>
      <c r="IO5" s="1405"/>
      <c r="IP5" s="1405"/>
      <c r="IQ5" s="1405"/>
      <c r="IR5" s="1405"/>
      <c r="IS5" s="1405"/>
      <c r="IT5" s="1405"/>
    </row>
    <row r="6" spans="1:254" s="1406" customFormat="1" ht="28">
      <c r="A6" s="1411" t="s">
        <v>2588</v>
      </c>
      <c r="B6" s="1403"/>
      <c r="C6" s="1403"/>
      <c r="D6" s="1403"/>
      <c r="E6" s="1404"/>
      <c r="F6" s="1403"/>
      <c r="G6" s="1403"/>
      <c r="H6" s="1403"/>
      <c r="I6" s="1404"/>
      <c r="J6" s="1403"/>
      <c r="K6" s="1403"/>
      <c r="L6" s="1403"/>
      <c r="M6" s="1404"/>
      <c r="N6" s="1403"/>
      <c r="O6" s="1403"/>
      <c r="P6" s="1403"/>
      <c r="Q6" s="1404"/>
      <c r="R6" s="1403"/>
      <c r="S6" s="1403"/>
      <c r="T6" s="1403"/>
      <c r="U6" s="1408"/>
      <c r="V6" s="1405"/>
      <c r="W6" s="1405"/>
      <c r="X6" s="1405"/>
      <c r="Y6" s="1405"/>
      <c r="Z6" s="1405"/>
      <c r="AA6" s="1405"/>
      <c r="AB6" s="1405"/>
      <c r="AC6" s="1405"/>
      <c r="AD6" s="1405"/>
      <c r="AE6" s="1405"/>
      <c r="AF6" s="1405"/>
      <c r="AG6" s="1405"/>
      <c r="AH6" s="1405"/>
      <c r="AI6" s="1405"/>
      <c r="AJ6" s="1405"/>
      <c r="AK6" s="1405"/>
      <c r="AL6" s="1405"/>
      <c r="AM6" s="1405"/>
      <c r="AN6" s="1405"/>
      <c r="AO6" s="1405"/>
      <c r="AP6" s="1405"/>
      <c r="AQ6" s="1405"/>
      <c r="AR6" s="1405"/>
      <c r="AS6" s="1405"/>
      <c r="AT6" s="1405"/>
      <c r="AU6" s="1405"/>
      <c r="AV6" s="1405"/>
      <c r="AW6" s="1405"/>
      <c r="AX6" s="1405"/>
      <c r="AY6" s="1405"/>
      <c r="AZ6" s="1405"/>
      <c r="BA6" s="1405"/>
      <c r="BB6" s="1405"/>
      <c r="BC6" s="1405"/>
      <c r="BD6" s="1405"/>
      <c r="BE6" s="1405"/>
      <c r="BF6" s="1405"/>
      <c r="BG6" s="1405"/>
      <c r="BH6" s="1405"/>
      <c r="BI6" s="1405"/>
      <c r="BJ6" s="1405"/>
      <c r="BK6" s="1405"/>
      <c r="BL6" s="1405"/>
      <c r="BM6" s="1405"/>
      <c r="BN6" s="1405"/>
      <c r="BO6" s="1405"/>
      <c r="BP6" s="1405"/>
      <c r="BQ6" s="1405"/>
      <c r="BR6" s="1405"/>
      <c r="BS6" s="1405"/>
      <c r="BT6" s="1405"/>
      <c r="BU6" s="1405"/>
      <c r="BV6" s="1405"/>
      <c r="BW6" s="1405"/>
      <c r="BX6" s="1405"/>
      <c r="BY6" s="1405"/>
      <c r="BZ6" s="1405"/>
      <c r="CA6" s="1405"/>
      <c r="CB6" s="1405"/>
      <c r="CC6" s="1405"/>
      <c r="CD6" s="1405"/>
      <c r="CE6" s="1405"/>
      <c r="CF6" s="1405"/>
      <c r="CG6" s="1405"/>
      <c r="CH6" s="1405"/>
      <c r="CI6" s="1405"/>
      <c r="CJ6" s="1405"/>
      <c r="CK6" s="1405"/>
      <c r="CL6" s="1405"/>
      <c r="CM6" s="1405"/>
      <c r="CN6" s="1405"/>
      <c r="CO6" s="1405"/>
      <c r="CP6" s="1405"/>
      <c r="CQ6" s="1405"/>
      <c r="CR6" s="1405"/>
      <c r="CS6" s="1405"/>
      <c r="CT6" s="1405"/>
      <c r="CU6" s="1405"/>
      <c r="CV6" s="1405"/>
      <c r="CW6" s="1405"/>
      <c r="CX6" s="1405"/>
      <c r="CY6" s="1405"/>
      <c r="CZ6" s="1405"/>
      <c r="DA6" s="1405"/>
      <c r="DB6" s="1405"/>
      <c r="DC6" s="1405"/>
      <c r="DD6" s="1405"/>
      <c r="DE6" s="1405"/>
      <c r="DF6" s="1405"/>
      <c r="DG6" s="1405"/>
      <c r="DH6" s="1405"/>
      <c r="DI6" s="1405"/>
      <c r="DJ6" s="1405"/>
      <c r="DK6" s="1405"/>
      <c r="DL6" s="1405"/>
      <c r="DM6" s="1405"/>
      <c r="DN6" s="1405"/>
      <c r="DO6" s="1405"/>
      <c r="DP6" s="1405"/>
      <c r="DQ6" s="1405"/>
      <c r="DR6" s="1405"/>
      <c r="DS6" s="1405"/>
      <c r="DT6" s="1405"/>
      <c r="DU6" s="1405"/>
      <c r="DV6" s="1405"/>
      <c r="DW6" s="1405"/>
      <c r="DX6" s="1405"/>
      <c r="DY6" s="1405"/>
      <c r="DZ6" s="1405"/>
      <c r="EA6" s="1405"/>
      <c r="EB6" s="1405"/>
      <c r="EC6" s="1405"/>
      <c r="ED6" s="1405"/>
      <c r="EE6" s="1405"/>
      <c r="EF6" s="1405"/>
      <c r="EG6" s="1405"/>
      <c r="EH6" s="1405"/>
      <c r="EI6" s="1405"/>
      <c r="EJ6" s="1405"/>
      <c r="EK6" s="1405"/>
      <c r="EL6" s="1405"/>
      <c r="EM6" s="1405"/>
      <c r="EN6" s="1405"/>
      <c r="EO6" s="1405"/>
      <c r="EP6" s="1405"/>
      <c r="EQ6" s="1405"/>
      <c r="ER6" s="1405"/>
      <c r="ES6" s="1405"/>
      <c r="ET6" s="1405"/>
      <c r="EU6" s="1405"/>
      <c r="EV6" s="1405"/>
      <c r="EW6" s="1405"/>
      <c r="EX6" s="1405"/>
      <c r="EY6" s="1405"/>
      <c r="EZ6" s="1405"/>
      <c r="FA6" s="1405"/>
      <c r="FB6" s="1405"/>
      <c r="FC6" s="1405"/>
      <c r="FD6" s="1405"/>
      <c r="FE6" s="1405"/>
      <c r="FF6" s="1405"/>
      <c r="FG6" s="1405"/>
      <c r="FH6" s="1405"/>
      <c r="FI6" s="1405"/>
      <c r="FJ6" s="1405"/>
      <c r="FK6" s="1405"/>
      <c r="FL6" s="1405"/>
      <c r="FM6" s="1405"/>
      <c r="FN6" s="1405"/>
      <c r="FO6" s="1405"/>
      <c r="FP6" s="1405"/>
      <c r="FQ6" s="1405"/>
      <c r="FR6" s="1405"/>
      <c r="FS6" s="1405"/>
      <c r="FT6" s="1405"/>
      <c r="FU6" s="1405"/>
      <c r="FV6" s="1405"/>
      <c r="FW6" s="1405"/>
      <c r="FX6" s="1405"/>
      <c r="FY6" s="1405"/>
      <c r="FZ6" s="1405"/>
      <c r="GA6" s="1405"/>
      <c r="GB6" s="1405"/>
      <c r="GC6" s="1405"/>
      <c r="GD6" s="1405"/>
      <c r="GE6" s="1405"/>
      <c r="GF6" s="1405"/>
      <c r="GG6" s="1405"/>
      <c r="GH6" s="1405"/>
      <c r="GI6" s="1405"/>
      <c r="GJ6" s="1405"/>
      <c r="GK6" s="1405"/>
      <c r="GL6" s="1405"/>
      <c r="GM6" s="1405"/>
      <c r="GN6" s="1405"/>
      <c r="GO6" s="1405"/>
      <c r="GP6" s="1405"/>
      <c r="GQ6" s="1405"/>
      <c r="GR6" s="1405"/>
      <c r="GS6" s="1405"/>
      <c r="GT6" s="1405"/>
      <c r="GU6" s="1405"/>
      <c r="GV6" s="1405"/>
      <c r="GW6" s="1405"/>
      <c r="GX6" s="1405"/>
      <c r="GY6" s="1405"/>
      <c r="GZ6" s="1405"/>
      <c r="HA6" s="1405"/>
      <c r="HB6" s="1405"/>
      <c r="HC6" s="1405"/>
      <c r="HD6" s="1405"/>
      <c r="HE6" s="1405"/>
      <c r="HF6" s="1405"/>
      <c r="HG6" s="1405"/>
      <c r="HH6" s="1405"/>
      <c r="HI6" s="1405"/>
      <c r="HJ6" s="1405"/>
      <c r="HK6" s="1405"/>
      <c r="HL6" s="1405"/>
      <c r="HM6" s="1405"/>
      <c r="HN6" s="1405"/>
      <c r="HO6" s="1405"/>
      <c r="HP6" s="1405"/>
      <c r="HQ6" s="1405"/>
      <c r="HR6" s="1405"/>
      <c r="HS6" s="1405"/>
      <c r="HT6" s="1405"/>
      <c r="HU6" s="1405"/>
      <c r="HV6" s="1405"/>
      <c r="HW6" s="1405"/>
      <c r="HX6" s="1405"/>
      <c r="HY6" s="1405"/>
      <c r="HZ6" s="1405"/>
      <c r="IA6" s="1405"/>
      <c r="IB6" s="1405"/>
      <c r="IC6" s="1405"/>
      <c r="ID6" s="1405"/>
      <c r="IE6" s="1405"/>
      <c r="IF6" s="1405"/>
      <c r="IG6" s="1405"/>
      <c r="IH6" s="1405"/>
      <c r="II6" s="1405"/>
      <c r="IJ6" s="1405"/>
      <c r="IK6" s="1405"/>
      <c r="IL6" s="1405"/>
      <c r="IM6" s="1405"/>
      <c r="IN6" s="1405"/>
      <c r="IO6" s="1405"/>
      <c r="IP6" s="1405"/>
      <c r="IQ6" s="1405"/>
      <c r="IR6" s="1405"/>
      <c r="IS6" s="1405"/>
      <c r="IT6" s="1405"/>
    </row>
    <row r="7" spans="1:254" ht="21">
      <c r="A7" s="64" t="s">
        <v>132</v>
      </c>
      <c r="B7" s="65"/>
      <c r="C7" s="65"/>
      <c r="D7" s="65"/>
      <c r="E7" s="1412"/>
      <c r="F7" s="65"/>
      <c r="G7" s="125"/>
      <c r="H7" s="65"/>
      <c r="I7" s="1412"/>
      <c r="J7" s="65"/>
      <c r="K7" s="65"/>
      <c r="L7" s="65"/>
      <c r="M7" s="1412"/>
      <c r="N7" s="65"/>
      <c r="O7" s="65"/>
      <c r="P7" s="65"/>
      <c r="Q7" s="1412"/>
      <c r="R7" s="65"/>
      <c r="S7" s="65"/>
      <c r="T7" s="65"/>
      <c r="U7" s="1413"/>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row>
    <row r="8" spans="1:254">
      <c r="A8" s="71"/>
      <c r="B8" s="71"/>
      <c r="C8" s="65"/>
      <c r="D8" s="65"/>
      <c r="E8" s="1412"/>
      <c r="F8" s="65"/>
      <c r="G8" s="65"/>
      <c r="H8" s="65"/>
      <c r="I8" s="1412"/>
      <c r="J8" s="65"/>
      <c r="K8" s="65"/>
      <c r="L8" s="65"/>
      <c r="M8" s="1412"/>
      <c r="N8" s="65"/>
      <c r="O8" s="65"/>
      <c r="P8" s="65"/>
      <c r="Q8" s="1412"/>
      <c r="R8" s="71"/>
      <c r="S8" s="65"/>
      <c r="T8" s="65"/>
      <c r="U8" s="65"/>
    </row>
    <row r="9" spans="1:254" ht="18">
      <c r="A9" s="2394" t="s">
        <v>1323</v>
      </c>
      <c r="B9" s="71"/>
      <c r="C9" s="65"/>
      <c r="D9" s="65"/>
      <c r="E9" s="1412"/>
      <c r="F9" s="65"/>
      <c r="G9" s="65"/>
      <c r="H9" s="65"/>
      <c r="I9" s="1412"/>
      <c r="J9" s="65"/>
      <c r="K9" s="65"/>
      <c r="L9" s="65"/>
      <c r="M9" s="1412"/>
      <c r="N9" s="65"/>
      <c r="O9" s="65"/>
      <c r="P9" s="65"/>
      <c r="Q9" s="1412"/>
      <c r="R9" s="71"/>
      <c r="S9" s="65"/>
      <c r="T9" s="65"/>
      <c r="U9" s="65"/>
    </row>
    <row r="10" spans="1:254" ht="24.75" customHeight="1">
      <c r="A10" s="1414"/>
      <c r="B10" s="71"/>
      <c r="C10" s="65"/>
      <c r="D10" s="65"/>
      <c r="E10" s="1412"/>
      <c r="F10" s="65"/>
      <c r="G10" s="65"/>
      <c r="H10" s="65"/>
      <c r="I10" s="1412"/>
      <c r="J10" s="65"/>
      <c r="K10" s="65"/>
      <c r="L10" s="65"/>
      <c r="M10" s="1412"/>
      <c r="N10" s="65"/>
      <c r="O10" s="65"/>
      <c r="P10" s="65"/>
      <c r="Q10" s="1412"/>
      <c r="R10" s="71"/>
      <c r="S10" s="65"/>
      <c r="T10" s="65"/>
      <c r="U10" s="65"/>
    </row>
    <row r="11" spans="1:254" ht="24.75" customHeight="1">
      <c r="A11" s="1414"/>
      <c r="B11" s="71"/>
      <c r="C11" s="65"/>
      <c r="D11" s="65"/>
      <c r="E11" s="1412"/>
      <c r="F11" s="65"/>
      <c r="G11" s="65"/>
      <c r="H11" s="65"/>
      <c r="I11" s="1412"/>
      <c r="J11" s="65"/>
      <c r="K11" s="65"/>
      <c r="L11" s="65"/>
      <c r="M11" s="1412"/>
      <c r="N11" s="65"/>
      <c r="O11" s="65"/>
      <c r="P11" s="65"/>
      <c r="Q11" s="1412"/>
      <c r="R11" s="71"/>
      <c r="S11" s="65"/>
      <c r="T11" s="65"/>
      <c r="U11" s="65"/>
    </row>
    <row r="12" spans="1:254" ht="24.75" customHeight="1">
      <c r="A12" s="1414"/>
      <c r="B12" s="71"/>
      <c r="C12" s="65"/>
      <c r="D12" s="65"/>
      <c r="E12" s="1412"/>
      <c r="F12" s="65"/>
      <c r="G12" s="65"/>
      <c r="H12" s="65"/>
      <c r="I12" s="1412"/>
      <c r="J12" s="65"/>
      <c r="K12" s="65"/>
      <c r="L12" s="65"/>
      <c r="M12" s="1412"/>
      <c r="N12" s="65"/>
      <c r="O12" s="65"/>
      <c r="P12" s="65"/>
      <c r="Q12" s="1412"/>
      <c r="R12" s="71"/>
      <c r="S12" s="65"/>
      <c r="T12" s="65"/>
      <c r="U12" s="65"/>
    </row>
    <row r="13" spans="1:254" s="1419" customFormat="1" ht="21">
      <c r="A13" s="1415"/>
      <c r="B13" s="1415"/>
      <c r="C13" s="1416" t="s">
        <v>40</v>
      </c>
      <c r="D13" s="70"/>
      <c r="E13" s="1417"/>
      <c r="F13" s="70"/>
      <c r="G13" s="70" t="s">
        <v>41</v>
      </c>
      <c r="H13" s="70"/>
      <c r="I13" s="1417"/>
      <c r="J13" s="70"/>
      <c r="K13" s="70" t="s">
        <v>42</v>
      </c>
      <c r="L13" s="70"/>
      <c r="M13" s="1417"/>
      <c r="N13" s="70"/>
      <c r="O13" s="70" t="s">
        <v>43</v>
      </c>
      <c r="P13" s="70"/>
      <c r="Q13" s="1417"/>
      <c r="R13" s="1415"/>
      <c r="S13" s="1418" t="s">
        <v>1324</v>
      </c>
      <c r="T13" s="1418"/>
      <c r="U13" s="1418"/>
    </row>
    <row r="14" spans="1:254" ht="21" customHeight="1">
      <c r="A14" s="72"/>
      <c r="B14" s="72"/>
      <c r="C14" s="1420"/>
      <c r="D14" s="1420"/>
      <c r="E14" s="1421"/>
      <c r="F14" s="7"/>
      <c r="G14" s="1420"/>
      <c r="H14" s="1420"/>
      <c r="I14" s="1421"/>
      <c r="J14" s="7"/>
      <c r="K14" s="1420"/>
      <c r="L14" s="1420"/>
      <c r="M14" s="1421"/>
      <c r="N14" s="7"/>
      <c r="O14" s="1420"/>
      <c r="P14" s="1420"/>
      <c r="Q14" s="1421"/>
      <c r="R14" s="37"/>
      <c r="S14" s="1420"/>
      <c r="T14" s="1420"/>
      <c r="U14" s="1420"/>
    </row>
    <row r="15" spans="1:254" s="1419" customFormat="1" ht="21" customHeight="1">
      <c r="B15" s="1415"/>
      <c r="C15" s="1422" t="s">
        <v>2587</v>
      </c>
      <c r="D15" s="1423"/>
      <c r="E15" s="1422" t="s">
        <v>1930</v>
      </c>
      <c r="F15" s="1423"/>
      <c r="G15" s="1514" t="str">
        <f>$C$15</f>
        <v xml:space="preserve"> MARCH 31, 2016</v>
      </c>
      <c r="H15" s="1508"/>
      <c r="I15" s="1516" t="str">
        <f>$E$15</f>
        <v xml:space="preserve"> MARCH 31, 2015</v>
      </c>
      <c r="J15" s="1515"/>
      <c r="K15" s="1514" t="str">
        <f>$C$15</f>
        <v xml:space="preserve"> MARCH 31, 2016</v>
      </c>
      <c r="L15" s="1508"/>
      <c r="M15" s="1516" t="str">
        <f>$E$15</f>
        <v xml:space="preserve"> MARCH 31, 2015</v>
      </c>
      <c r="N15" s="1508"/>
      <c r="O15" s="1514" t="str">
        <f>$C$15</f>
        <v xml:space="preserve"> MARCH 31, 2016</v>
      </c>
      <c r="P15" s="1508"/>
      <c r="Q15" s="1516" t="str">
        <f>$E$15</f>
        <v xml:space="preserve"> MARCH 31, 2015</v>
      </c>
      <c r="R15" s="1510"/>
      <c r="S15" s="1514" t="str">
        <f>$C$15</f>
        <v xml:space="preserve"> MARCH 31, 2016</v>
      </c>
      <c r="T15" s="1508"/>
      <c r="U15" s="1514" t="str">
        <f>$E$15</f>
        <v xml:space="preserve"> MARCH 31, 2015</v>
      </c>
      <c r="V15" s="1415"/>
      <c r="W15" s="1415"/>
      <c r="X15" s="1415"/>
    </row>
    <row r="16" spans="1:254" ht="7.5" customHeight="1">
      <c r="B16" s="72"/>
      <c r="C16" s="81"/>
      <c r="D16" s="77"/>
      <c r="E16" s="81"/>
      <c r="F16" s="77"/>
      <c r="G16" s="81"/>
      <c r="H16" s="77"/>
      <c r="I16" s="1424"/>
      <c r="J16" s="77"/>
      <c r="K16" s="81"/>
      <c r="L16" s="77"/>
      <c r="M16" s="1424"/>
      <c r="N16" s="77"/>
      <c r="O16" s="81"/>
      <c r="P16" s="77"/>
      <c r="Q16" s="1424"/>
      <c r="R16" s="72"/>
      <c r="S16" s="82"/>
      <c r="T16" s="72"/>
      <c r="U16" s="82"/>
      <c r="V16" s="71"/>
      <c r="W16" s="71"/>
      <c r="X16" s="71"/>
    </row>
    <row r="17" spans="1:24" ht="23.25" customHeight="1">
      <c r="B17" s="72"/>
      <c r="C17" s="84"/>
      <c r="D17" s="77"/>
      <c r="E17" s="84"/>
      <c r="F17" s="77"/>
      <c r="G17" s="84"/>
      <c r="H17" s="77"/>
      <c r="I17" s="1425"/>
      <c r="J17" s="77"/>
      <c r="K17" s="84"/>
      <c r="L17" s="77"/>
      <c r="M17" s="1425"/>
      <c r="N17" s="77"/>
      <c r="O17" s="84"/>
      <c r="P17" s="77"/>
      <c r="Q17" s="1425"/>
      <c r="R17" s="72"/>
      <c r="S17" s="83"/>
      <c r="T17" s="72"/>
      <c r="U17" s="83"/>
      <c r="V17" s="71"/>
      <c r="W17" s="71"/>
      <c r="X17" s="71"/>
    </row>
    <row r="18" spans="1:24" s="1427" customFormat="1" ht="25" customHeight="1">
      <c r="A18" s="64" t="s">
        <v>1325</v>
      </c>
      <c r="B18" s="64"/>
      <c r="C18" s="1426"/>
      <c r="E18" s="1426"/>
      <c r="F18" s="1428"/>
      <c r="G18" s="1429"/>
      <c r="H18" s="1428"/>
      <c r="I18" s="1430"/>
      <c r="J18" s="1428"/>
      <c r="K18" s="1429"/>
      <c r="L18" s="1428"/>
      <c r="M18" s="1430"/>
      <c r="N18" s="1428"/>
      <c r="O18" s="1431"/>
      <c r="P18" s="1428"/>
      <c r="Q18" s="1432"/>
      <c r="R18" s="1433"/>
      <c r="S18" s="1434"/>
      <c r="T18" s="1433"/>
      <c r="U18" s="1434"/>
      <c r="V18" s="1435"/>
      <c r="W18" s="1436"/>
      <c r="X18" s="1436"/>
    </row>
    <row r="19" spans="1:24" s="1419" customFormat="1" ht="25" customHeight="1">
      <c r="A19" s="1437" t="s">
        <v>1326</v>
      </c>
      <c r="B19" s="1415" t="s">
        <v>6</v>
      </c>
      <c r="C19" s="1438">
        <v>527477</v>
      </c>
      <c r="D19" s="1439"/>
      <c r="E19" s="1438">
        <v>651894</v>
      </c>
      <c r="F19" s="1440"/>
      <c r="G19" s="1438">
        <v>11389</v>
      </c>
      <c r="H19" s="1440"/>
      <c r="I19" s="1438">
        <v>11966</v>
      </c>
      <c r="J19" s="1440"/>
      <c r="K19" s="1441">
        <v>0</v>
      </c>
      <c r="L19" s="1440"/>
      <c r="M19" s="1441">
        <v>0</v>
      </c>
      <c r="N19" s="1440"/>
      <c r="O19" s="1438">
        <v>0</v>
      </c>
      <c r="P19" s="1440"/>
      <c r="Q19" s="1438">
        <v>0</v>
      </c>
      <c r="R19" s="1440"/>
      <c r="S19" s="1442">
        <f>ROUND((SUM(C19)+SUM(G19)+SUM(K19)+SUM(O19)),0)</f>
        <v>538866</v>
      </c>
      <c r="T19" s="1440"/>
      <c r="U19" s="1442">
        <f>ROUND((SUM(E19)+SUM(I19)+SUM(M19)+SUM(Q19)),0)</f>
        <v>663860</v>
      </c>
      <c r="V19" s="1443"/>
      <c r="W19" s="1415"/>
      <c r="X19" s="1444"/>
    </row>
    <row r="20" spans="1:24" s="1419" customFormat="1" ht="25" customHeight="1">
      <c r="A20" s="1437" t="s">
        <v>1327</v>
      </c>
      <c r="B20" s="1415" t="s">
        <v>6</v>
      </c>
      <c r="C20" s="1445">
        <v>79695</v>
      </c>
      <c r="D20" s="1446"/>
      <c r="E20" s="1445">
        <v>80411</v>
      </c>
      <c r="F20" s="1446"/>
      <c r="G20" s="1445">
        <v>0</v>
      </c>
      <c r="H20" s="1446"/>
      <c r="I20" s="1445">
        <v>0</v>
      </c>
      <c r="J20" s="1446"/>
      <c r="K20" s="1447">
        <v>0</v>
      </c>
      <c r="L20" s="1446"/>
      <c r="M20" s="1447">
        <v>0</v>
      </c>
      <c r="N20" s="1446"/>
      <c r="O20" s="1445">
        <v>23000</v>
      </c>
      <c r="P20" s="1446"/>
      <c r="Q20" s="1445">
        <v>23000</v>
      </c>
      <c r="R20" s="1443"/>
      <c r="S20" s="1443">
        <f>ROUND((SUM(C20)+SUM(G20)+SUM(K20)+SUM(O20)),0)</f>
        <v>102695</v>
      </c>
      <c r="T20" s="1443"/>
      <c r="U20" s="1443">
        <f>ROUND((SUM(E20)+SUM(I20)+SUM(M20)+SUM(Q20)),0)</f>
        <v>103411</v>
      </c>
      <c r="V20" s="1443"/>
      <c r="W20" s="1415"/>
      <c r="X20" s="1444"/>
    </row>
    <row r="21" spans="1:24" s="1427" customFormat="1" ht="25" customHeight="1">
      <c r="A21" s="64" t="s">
        <v>1328</v>
      </c>
      <c r="B21" s="1436" t="s">
        <v>6</v>
      </c>
      <c r="C21" s="1468">
        <f>ROUND(SUM(C19:C20),0)</f>
        <v>607172</v>
      </c>
      <c r="D21" s="1469"/>
      <c r="E21" s="1468">
        <f>ROUND(SUM(E19:E20),0)</f>
        <v>732305</v>
      </c>
      <c r="F21" s="1469"/>
      <c r="G21" s="1468">
        <f>ROUND(SUM(G19:G20),0)</f>
        <v>11389</v>
      </c>
      <c r="H21" s="1469"/>
      <c r="I21" s="1468">
        <f>ROUND(SUM(I19:I20),0)</f>
        <v>11966</v>
      </c>
      <c r="J21" s="1469"/>
      <c r="K21" s="1468">
        <f>ROUND(SUM(K19:K20),0)</f>
        <v>0</v>
      </c>
      <c r="L21" s="1469"/>
      <c r="M21" s="1468">
        <f>ROUND(SUM(M19:M20),0)</f>
        <v>0</v>
      </c>
      <c r="N21" s="1469"/>
      <c r="O21" s="1468">
        <f>ROUND(SUM(O19:O20),0)</f>
        <v>23000</v>
      </c>
      <c r="P21" s="1470"/>
      <c r="Q21" s="1468">
        <f>ROUND(SUM(Q19:Q20),0)</f>
        <v>23000</v>
      </c>
      <c r="R21" s="1471"/>
      <c r="S21" s="1468">
        <f>ROUND(SUM(S19:S20),0)</f>
        <v>641561</v>
      </c>
      <c r="T21" s="1471"/>
      <c r="U21" s="1468">
        <f>ROUND(SUM(U19:U20),0)</f>
        <v>767271</v>
      </c>
      <c r="V21" s="1448"/>
      <c r="W21" s="1436"/>
      <c r="X21" s="1449"/>
    </row>
    <row r="22" spans="1:24" s="1451" customFormat="1" ht="21.75" customHeight="1">
      <c r="A22" s="1450"/>
      <c r="B22" s="1414"/>
      <c r="C22" s="1472"/>
      <c r="D22" s="1473"/>
      <c r="E22" s="1472"/>
      <c r="F22" s="1473"/>
      <c r="G22" s="1474"/>
      <c r="H22" s="1473"/>
      <c r="I22" s="1474"/>
      <c r="J22" s="1473"/>
      <c r="K22" s="1474"/>
      <c r="L22" s="1473"/>
      <c r="M22" s="1474"/>
      <c r="N22" s="1473"/>
      <c r="O22" s="1474"/>
      <c r="P22" s="1473"/>
      <c r="Q22" s="1474"/>
      <c r="R22" s="1475"/>
      <c r="S22" s="1476"/>
      <c r="T22" s="1475"/>
      <c r="U22" s="1477"/>
      <c r="V22" s="1038"/>
      <c r="W22" s="1414"/>
      <c r="X22" s="1414"/>
    </row>
    <row r="23" spans="1:24" s="1451" customFormat="1" ht="21.75" customHeight="1">
      <c r="A23" s="1450"/>
      <c r="B23" s="1414"/>
      <c r="C23" s="1472"/>
      <c r="D23" s="1473"/>
      <c r="E23" s="1472"/>
      <c r="F23" s="1473"/>
      <c r="G23" s="1472"/>
      <c r="H23" s="1472"/>
      <c r="I23" s="1472"/>
      <c r="J23" s="1472"/>
      <c r="K23" s="1472"/>
      <c r="L23" s="1472"/>
      <c r="M23" s="1472"/>
      <c r="N23" s="1472"/>
      <c r="O23" s="1472"/>
      <c r="P23" s="1472"/>
      <c r="Q23" s="1472"/>
      <c r="R23" s="1476"/>
      <c r="S23" s="1476"/>
      <c r="T23" s="1476"/>
      <c r="U23" s="1476"/>
      <c r="V23" s="1038"/>
      <c r="W23" s="1414"/>
      <c r="X23" s="1414"/>
    </row>
    <row r="24" spans="1:24" s="1451" customFormat="1" ht="12.75" customHeight="1">
      <c r="A24" s="1450"/>
      <c r="B24" s="1414"/>
      <c r="C24" s="1472"/>
      <c r="D24" s="1473"/>
      <c r="E24" s="1472"/>
      <c r="F24" s="1473"/>
      <c r="G24" s="1472"/>
      <c r="H24" s="1472"/>
      <c r="I24" s="1472"/>
      <c r="J24" s="1472"/>
      <c r="K24" s="1472"/>
      <c r="L24" s="1472"/>
      <c r="M24" s="1472"/>
      <c r="N24" s="1472"/>
      <c r="O24" s="1472"/>
      <c r="P24" s="1472"/>
      <c r="Q24" s="1472"/>
      <c r="R24" s="1476"/>
      <c r="S24" s="1476"/>
      <c r="T24" s="1476"/>
      <c r="U24" s="1476"/>
      <c r="V24" s="1038"/>
      <c r="W24" s="1414"/>
      <c r="X24" s="1414"/>
    </row>
    <row r="25" spans="1:24" s="1427" customFormat="1" ht="25" customHeight="1">
      <c r="A25" s="64" t="s">
        <v>1329</v>
      </c>
      <c r="B25" s="1436"/>
      <c r="C25" s="1469"/>
      <c r="D25" s="1469"/>
      <c r="E25" s="1469"/>
      <c r="F25" s="1469"/>
      <c r="G25" s="1469"/>
      <c r="H25" s="1469"/>
      <c r="I25" s="1469"/>
      <c r="J25" s="1469"/>
      <c r="K25" s="1469"/>
      <c r="L25" s="1469"/>
      <c r="M25" s="1469"/>
      <c r="N25" s="1469"/>
      <c r="O25" s="1469"/>
      <c r="P25" s="1469"/>
      <c r="Q25" s="1469"/>
      <c r="R25" s="1478"/>
      <c r="S25" s="1478"/>
      <c r="T25" s="1478"/>
      <c r="U25" s="1478"/>
      <c r="V25" s="1448"/>
      <c r="W25" s="1436"/>
      <c r="X25" s="1436"/>
    </row>
    <row r="26" spans="1:24" s="1419" customFormat="1" ht="25" customHeight="1">
      <c r="A26" s="1415" t="s">
        <v>1330</v>
      </c>
      <c r="B26" s="1415" t="s">
        <v>6</v>
      </c>
      <c r="C26" s="1479">
        <v>250000</v>
      </c>
      <c r="D26" s="1480"/>
      <c r="E26" s="1479">
        <v>1000024</v>
      </c>
      <c r="F26" s="1480"/>
      <c r="G26" s="1479">
        <v>780333</v>
      </c>
      <c r="H26" s="1480"/>
      <c r="I26" s="1479">
        <v>800934</v>
      </c>
      <c r="J26" s="1480"/>
      <c r="K26" s="1481">
        <v>0</v>
      </c>
      <c r="L26" s="1480"/>
      <c r="M26" s="1481">
        <v>0</v>
      </c>
      <c r="N26" s="1480"/>
      <c r="O26" s="1479">
        <v>100045</v>
      </c>
      <c r="P26" s="1480"/>
      <c r="Q26" s="1479">
        <v>94460</v>
      </c>
      <c r="R26" s="1482"/>
      <c r="S26" s="1443">
        <f>ROUND((SUM(C26)+SUM(G26)+SUM(K26)+SUM(O26)),0)</f>
        <v>1130378</v>
      </c>
      <c r="T26" s="1482"/>
      <c r="U26" s="1482">
        <f>ROUND((SUM(E26)+SUM(I26)+SUM(M26)+SUM(Q26)),0)</f>
        <v>1895418</v>
      </c>
      <c r="V26" s="1443"/>
      <c r="W26" s="1415"/>
      <c r="X26" s="1415"/>
    </row>
    <row r="27" spans="1:24" s="1419" customFormat="1" ht="25" customHeight="1">
      <c r="A27" s="1415" t="s">
        <v>1331</v>
      </c>
      <c r="B27" s="1415" t="s">
        <v>6</v>
      </c>
      <c r="C27" s="1479">
        <v>85977</v>
      </c>
      <c r="D27" s="1480"/>
      <c r="E27" s="1479">
        <v>96770</v>
      </c>
      <c r="F27" s="1480"/>
      <c r="G27" s="1479">
        <v>5240677</v>
      </c>
      <c r="H27" s="1480"/>
      <c r="I27" s="1479">
        <v>4992906</v>
      </c>
      <c r="J27" s="1480"/>
      <c r="K27" s="1481">
        <v>0</v>
      </c>
      <c r="L27" s="1480"/>
      <c r="M27" s="1481">
        <v>444</v>
      </c>
      <c r="N27" s="1480"/>
      <c r="O27" s="1479">
        <v>0</v>
      </c>
      <c r="P27" s="1480"/>
      <c r="Q27" s="1479">
        <v>0</v>
      </c>
      <c r="R27" s="1482"/>
      <c r="S27" s="1443">
        <f t="shared" ref="S27:S29" si="0">ROUND((SUM(C27)+SUM(G27)+SUM(K27)+SUM(O27)),0)</f>
        <v>5326654</v>
      </c>
      <c r="T27" s="1482"/>
      <c r="U27" s="1482">
        <f t="shared" ref="U27:U29" si="1">ROUND((SUM(E27)+SUM(I27)+SUM(M27)+SUM(Q27)),0)</f>
        <v>5090120</v>
      </c>
      <c r="V27" s="1443"/>
      <c r="W27" s="1415"/>
      <c r="X27" s="1415"/>
    </row>
    <row r="28" spans="1:24" s="1419" customFormat="1" ht="25" customHeight="1">
      <c r="A28" s="1415" t="s">
        <v>1332</v>
      </c>
      <c r="B28" s="1415" t="s">
        <v>6</v>
      </c>
      <c r="C28" s="1479">
        <v>206427</v>
      </c>
      <c r="D28" s="1480"/>
      <c r="E28" s="1479">
        <v>277850</v>
      </c>
      <c r="F28" s="1480"/>
      <c r="G28" s="1479">
        <v>63747</v>
      </c>
      <c r="H28" s="1480"/>
      <c r="I28" s="1479">
        <v>89808</v>
      </c>
      <c r="J28" s="1480"/>
      <c r="K28" s="1481">
        <v>0</v>
      </c>
      <c r="L28" s="1480"/>
      <c r="M28" s="1481">
        <v>0</v>
      </c>
      <c r="N28" s="1480"/>
      <c r="O28" s="1479">
        <v>0</v>
      </c>
      <c r="P28" s="1480"/>
      <c r="Q28" s="1479">
        <v>0</v>
      </c>
      <c r="R28" s="1482"/>
      <c r="S28" s="1443">
        <f t="shared" si="0"/>
        <v>270174</v>
      </c>
      <c r="T28" s="1482"/>
      <c r="U28" s="1482">
        <f t="shared" si="1"/>
        <v>367658</v>
      </c>
      <c r="V28" s="1443"/>
      <c r="W28" s="1415"/>
      <c r="X28" s="1415"/>
    </row>
    <row r="29" spans="1:24" s="1419" customFormat="1" ht="25" customHeight="1">
      <c r="A29" s="1415" t="s">
        <v>1333</v>
      </c>
      <c r="B29" s="1415" t="s">
        <v>6</v>
      </c>
      <c r="C29" s="1479">
        <v>717</v>
      </c>
      <c r="D29" s="1480"/>
      <c r="E29" s="1479">
        <v>469</v>
      </c>
      <c r="F29" s="1480"/>
      <c r="G29" s="1479">
        <v>220057</v>
      </c>
      <c r="H29" s="1480"/>
      <c r="I29" s="1479">
        <v>207004</v>
      </c>
      <c r="J29" s="1480"/>
      <c r="K29" s="1481">
        <v>0</v>
      </c>
      <c r="L29" s="1480"/>
      <c r="M29" s="1481">
        <v>0</v>
      </c>
      <c r="N29" s="1480"/>
      <c r="O29" s="1479">
        <v>0</v>
      </c>
      <c r="P29" s="1480"/>
      <c r="Q29" s="1479">
        <v>0</v>
      </c>
      <c r="R29" s="1482"/>
      <c r="S29" s="1443">
        <f t="shared" si="0"/>
        <v>220774</v>
      </c>
      <c r="T29" s="1482"/>
      <c r="U29" s="1482">
        <f t="shared" si="1"/>
        <v>207473</v>
      </c>
      <c r="V29" s="1443"/>
      <c r="W29" s="1415"/>
      <c r="X29" s="1415"/>
    </row>
    <row r="30" spans="1:24" s="1427" customFormat="1" ht="25" customHeight="1">
      <c r="A30" s="64" t="s">
        <v>1334</v>
      </c>
      <c r="B30" s="64" t="s">
        <v>6</v>
      </c>
      <c r="C30" s="1468">
        <f>ROUND(SUM(C26:C29),0)</f>
        <v>543121</v>
      </c>
      <c r="D30" s="1470"/>
      <c r="E30" s="1468">
        <f>ROUND(SUM(E26:E29),0)</f>
        <v>1375113</v>
      </c>
      <c r="F30" s="1470"/>
      <c r="G30" s="1468">
        <f>ROUND(SUM(G26:G29),0)</f>
        <v>6304814</v>
      </c>
      <c r="H30" s="1470"/>
      <c r="I30" s="1468">
        <f>ROUND(SUM(I26:I29),0)</f>
        <v>6090652</v>
      </c>
      <c r="J30" s="1470"/>
      <c r="K30" s="1468">
        <f>ROUND(SUM(K26:K29),0)</f>
        <v>0</v>
      </c>
      <c r="L30" s="1469"/>
      <c r="M30" s="1468">
        <f>ROUND(SUM(M26:M29),0)</f>
        <v>444</v>
      </c>
      <c r="N30" s="1470"/>
      <c r="O30" s="1468">
        <f>ROUND(SUM(O26:O29),0)</f>
        <v>100045</v>
      </c>
      <c r="P30" s="1470"/>
      <c r="Q30" s="1468">
        <f>ROUND(SUM(Q26:Q29),0)</f>
        <v>94460</v>
      </c>
      <c r="R30" s="1471"/>
      <c r="S30" s="1468">
        <f>ROUND(SUM(S26:S29),0)</f>
        <v>6947980</v>
      </c>
      <c r="T30" s="1471"/>
      <c r="U30" s="1468">
        <f>ROUND(SUM(U26:U29),0)</f>
        <v>7560669</v>
      </c>
      <c r="V30" s="1448"/>
      <c r="W30" s="1436"/>
      <c r="X30" s="1436"/>
    </row>
    <row r="31" spans="1:24" s="1451" customFormat="1" ht="21.75" customHeight="1">
      <c r="A31" s="1450"/>
      <c r="B31" s="1414"/>
      <c r="C31" s="1472"/>
      <c r="D31" s="1473"/>
      <c r="E31" s="1472"/>
      <c r="F31" s="1473"/>
      <c r="G31" s="1474"/>
      <c r="H31" s="1473"/>
      <c r="I31" s="1474"/>
      <c r="J31" s="1473"/>
      <c r="K31" s="1474"/>
      <c r="L31" s="1473"/>
      <c r="M31" s="1474"/>
      <c r="N31" s="1473"/>
      <c r="O31" s="1474"/>
      <c r="P31" s="1473"/>
      <c r="Q31" s="1474"/>
      <c r="R31" s="1475"/>
      <c r="S31" s="1476"/>
      <c r="T31" s="1475"/>
      <c r="U31" s="1477"/>
      <c r="V31" s="1038"/>
      <c r="W31" s="1414"/>
      <c r="X31" s="1414"/>
    </row>
    <row r="32" spans="1:24" s="1451" customFormat="1" ht="21.75" customHeight="1">
      <c r="A32" s="1450"/>
      <c r="B32" s="1414"/>
      <c r="C32" s="1472"/>
      <c r="D32" s="1473"/>
      <c r="E32" s="1472"/>
      <c r="F32" s="1472"/>
      <c r="G32" s="1472"/>
      <c r="H32" s="1472"/>
      <c r="I32" s="1472"/>
      <c r="J32" s="1472"/>
      <c r="K32" s="1472"/>
      <c r="L32" s="1472"/>
      <c r="M32" s="1472"/>
      <c r="N32" s="1472"/>
      <c r="O32" s="1472"/>
      <c r="P32" s="1472"/>
      <c r="Q32" s="1472"/>
      <c r="R32" s="1476"/>
      <c r="S32" s="1476"/>
      <c r="T32" s="1476"/>
      <c r="U32" s="1476"/>
      <c r="V32" s="1038"/>
      <c r="W32" s="1414"/>
      <c r="X32" s="1414"/>
    </row>
    <row r="33" spans="1:24" s="1451" customFormat="1" ht="12.75" customHeight="1">
      <c r="A33" s="1450"/>
      <c r="B33" s="1414"/>
      <c r="C33" s="1472"/>
      <c r="D33" s="1473"/>
      <c r="E33" s="1472"/>
      <c r="F33" s="1472"/>
      <c r="G33" s="1472"/>
      <c r="H33" s="1472"/>
      <c r="I33" s="1472"/>
      <c r="J33" s="1472"/>
      <c r="K33" s="1472"/>
      <c r="L33" s="1472"/>
      <c r="M33" s="1472"/>
      <c r="N33" s="1472"/>
      <c r="O33" s="1472"/>
      <c r="P33" s="1472"/>
      <c r="Q33" s="1472"/>
      <c r="R33" s="1476"/>
      <c r="S33" s="1476"/>
      <c r="T33" s="1476"/>
      <c r="U33" s="1476"/>
      <c r="V33" s="1038"/>
      <c r="W33" s="1414"/>
      <c r="X33" s="1414"/>
    </row>
    <row r="34" spans="1:24" s="1427" customFormat="1" ht="25" customHeight="1">
      <c r="A34" s="64" t="s">
        <v>1335</v>
      </c>
      <c r="B34" s="1436"/>
      <c r="C34" s="1469"/>
      <c r="D34" s="1469"/>
      <c r="E34" s="1469"/>
      <c r="F34" s="1469"/>
      <c r="G34" s="1469"/>
      <c r="H34" s="1469"/>
      <c r="I34" s="1469"/>
      <c r="J34" s="1469"/>
      <c r="K34" s="1469"/>
      <c r="L34" s="1469"/>
      <c r="M34" s="1469"/>
      <c r="N34" s="1469"/>
      <c r="O34" s="1469"/>
      <c r="P34" s="1469"/>
      <c r="Q34" s="1469"/>
      <c r="R34" s="1478"/>
      <c r="S34" s="1478"/>
      <c r="T34" s="1478"/>
      <c r="U34" s="1478"/>
      <c r="V34" s="1448"/>
      <c r="W34" s="1436"/>
      <c r="X34" s="1436"/>
    </row>
    <row r="35" spans="1:24" s="1454" customFormat="1" ht="25" customHeight="1">
      <c r="A35" s="1452" t="s">
        <v>1336</v>
      </c>
      <c r="B35" s="1452" t="s">
        <v>6</v>
      </c>
      <c r="C35" s="1479">
        <v>65911</v>
      </c>
      <c r="D35" s="1484"/>
      <c r="E35" s="1479">
        <v>61173</v>
      </c>
      <c r="F35" s="1484"/>
      <c r="G35" s="1479">
        <v>0</v>
      </c>
      <c r="H35" s="1484"/>
      <c r="I35" s="1479">
        <v>0</v>
      </c>
      <c r="J35" s="1484"/>
      <c r="K35" s="1485">
        <v>0</v>
      </c>
      <c r="L35" s="1484"/>
      <c r="M35" s="1485">
        <v>0</v>
      </c>
      <c r="N35" s="1484"/>
      <c r="O35" s="1479">
        <v>0</v>
      </c>
      <c r="P35" s="1484"/>
      <c r="Q35" s="1479">
        <v>0</v>
      </c>
      <c r="R35" s="1486"/>
      <c r="S35" s="1486">
        <f>ROUND((SUM(C35)+SUM(G35)+SUM(K35)+SUM(O35)),0)</f>
        <v>65911</v>
      </c>
      <c r="T35" s="1486"/>
      <c r="U35" s="1486">
        <f>ROUND((SUM(E35)+SUM(I35)+SUM(M35)+SUM(Q35)),0)</f>
        <v>61173</v>
      </c>
      <c r="V35" s="1453"/>
      <c r="W35" s="1452"/>
      <c r="X35" s="1452"/>
    </row>
    <row r="36" spans="1:24" s="1454" customFormat="1" ht="25" customHeight="1">
      <c r="A36" s="1452" t="s">
        <v>2630</v>
      </c>
      <c r="B36" s="1452" t="s">
        <v>6</v>
      </c>
      <c r="C36" s="1479">
        <v>0</v>
      </c>
      <c r="D36" s="1484"/>
      <c r="E36" s="1479">
        <v>0</v>
      </c>
      <c r="F36" s="1484"/>
      <c r="G36" s="1479">
        <v>2105</v>
      </c>
      <c r="H36" s="1484"/>
      <c r="I36" s="1479">
        <v>0</v>
      </c>
      <c r="J36" s="1484"/>
      <c r="K36" s="1485">
        <v>0</v>
      </c>
      <c r="L36" s="1484"/>
      <c r="M36" s="1485">
        <v>0</v>
      </c>
      <c r="N36" s="1484"/>
      <c r="O36" s="1479">
        <v>0</v>
      </c>
      <c r="P36" s="1484"/>
      <c r="Q36" s="1479">
        <v>0</v>
      </c>
      <c r="R36" s="1486"/>
      <c r="S36" s="1486">
        <f>ROUND((SUM(C36)+SUM(G36)+SUM(K36)+SUM(O36)),0)</f>
        <v>2105</v>
      </c>
      <c r="T36" s="1486"/>
      <c r="U36" s="1486">
        <f>ROUND((SUM(E36)+SUM(I36)+SUM(M36)+SUM(Q36)),0)</f>
        <v>0</v>
      </c>
      <c r="V36" s="1453"/>
      <c r="W36" s="1452"/>
      <c r="X36" s="1452"/>
    </row>
    <row r="37" spans="1:24" s="1454" customFormat="1" ht="25" customHeight="1">
      <c r="A37" s="1452" t="s">
        <v>1337</v>
      </c>
      <c r="B37" s="1452" t="s">
        <v>6</v>
      </c>
      <c r="C37" s="1479">
        <v>186224</v>
      </c>
      <c r="D37" s="1484"/>
      <c r="E37" s="1479">
        <v>184811</v>
      </c>
      <c r="F37" s="1484"/>
      <c r="G37" s="1479">
        <v>1279925</v>
      </c>
      <c r="H37" s="1484"/>
      <c r="I37" s="1479">
        <v>1145090</v>
      </c>
      <c r="J37" s="1484"/>
      <c r="K37" s="1481">
        <v>7</v>
      </c>
      <c r="L37" s="1484"/>
      <c r="M37" s="1481">
        <v>5</v>
      </c>
      <c r="N37" s="1484"/>
      <c r="O37" s="1479">
        <v>33256</v>
      </c>
      <c r="P37" s="1484"/>
      <c r="Q37" s="1479">
        <v>54166</v>
      </c>
      <c r="R37" s="1486"/>
      <c r="S37" s="1486">
        <f t="shared" ref="S37:S41" si="2">ROUND((SUM(C37)+SUM(G37)+SUM(K37)+SUM(O37)),0)</f>
        <v>1499412</v>
      </c>
      <c r="T37" s="1486"/>
      <c r="U37" s="1486">
        <f t="shared" ref="U37:U41" si="3">ROUND((SUM(E37)+SUM(I37)+SUM(M37)+SUM(Q37)),0)</f>
        <v>1384072</v>
      </c>
      <c r="V37" s="1453"/>
      <c r="W37" s="1452"/>
      <c r="X37" s="1452"/>
    </row>
    <row r="38" spans="1:24" s="1454" customFormat="1" ht="25" customHeight="1">
      <c r="A38" s="1455" t="s">
        <v>1338</v>
      </c>
      <c r="B38" s="1452" t="s">
        <v>6</v>
      </c>
      <c r="C38" s="1479">
        <v>222050</v>
      </c>
      <c r="D38" s="1484"/>
      <c r="E38" s="1479">
        <v>215121</v>
      </c>
      <c r="F38" s="1484"/>
      <c r="G38" s="1479">
        <v>54284</v>
      </c>
      <c r="H38" s="1484"/>
      <c r="I38" s="1479">
        <v>51075</v>
      </c>
      <c r="J38" s="1484"/>
      <c r="K38" s="1481">
        <v>0</v>
      </c>
      <c r="L38" s="1484"/>
      <c r="M38" s="1481">
        <v>0</v>
      </c>
      <c r="N38" s="1484"/>
      <c r="O38" s="1479">
        <v>0</v>
      </c>
      <c r="P38" s="1484"/>
      <c r="Q38" s="1479">
        <v>-3</v>
      </c>
      <c r="R38" s="1486"/>
      <c r="S38" s="1486">
        <f t="shared" si="2"/>
        <v>276334</v>
      </c>
      <c r="T38" s="1486"/>
      <c r="U38" s="1486">
        <f t="shared" si="3"/>
        <v>266193</v>
      </c>
      <c r="V38" s="1453"/>
      <c r="W38" s="1452"/>
      <c r="X38" s="1452"/>
    </row>
    <row r="39" spans="1:24" s="1454" customFormat="1" ht="25" customHeight="1">
      <c r="A39" s="1452" t="s">
        <v>1339</v>
      </c>
      <c r="B39" s="1452" t="s">
        <v>6</v>
      </c>
      <c r="C39" s="1479">
        <v>553</v>
      </c>
      <c r="D39" s="1484"/>
      <c r="E39" s="1479">
        <v>663</v>
      </c>
      <c r="F39" s="1484"/>
      <c r="G39" s="1479">
        <v>9629</v>
      </c>
      <c r="H39" s="1484"/>
      <c r="I39" s="1479">
        <v>8132</v>
      </c>
      <c r="J39" s="1484"/>
      <c r="K39" s="1481">
        <v>0</v>
      </c>
      <c r="L39" s="1484"/>
      <c r="M39" s="1481">
        <v>0</v>
      </c>
      <c r="N39" s="1484"/>
      <c r="O39" s="1479">
        <v>0</v>
      </c>
      <c r="P39" s="1484"/>
      <c r="Q39" s="1479">
        <v>0</v>
      </c>
      <c r="R39" s="1486"/>
      <c r="S39" s="1486">
        <f t="shared" si="2"/>
        <v>10182</v>
      </c>
      <c r="T39" s="1486"/>
      <c r="U39" s="1486">
        <f t="shared" si="3"/>
        <v>8795</v>
      </c>
      <c r="V39" s="1453"/>
      <c r="W39" s="1452"/>
      <c r="X39" s="1452"/>
    </row>
    <row r="40" spans="1:24" s="1454" customFormat="1" ht="25" customHeight="1">
      <c r="A40" s="1452" t="s">
        <v>1340</v>
      </c>
      <c r="B40" s="1452" t="s">
        <v>6</v>
      </c>
      <c r="C40" s="1479">
        <v>193543</v>
      </c>
      <c r="D40" s="1484"/>
      <c r="E40" s="1479">
        <v>191077</v>
      </c>
      <c r="F40" s="1484"/>
      <c r="G40" s="1479">
        <v>481866</v>
      </c>
      <c r="H40" s="1484"/>
      <c r="I40" s="1479">
        <v>464708</v>
      </c>
      <c r="J40" s="1484"/>
      <c r="K40" s="1481">
        <v>0</v>
      </c>
      <c r="L40" s="1484"/>
      <c r="M40" s="1481">
        <v>0</v>
      </c>
      <c r="N40" s="1484"/>
      <c r="O40" s="1479">
        <v>681811</v>
      </c>
      <c r="P40" s="1484"/>
      <c r="Q40" s="1479">
        <v>639259</v>
      </c>
      <c r="R40" s="1486"/>
      <c r="S40" s="1486">
        <f t="shared" si="2"/>
        <v>1357220</v>
      </c>
      <c r="T40" s="1486"/>
      <c r="U40" s="1486">
        <f t="shared" si="3"/>
        <v>1295044</v>
      </c>
      <c r="V40" s="1453"/>
      <c r="W40" s="1452"/>
      <c r="X40" s="1452"/>
    </row>
    <row r="41" spans="1:24" s="1419" customFormat="1" ht="25" customHeight="1">
      <c r="A41" s="1456" t="s">
        <v>1341</v>
      </c>
      <c r="B41" s="1415" t="s">
        <v>6</v>
      </c>
      <c r="C41" s="1479">
        <v>14580</v>
      </c>
      <c r="D41" s="1480"/>
      <c r="E41" s="1479">
        <v>13948</v>
      </c>
      <c r="F41" s="1480"/>
      <c r="G41" s="1479">
        <v>233537</v>
      </c>
      <c r="H41" s="1480"/>
      <c r="I41" s="1479">
        <v>212559</v>
      </c>
      <c r="J41" s="1480"/>
      <c r="K41" s="1481">
        <v>0</v>
      </c>
      <c r="L41" s="1480"/>
      <c r="M41" s="1481">
        <v>0</v>
      </c>
      <c r="N41" s="1480"/>
      <c r="O41" s="1479">
        <v>38144</v>
      </c>
      <c r="P41" s="1480"/>
      <c r="Q41" s="1479">
        <v>25900</v>
      </c>
      <c r="R41" s="1482"/>
      <c r="S41" s="1486">
        <f t="shared" si="2"/>
        <v>286261</v>
      </c>
      <c r="T41" s="1482"/>
      <c r="U41" s="1486">
        <f t="shared" si="3"/>
        <v>252407</v>
      </c>
      <c r="V41" s="1443"/>
      <c r="W41" s="1415"/>
      <c r="X41" s="1415"/>
    </row>
    <row r="42" spans="1:24" s="1427" customFormat="1" ht="24.75" customHeight="1">
      <c r="A42" s="64" t="s">
        <v>1342</v>
      </c>
      <c r="B42" s="64" t="s">
        <v>6</v>
      </c>
      <c r="C42" s="1468">
        <f>ROUND(SUM(C35:C41),0)</f>
        <v>682861</v>
      </c>
      <c r="D42" s="1470"/>
      <c r="E42" s="1468">
        <f>ROUND(SUM(E35:E41),0)</f>
        <v>666793</v>
      </c>
      <c r="F42" s="1470"/>
      <c r="G42" s="1468">
        <f>ROUND(SUM(G35:G41),0)</f>
        <v>2061346</v>
      </c>
      <c r="H42" s="1470"/>
      <c r="I42" s="1468">
        <f>ROUND(SUM(I35:I41),0)</f>
        <v>1881564</v>
      </c>
      <c r="J42" s="1470"/>
      <c r="K42" s="1468">
        <f>ROUND(SUM(K35:K41),0)</f>
        <v>7</v>
      </c>
      <c r="L42" s="1470"/>
      <c r="M42" s="1468">
        <f>ROUND(SUM(M35:M41),0)</f>
        <v>5</v>
      </c>
      <c r="N42" s="1470"/>
      <c r="O42" s="1468">
        <f>ROUND(SUM(O35:O41),0)</f>
        <v>753211</v>
      </c>
      <c r="P42" s="1470"/>
      <c r="Q42" s="1468">
        <f>ROUND(SUM(Q35:Q41),0)</f>
        <v>719322</v>
      </c>
      <c r="R42" s="1471"/>
      <c r="S42" s="1468">
        <f>ROUND(SUM(S35:S41),0)</f>
        <v>3497425</v>
      </c>
      <c r="T42" s="1471"/>
      <c r="U42" s="1468">
        <f>ROUND(SUM(U35:U41),0)</f>
        <v>3267684</v>
      </c>
      <c r="V42" s="1448"/>
      <c r="W42" s="1436"/>
      <c r="X42" s="1436"/>
    </row>
    <row r="43" spans="1:24" s="1451" customFormat="1" ht="21.75" customHeight="1">
      <c r="A43" s="1450"/>
      <c r="B43" s="1414"/>
      <c r="C43" s="1472"/>
      <c r="D43" s="1473"/>
      <c r="E43" s="1472"/>
      <c r="F43" s="1473"/>
      <c r="G43" s="1474"/>
      <c r="H43" s="1473"/>
      <c r="I43" s="1474"/>
      <c r="J43" s="1473"/>
      <c r="K43" s="1474"/>
      <c r="L43" s="1473"/>
      <c r="M43" s="1474"/>
      <c r="N43" s="1473"/>
      <c r="O43" s="1474"/>
      <c r="P43" s="1473"/>
      <c r="Q43" s="1474"/>
      <c r="R43" s="1475"/>
      <c r="S43" s="1476"/>
      <c r="T43" s="1475"/>
      <c r="U43" s="1477"/>
      <c r="V43" s="1038"/>
      <c r="W43" s="1414"/>
      <c r="X43" s="1414"/>
    </row>
    <row r="44" spans="1:24" s="1451" customFormat="1" ht="21.75" customHeight="1">
      <c r="A44" s="1450"/>
      <c r="B44" s="1414"/>
      <c r="C44" s="1472"/>
      <c r="D44" s="1473"/>
      <c r="E44" s="1472"/>
      <c r="F44" s="1473"/>
      <c r="G44" s="1472"/>
      <c r="H44" s="1472"/>
      <c r="I44" s="1472"/>
      <c r="J44" s="1472"/>
      <c r="K44" s="1472"/>
      <c r="L44" s="1472"/>
      <c r="M44" s="1472"/>
      <c r="N44" s="1472"/>
      <c r="O44" s="1472"/>
      <c r="P44" s="1472"/>
      <c r="Q44" s="1472"/>
      <c r="R44" s="1476"/>
      <c r="S44" s="1476"/>
      <c r="T44" s="1476"/>
      <c r="U44" s="1476"/>
      <c r="V44" s="1038"/>
      <c r="W44" s="1414"/>
      <c r="X44" s="1414"/>
    </row>
    <row r="45" spans="1:24" s="1451" customFormat="1" ht="12.75" customHeight="1">
      <c r="A45" s="1450"/>
      <c r="B45" s="1414"/>
      <c r="C45" s="1472"/>
      <c r="D45" s="1473"/>
      <c r="E45" s="1472"/>
      <c r="F45" s="1473"/>
      <c r="G45" s="1472"/>
      <c r="H45" s="1472"/>
      <c r="I45" s="1472"/>
      <c r="J45" s="1472"/>
      <c r="K45" s="1472"/>
      <c r="L45" s="1472"/>
      <c r="M45" s="1472"/>
      <c r="N45" s="1472"/>
      <c r="O45" s="1472"/>
      <c r="P45" s="1472"/>
      <c r="Q45" s="1472"/>
      <c r="R45" s="1476"/>
      <c r="S45" s="1476"/>
      <c r="T45" s="1476"/>
      <c r="U45" s="1476"/>
      <c r="V45" s="1038"/>
      <c r="W45" s="1414"/>
      <c r="X45" s="1414"/>
    </row>
    <row r="46" spans="1:24" s="1427" customFormat="1" ht="25" customHeight="1">
      <c r="A46" s="64" t="s">
        <v>1343</v>
      </c>
      <c r="B46" s="1436" t="s">
        <v>6</v>
      </c>
      <c r="C46" s="2050">
        <v>2374866</v>
      </c>
      <c r="D46" s="1470"/>
      <c r="E46" s="2050">
        <v>4890958</v>
      </c>
      <c r="F46" s="1470"/>
      <c r="G46" s="2051">
        <v>480618</v>
      </c>
      <c r="H46" s="1470"/>
      <c r="I46" s="2051">
        <v>123861</v>
      </c>
      <c r="J46" s="1470"/>
      <c r="K46" s="2052">
        <v>0</v>
      </c>
      <c r="L46" s="1470"/>
      <c r="M46" s="2052">
        <v>0</v>
      </c>
      <c r="N46" s="1470"/>
      <c r="O46" s="2051">
        <v>22204</v>
      </c>
      <c r="P46" s="1470"/>
      <c r="Q46" s="2051">
        <v>20219</v>
      </c>
      <c r="R46" s="1471"/>
      <c r="S46" s="2053">
        <f>ROUND((SUM(C46)+SUM(G46)+SUM(K46)+SUM(O46)),0)</f>
        <v>2877688</v>
      </c>
      <c r="T46" s="1471"/>
      <c r="U46" s="2053">
        <f>ROUND((SUM(E46)+SUM(I46)+SUM(M46)+SUM(Q46)),0)</f>
        <v>5035038</v>
      </c>
      <c r="V46" s="1448"/>
      <c r="W46" s="1436"/>
      <c r="X46" s="1436"/>
    </row>
    <row r="47" spans="1:24" s="1451" customFormat="1" ht="21.75" customHeight="1">
      <c r="A47" s="1450"/>
      <c r="B47" s="1414"/>
      <c r="C47" s="1472"/>
      <c r="D47" s="1473"/>
      <c r="E47" s="1472"/>
      <c r="F47" s="1473"/>
      <c r="G47" s="1474"/>
      <c r="H47" s="1473"/>
      <c r="I47" s="1474"/>
      <c r="J47" s="1473"/>
      <c r="K47" s="1474"/>
      <c r="L47" s="1473"/>
      <c r="M47" s="1474"/>
      <c r="N47" s="1473"/>
      <c r="O47" s="1474"/>
      <c r="P47" s="1473"/>
      <c r="Q47" s="1474"/>
      <c r="R47" s="1475"/>
      <c r="S47" s="1476"/>
      <c r="T47" s="1475"/>
      <c r="U47" s="1477"/>
      <c r="V47" s="1038"/>
      <c r="W47" s="1414"/>
      <c r="X47" s="1414"/>
    </row>
    <row r="48" spans="1:24" s="1451" customFormat="1" ht="21.75" customHeight="1">
      <c r="A48" s="1450"/>
      <c r="B48" s="1414"/>
      <c r="C48" s="1472"/>
      <c r="D48" s="1473"/>
      <c r="E48" s="1472"/>
      <c r="F48" s="1473"/>
      <c r="G48" s="1472"/>
      <c r="H48" s="1472"/>
      <c r="I48" s="1472"/>
      <c r="J48" s="1472"/>
      <c r="K48" s="1472"/>
      <c r="L48" s="1472"/>
      <c r="M48" s="1472"/>
      <c r="N48" s="1472"/>
      <c r="O48" s="1472"/>
      <c r="P48" s="1472"/>
      <c r="Q48" s="1472"/>
      <c r="R48" s="1476"/>
      <c r="S48" s="1476"/>
      <c r="T48" s="1476"/>
      <c r="U48" s="1476"/>
      <c r="V48" s="1038"/>
      <c r="W48" s="1414"/>
      <c r="X48" s="1414"/>
    </row>
    <row r="49" spans="1:254" s="1451" customFormat="1" ht="12.75" customHeight="1">
      <c r="A49" s="1450"/>
      <c r="B49" s="1414"/>
      <c r="C49" s="1472"/>
      <c r="D49" s="1473"/>
      <c r="E49" s="1472"/>
      <c r="F49" s="1473"/>
      <c r="G49" s="1472"/>
      <c r="H49" s="1472"/>
      <c r="I49" s="1472"/>
      <c r="J49" s="1472"/>
      <c r="K49" s="1472"/>
      <c r="L49" s="1472"/>
      <c r="M49" s="1472"/>
      <c r="N49" s="1472"/>
      <c r="O49" s="1472"/>
      <c r="P49" s="1472"/>
      <c r="Q49" s="1472"/>
      <c r="R49" s="1476"/>
      <c r="S49" s="1476"/>
      <c r="T49" s="1476"/>
      <c r="U49" s="1476"/>
      <c r="V49" s="1038"/>
      <c r="W49" s="1414"/>
      <c r="X49" s="1414"/>
    </row>
    <row r="50" spans="1:254" s="1427" customFormat="1" ht="25" customHeight="1">
      <c r="A50" s="64" t="s">
        <v>1344</v>
      </c>
      <c r="B50" s="1436"/>
      <c r="C50" s="1469"/>
      <c r="D50" s="1469"/>
      <c r="E50" s="1469"/>
      <c r="F50" s="1469"/>
      <c r="G50" s="1491"/>
      <c r="H50" s="1491"/>
      <c r="I50" s="1491"/>
      <c r="J50" s="1491"/>
      <c r="K50" s="1491"/>
      <c r="L50" s="1491"/>
      <c r="M50" s="1491"/>
      <c r="N50" s="1491"/>
      <c r="O50" s="1491"/>
      <c r="P50" s="1491"/>
      <c r="Q50" s="1491"/>
      <c r="R50" s="1492"/>
      <c r="S50" s="1492"/>
      <c r="T50" s="1492"/>
      <c r="U50" s="1492"/>
      <c r="V50" s="1448"/>
      <c r="W50" s="1436"/>
      <c r="X50" s="1436"/>
    </row>
    <row r="51" spans="1:254" s="1454" customFormat="1" ht="25" customHeight="1">
      <c r="A51" s="1452" t="s">
        <v>1345</v>
      </c>
      <c r="B51" s="1452" t="s">
        <v>6</v>
      </c>
      <c r="C51" s="1479">
        <v>0</v>
      </c>
      <c r="D51" s="1484"/>
      <c r="E51" s="1479">
        <v>0</v>
      </c>
      <c r="F51" s="1484"/>
      <c r="G51" s="1479">
        <v>232701</v>
      </c>
      <c r="H51" s="1484"/>
      <c r="I51" s="1479">
        <v>170745</v>
      </c>
      <c r="J51" s="1484"/>
      <c r="K51" s="1485">
        <v>0</v>
      </c>
      <c r="L51" s="1484"/>
      <c r="M51" s="1485">
        <v>0</v>
      </c>
      <c r="N51" s="1484"/>
      <c r="O51" s="1479">
        <v>0</v>
      </c>
      <c r="P51" s="1484"/>
      <c r="Q51" s="1479">
        <v>0</v>
      </c>
      <c r="R51" s="1486"/>
      <c r="S51" s="1486">
        <f>ROUND((SUM(C51)+SUM(G51)+SUM(K51)+SUM(O51)),0)</f>
        <v>232701</v>
      </c>
      <c r="T51" s="1486"/>
      <c r="U51" s="1486">
        <f>ROUND((SUM(E51)+SUM(I51)+SUM(M51)+SUM(Q51)),0)</f>
        <v>170745</v>
      </c>
      <c r="V51" s="1453"/>
      <c r="W51" s="1452"/>
      <c r="X51" s="1452"/>
    </row>
    <row r="52" spans="1:254" s="1454" customFormat="1" ht="25" customHeight="1">
      <c r="A52" s="1452" t="s">
        <v>1346</v>
      </c>
      <c r="B52" s="1452" t="s">
        <v>6</v>
      </c>
      <c r="C52" s="1479">
        <v>0</v>
      </c>
      <c r="D52" s="1484"/>
      <c r="E52" s="1479">
        <v>0</v>
      </c>
      <c r="F52" s="1484"/>
      <c r="G52" s="1479">
        <v>2504086</v>
      </c>
      <c r="H52" s="1484"/>
      <c r="I52" s="1479">
        <v>2304188</v>
      </c>
      <c r="J52" s="1484"/>
      <c r="K52" s="1481">
        <v>0</v>
      </c>
      <c r="L52" s="1484"/>
      <c r="M52" s="1481">
        <v>0</v>
      </c>
      <c r="N52" s="1484"/>
      <c r="O52" s="1479">
        <v>0</v>
      </c>
      <c r="P52" s="1484"/>
      <c r="Q52" s="1479">
        <v>0</v>
      </c>
      <c r="R52" s="1486"/>
      <c r="S52" s="1486">
        <f t="shared" ref="S52:S53" si="4">ROUND((SUM(C52)+SUM(G52)+SUM(K52)+SUM(O52)),0)</f>
        <v>2504086</v>
      </c>
      <c r="T52" s="1486"/>
      <c r="U52" s="1486">
        <f t="shared" ref="U52:U53" si="5">ROUND((SUM(E52)+SUM(I52)+SUM(M52)+SUM(Q52)),0)</f>
        <v>2304188</v>
      </c>
      <c r="V52" s="1453"/>
      <c r="W52" s="1452"/>
      <c r="X52" s="1452"/>
    </row>
    <row r="53" spans="1:254" s="1454" customFormat="1" ht="25" customHeight="1">
      <c r="A53" s="1455" t="s">
        <v>1347</v>
      </c>
      <c r="B53" s="1452" t="s">
        <v>6</v>
      </c>
      <c r="C53" s="1479">
        <v>0</v>
      </c>
      <c r="D53" s="1484"/>
      <c r="E53" s="1479">
        <v>0</v>
      </c>
      <c r="F53" s="1484"/>
      <c r="G53" s="1479">
        <v>967139</v>
      </c>
      <c r="H53" s="1484"/>
      <c r="I53" s="1479">
        <v>910583</v>
      </c>
      <c r="J53" s="1484"/>
      <c r="K53" s="1481">
        <v>0</v>
      </c>
      <c r="L53" s="1484"/>
      <c r="M53" s="1481">
        <v>0</v>
      </c>
      <c r="N53" s="1484"/>
      <c r="O53" s="1479">
        <v>0</v>
      </c>
      <c r="P53" s="1484"/>
      <c r="Q53" s="1479">
        <v>0</v>
      </c>
      <c r="R53" s="1486"/>
      <c r="S53" s="1486">
        <f t="shared" si="4"/>
        <v>967139</v>
      </c>
      <c r="T53" s="1486"/>
      <c r="U53" s="1486">
        <f t="shared" si="5"/>
        <v>910583</v>
      </c>
      <c r="V53" s="1453"/>
      <c r="W53" s="1452"/>
      <c r="X53" s="1452"/>
    </row>
    <row r="54" spans="1:254" s="1427" customFormat="1" ht="24.75" customHeight="1">
      <c r="A54" s="64" t="s">
        <v>1348</v>
      </c>
      <c r="B54" s="64" t="s">
        <v>6</v>
      </c>
      <c r="C54" s="1468">
        <f>ROUND(SUM(C51:C53),0)</f>
        <v>0</v>
      </c>
      <c r="D54" s="1470"/>
      <c r="E54" s="1468">
        <f>ROUND(SUM(E51:E53),0)</f>
        <v>0</v>
      </c>
      <c r="F54" s="1470"/>
      <c r="G54" s="1468">
        <f>ROUND(SUM(G51:G53),0)</f>
        <v>3703926</v>
      </c>
      <c r="H54" s="1470"/>
      <c r="I54" s="1468">
        <f>ROUND(SUM(I51:I53),0)</f>
        <v>3385516</v>
      </c>
      <c r="J54" s="1470"/>
      <c r="K54" s="1468">
        <f>ROUND(SUM(K51:K53),0)</f>
        <v>0</v>
      </c>
      <c r="L54" s="1470"/>
      <c r="M54" s="1468">
        <f>ROUND(SUM(M51:M53),0)</f>
        <v>0</v>
      </c>
      <c r="N54" s="1470"/>
      <c r="O54" s="1468">
        <f>ROUND(SUM(O51:O53),0)</f>
        <v>0</v>
      </c>
      <c r="P54" s="1470"/>
      <c r="Q54" s="1468">
        <f>ROUND(SUM(Q51:Q53),0)</f>
        <v>0</v>
      </c>
      <c r="R54" s="1471"/>
      <c r="S54" s="1468">
        <f>ROUND(SUM(S51:S53),0)</f>
        <v>3703926</v>
      </c>
      <c r="T54" s="1471"/>
      <c r="U54" s="1468">
        <f>ROUND(SUM(U51:U53),0)</f>
        <v>3385516</v>
      </c>
      <c r="V54" s="1448"/>
      <c r="W54" s="1436"/>
      <c r="X54" s="1436"/>
    </row>
    <row r="55" spans="1:254" s="1451" customFormat="1" ht="21.75" customHeight="1">
      <c r="A55" s="1450"/>
      <c r="B55" s="1414"/>
      <c r="C55" s="1472"/>
      <c r="D55" s="1473"/>
      <c r="E55" s="1472"/>
      <c r="F55" s="1473"/>
      <c r="G55" s="1474"/>
      <c r="H55" s="1473"/>
      <c r="I55" s="1474"/>
      <c r="J55" s="1473"/>
      <c r="K55" s="1474"/>
      <c r="L55" s="1473"/>
      <c r="M55" s="1474"/>
      <c r="N55" s="1473"/>
      <c r="O55" s="1474"/>
      <c r="P55" s="1473"/>
      <c r="Q55" s="1474"/>
      <c r="R55" s="1475"/>
      <c r="S55" s="1476"/>
      <c r="T55" s="1475"/>
      <c r="U55" s="1477"/>
      <c r="V55" s="1038"/>
      <c r="W55" s="1414"/>
      <c r="X55" s="1414"/>
    </row>
    <row r="56" spans="1:254" s="1451" customFormat="1" ht="21.75" customHeight="1">
      <c r="A56" s="1450"/>
      <c r="B56" s="1414"/>
      <c r="C56" s="1472"/>
      <c r="D56" s="1473"/>
      <c r="E56" s="1472"/>
      <c r="F56" s="1473"/>
      <c r="G56" s="1472"/>
      <c r="H56" s="1472"/>
      <c r="I56" s="1472"/>
      <c r="J56" s="1472"/>
      <c r="K56" s="1472"/>
      <c r="L56" s="1472"/>
      <c r="M56" s="1472"/>
      <c r="N56" s="1472"/>
      <c r="O56" s="1472"/>
      <c r="P56" s="1472"/>
      <c r="Q56" s="1472"/>
      <c r="R56" s="1476"/>
      <c r="S56" s="1476"/>
      <c r="T56" s="1476"/>
      <c r="U56" s="1476"/>
      <c r="V56" s="1038"/>
      <c r="W56" s="1414"/>
      <c r="X56" s="1414"/>
    </row>
    <row r="57" spans="1:254" s="1451" customFormat="1" ht="12.75" customHeight="1">
      <c r="A57" s="1450"/>
      <c r="B57" s="1414"/>
      <c r="C57" s="1472"/>
      <c r="D57" s="1473"/>
      <c r="E57" s="1472"/>
      <c r="F57" s="1473"/>
      <c r="G57" s="1472"/>
      <c r="H57" s="1472"/>
      <c r="I57" s="1472"/>
      <c r="J57" s="1472"/>
      <c r="K57" s="1472"/>
      <c r="L57" s="1472"/>
      <c r="M57" s="1472"/>
      <c r="N57" s="1472"/>
      <c r="O57" s="1472"/>
      <c r="P57" s="1472"/>
      <c r="Q57" s="1472"/>
      <c r="R57" s="1476"/>
      <c r="S57" s="1476"/>
      <c r="T57" s="1476"/>
      <c r="U57" s="1476"/>
      <c r="V57" s="1038"/>
      <c r="W57" s="1414"/>
      <c r="X57" s="1414"/>
    </row>
    <row r="58" spans="1:254" s="1427" customFormat="1" ht="25" customHeight="1">
      <c r="A58" s="64" t="s">
        <v>1349</v>
      </c>
      <c r="B58" s="1436" t="s">
        <v>6</v>
      </c>
      <c r="C58" s="2050">
        <v>13330</v>
      </c>
      <c r="D58" s="1470"/>
      <c r="E58" s="2050">
        <v>3567</v>
      </c>
      <c r="F58" s="1470"/>
      <c r="G58" s="2050">
        <v>32928</v>
      </c>
      <c r="H58" s="1470"/>
      <c r="I58" s="2050">
        <v>26865</v>
      </c>
      <c r="J58" s="1470"/>
      <c r="K58" s="2050">
        <v>254</v>
      </c>
      <c r="L58" s="1470"/>
      <c r="M58" s="2050">
        <v>206</v>
      </c>
      <c r="N58" s="1470"/>
      <c r="O58" s="2050">
        <v>981</v>
      </c>
      <c r="P58" s="1470"/>
      <c r="Q58" s="2050">
        <v>1021</v>
      </c>
      <c r="R58" s="1471"/>
      <c r="S58" s="2053">
        <f>ROUND((SUM(C58)+SUM(G58)+SUM(K58)+SUM(O58)),0)</f>
        <v>47493</v>
      </c>
      <c r="T58" s="1471"/>
      <c r="U58" s="2053">
        <f>ROUND((SUM(E58)+SUM(I58)+SUM(M58)+SUM(Q58)),0)</f>
        <v>31659</v>
      </c>
      <c r="V58" s="1448"/>
      <c r="W58" s="1436"/>
      <c r="X58" s="1436"/>
    </row>
    <row r="59" spans="1:254" s="1460" customFormat="1" ht="25" customHeight="1">
      <c r="A59" s="1457"/>
      <c r="B59" s="1458"/>
      <c r="C59" s="1493"/>
      <c r="D59" s="1494"/>
      <c r="E59" s="1493"/>
      <c r="F59" s="1494"/>
      <c r="G59" s="1493"/>
      <c r="H59" s="1494"/>
      <c r="I59" s="1495"/>
      <c r="J59" s="1494"/>
      <c r="K59" s="1493"/>
      <c r="L59" s="1494"/>
      <c r="M59" s="1495"/>
      <c r="N59" s="1494"/>
      <c r="O59" s="1493"/>
      <c r="P59" s="1494"/>
      <c r="Q59" s="1495"/>
      <c r="R59" s="1496"/>
      <c r="S59" s="1497"/>
      <c r="T59" s="1496"/>
      <c r="U59" s="1497"/>
      <c r="V59" s="1459"/>
      <c r="W59" s="1458"/>
      <c r="X59" s="1458"/>
    </row>
    <row r="60" spans="1:254" ht="23">
      <c r="A60" s="1403" t="s">
        <v>0</v>
      </c>
      <c r="B60" s="65"/>
      <c r="C60" s="1498"/>
      <c r="D60" s="1498"/>
      <c r="E60" s="1498"/>
      <c r="F60" s="1498"/>
      <c r="G60" s="1498"/>
      <c r="H60" s="1498"/>
      <c r="I60" s="1498"/>
      <c r="J60" s="1498"/>
      <c r="K60" s="1498"/>
      <c r="L60" s="1498"/>
      <c r="M60" s="1498"/>
      <c r="N60" s="1498"/>
      <c r="O60" s="1498"/>
      <c r="P60" s="1498"/>
      <c r="Q60" s="1498"/>
      <c r="R60" s="1499"/>
      <c r="S60" s="1499"/>
      <c r="T60" s="1499"/>
      <c r="U60" s="1499"/>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row>
    <row r="61" spans="1:254" ht="23">
      <c r="A61" s="1403" t="s">
        <v>1</v>
      </c>
      <c r="B61" s="65"/>
      <c r="C61" s="1498"/>
      <c r="D61" s="1498"/>
      <c r="E61" s="1498"/>
      <c r="F61" s="1498"/>
      <c r="G61" s="1498"/>
      <c r="H61" s="1498"/>
      <c r="I61" s="1498"/>
      <c r="J61" s="1498"/>
      <c r="K61" s="1498"/>
      <c r="L61" s="1498"/>
      <c r="M61" s="1498"/>
      <c r="N61" s="1498"/>
      <c r="O61" s="1498"/>
      <c r="P61" s="1498"/>
      <c r="Q61" s="1498"/>
      <c r="R61" s="1498"/>
      <c r="S61" s="1498"/>
      <c r="T61" s="1498"/>
      <c r="U61" s="1500" t="s">
        <v>38</v>
      </c>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row>
    <row r="62" spans="1:254" ht="23">
      <c r="A62" s="1409" t="s">
        <v>2549</v>
      </c>
      <c r="B62" s="65"/>
      <c r="C62" s="1498"/>
      <c r="D62" s="1498"/>
      <c r="E62" s="1498"/>
      <c r="F62" s="1498"/>
      <c r="G62" s="1498"/>
      <c r="H62" s="1498"/>
      <c r="I62" s="1498"/>
      <c r="J62" s="1498"/>
      <c r="K62" s="1498"/>
      <c r="L62" s="1498"/>
      <c r="M62" s="1498"/>
      <c r="N62" s="1498"/>
      <c r="O62" s="1498"/>
      <c r="P62" s="1498"/>
      <c r="Q62" s="1498"/>
      <c r="R62" s="1498"/>
      <c r="S62" s="1498"/>
      <c r="T62" s="1498"/>
      <c r="U62" s="1501" t="s">
        <v>131</v>
      </c>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row>
    <row r="63" spans="1:254" ht="23">
      <c r="A63" s="1411" t="s">
        <v>2621</v>
      </c>
      <c r="B63" s="65"/>
      <c r="C63" s="1498"/>
      <c r="D63" s="1498"/>
      <c r="E63" s="1498"/>
      <c r="F63" s="1498"/>
      <c r="G63" s="1498"/>
      <c r="H63" s="1498"/>
      <c r="I63" s="1498"/>
      <c r="J63" s="1498"/>
      <c r="K63" s="1498"/>
      <c r="L63" s="1498"/>
      <c r="M63" s="1498"/>
      <c r="N63" s="1498"/>
      <c r="O63" s="1498"/>
      <c r="P63" s="1498"/>
      <c r="Q63" s="1498"/>
      <c r="R63" s="1498"/>
      <c r="S63" s="1498"/>
      <c r="T63" s="1498"/>
      <c r="U63" s="1502"/>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row>
    <row r="64" spans="1:254" ht="21">
      <c r="A64" s="64" t="s">
        <v>132</v>
      </c>
      <c r="B64" s="65"/>
      <c r="C64" s="1498"/>
      <c r="D64" s="1498"/>
      <c r="E64" s="1498"/>
      <c r="F64" s="1498"/>
      <c r="G64" s="1503"/>
      <c r="H64" s="1498"/>
      <c r="I64" s="1503"/>
      <c r="J64" s="1498"/>
      <c r="K64" s="1498"/>
      <c r="L64" s="1498"/>
      <c r="M64" s="1498"/>
      <c r="N64" s="1498"/>
      <c r="O64" s="1498"/>
      <c r="P64" s="1498"/>
      <c r="Q64" s="1498"/>
      <c r="R64" s="1498"/>
      <c r="S64" s="1498"/>
      <c r="T64" s="1498"/>
      <c r="U64" s="1504"/>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row>
    <row r="65" spans="1:24" ht="7.5" customHeight="1">
      <c r="A65" s="71"/>
      <c r="B65" s="71"/>
      <c r="C65" s="1498"/>
      <c r="D65" s="1498"/>
      <c r="E65" s="1505"/>
      <c r="F65" s="1498"/>
      <c r="G65" s="1498"/>
      <c r="H65" s="1498"/>
      <c r="I65" s="1505"/>
      <c r="J65" s="1498"/>
      <c r="K65" s="1498"/>
      <c r="L65" s="1498"/>
      <c r="M65" s="1505"/>
      <c r="N65" s="1498"/>
      <c r="O65" s="1498"/>
      <c r="P65" s="1498"/>
      <c r="Q65" s="1505"/>
      <c r="R65" s="1506"/>
      <c r="S65" s="1498"/>
      <c r="T65" s="1498"/>
      <c r="U65" s="1498"/>
    </row>
    <row r="66" spans="1:24">
      <c r="A66" s="1414"/>
      <c r="B66" s="71"/>
      <c r="C66" s="1498"/>
      <c r="D66" s="1498"/>
      <c r="E66" s="1505"/>
      <c r="F66" s="1498"/>
      <c r="G66" s="1498"/>
      <c r="H66" s="1498"/>
      <c r="I66" s="1505"/>
      <c r="J66" s="1498"/>
      <c r="K66" s="1498"/>
      <c r="L66" s="1498"/>
      <c r="M66" s="1505"/>
      <c r="N66" s="1498"/>
      <c r="O66" s="1498"/>
      <c r="P66" s="1498"/>
      <c r="Q66" s="1505"/>
      <c r="R66" s="1506"/>
      <c r="S66" s="1498"/>
      <c r="T66" s="1498"/>
      <c r="U66" s="1498"/>
    </row>
    <row r="67" spans="1:24" ht="24.75" customHeight="1">
      <c r="A67" s="1414"/>
      <c r="B67" s="71"/>
      <c r="C67" s="1498"/>
      <c r="D67" s="1498"/>
      <c r="E67" s="1505"/>
      <c r="F67" s="1498"/>
      <c r="G67" s="1498"/>
      <c r="H67" s="1498"/>
      <c r="I67" s="1505"/>
      <c r="J67" s="1498"/>
      <c r="K67" s="1498"/>
      <c r="L67" s="1498"/>
      <c r="M67" s="1505"/>
      <c r="N67" s="1498"/>
      <c r="O67" s="1498"/>
      <c r="P67" s="1498"/>
      <c r="Q67" s="1505"/>
      <c r="R67" s="1506"/>
      <c r="S67" s="1498"/>
      <c r="T67" s="1498"/>
      <c r="U67" s="1498"/>
    </row>
    <row r="68" spans="1:24" ht="24.75" customHeight="1">
      <c r="A68" s="1414"/>
      <c r="B68" s="71"/>
      <c r="C68" s="1498"/>
      <c r="D68" s="1498"/>
      <c r="E68" s="1505"/>
      <c r="F68" s="1498"/>
      <c r="G68" s="1498"/>
      <c r="H68" s="1498"/>
      <c r="I68" s="1505"/>
      <c r="J68" s="1498"/>
      <c r="K68" s="1498"/>
      <c r="L68" s="1498"/>
      <c r="M68" s="1505"/>
      <c r="N68" s="1498"/>
      <c r="O68" s="1498"/>
      <c r="P68" s="1498"/>
      <c r="Q68" s="1505"/>
      <c r="R68" s="1506"/>
      <c r="S68" s="1498"/>
      <c r="T68" s="1498"/>
      <c r="U68" s="1498"/>
    </row>
    <row r="69" spans="1:24" ht="24.75" customHeight="1">
      <c r="A69" s="1414"/>
      <c r="B69" s="71"/>
      <c r="C69" s="1498"/>
      <c r="D69" s="1498"/>
      <c r="E69" s="1505"/>
      <c r="F69" s="1498"/>
      <c r="G69" s="1498"/>
      <c r="H69" s="1498"/>
      <c r="I69" s="1505"/>
      <c r="J69" s="1498"/>
      <c r="K69" s="1498"/>
      <c r="L69" s="1498"/>
      <c r="M69" s="1505"/>
      <c r="N69" s="1498"/>
      <c r="O69" s="1498"/>
      <c r="P69" s="1498"/>
      <c r="Q69" s="1505"/>
      <c r="R69" s="1506"/>
      <c r="S69" s="1498"/>
      <c r="T69" s="1498"/>
      <c r="U69" s="1498"/>
    </row>
    <row r="70" spans="1:24" s="1419" customFormat="1" ht="21">
      <c r="A70" s="1415"/>
      <c r="B70" s="1415"/>
      <c r="C70" s="1507" t="s">
        <v>40</v>
      </c>
      <c r="D70" s="1508"/>
      <c r="E70" s="1509"/>
      <c r="F70" s="1508"/>
      <c r="G70" s="1508" t="s">
        <v>41</v>
      </c>
      <c r="H70" s="1508"/>
      <c r="I70" s="1509"/>
      <c r="J70" s="1508"/>
      <c r="K70" s="1508" t="s">
        <v>42</v>
      </c>
      <c r="L70" s="1508"/>
      <c r="M70" s="1509"/>
      <c r="N70" s="1508"/>
      <c r="O70" s="1508" t="s">
        <v>43</v>
      </c>
      <c r="P70" s="1508"/>
      <c r="Q70" s="1509"/>
      <c r="R70" s="1510"/>
      <c r="S70" s="1511" t="s">
        <v>1324</v>
      </c>
      <c r="T70" s="1511"/>
      <c r="U70" s="1511"/>
    </row>
    <row r="71" spans="1:24" s="1461" customFormat="1" ht="21" customHeight="1">
      <c r="A71" s="37"/>
      <c r="B71" s="37"/>
      <c r="C71" s="1512"/>
      <c r="D71" s="1512"/>
      <c r="E71" s="1512"/>
      <c r="F71" s="1513"/>
      <c r="G71" s="1512"/>
      <c r="H71" s="1512"/>
      <c r="I71" s="1512"/>
      <c r="J71" s="1513"/>
      <c r="K71" s="1512"/>
      <c r="L71" s="1512"/>
      <c r="M71" s="1512"/>
      <c r="N71" s="1513"/>
      <c r="O71" s="1512"/>
      <c r="P71" s="1512"/>
      <c r="Q71" s="1512"/>
      <c r="R71" s="1356"/>
      <c r="S71" s="1512"/>
      <c r="T71" s="1512"/>
      <c r="U71" s="1512"/>
    </row>
    <row r="72" spans="1:24" s="1415" customFormat="1" ht="21" customHeight="1">
      <c r="C72" s="1514" t="s">
        <v>2587</v>
      </c>
      <c r="D72" s="1515"/>
      <c r="E72" s="1514" t="s">
        <v>1930</v>
      </c>
      <c r="F72" s="1515"/>
      <c r="G72" s="1514" t="str">
        <f>$C$15</f>
        <v xml:space="preserve"> MARCH 31, 2016</v>
      </c>
      <c r="H72" s="1508"/>
      <c r="I72" s="1516" t="str">
        <f>$E$15</f>
        <v xml:space="preserve"> MARCH 31, 2015</v>
      </c>
      <c r="J72" s="1515"/>
      <c r="K72" s="1514" t="str">
        <f>$C$15</f>
        <v xml:space="preserve"> MARCH 31, 2016</v>
      </c>
      <c r="L72" s="1508"/>
      <c r="M72" s="1516" t="str">
        <f>$E$15</f>
        <v xml:space="preserve"> MARCH 31, 2015</v>
      </c>
      <c r="N72" s="1508"/>
      <c r="O72" s="1514" t="str">
        <f>$C$15</f>
        <v xml:space="preserve"> MARCH 31, 2016</v>
      </c>
      <c r="P72" s="1508"/>
      <c r="Q72" s="1516" t="str">
        <f>$E$15</f>
        <v xml:space="preserve"> MARCH 31, 2015</v>
      </c>
      <c r="R72" s="1510"/>
      <c r="S72" s="1514" t="str">
        <f>$C$15</f>
        <v xml:space="preserve"> MARCH 31, 2016</v>
      </c>
      <c r="T72" s="1508"/>
      <c r="U72" s="1514" t="str">
        <f>$E$15</f>
        <v xml:space="preserve"> MARCH 31, 2015</v>
      </c>
    </row>
    <row r="73" spans="1:24" ht="7.5" customHeight="1">
      <c r="B73" s="72"/>
      <c r="C73" s="1517"/>
      <c r="D73" s="1518"/>
      <c r="E73" s="1517"/>
      <c r="F73" s="1518"/>
      <c r="G73" s="1517"/>
      <c r="H73" s="1518"/>
      <c r="I73" s="1519"/>
      <c r="J73" s="1518"/>
      <c r="K73" s="1517"/>
      <c r="L73" s="1518"/>
      <c r="M73" s="1519"/>
      <c r="N73" s="1518"/>
      <c r="O73" s="1517"/>
      <c r="P73" s="1518"/>
      <c r="Q73" s="1519"/>
      <c r="R73" s="1518"/>
      <c r="S73" s="1517"/>
      <c r="T73" s="1518"/>
      <c r="U73" s="1517"/>
      <c r="V73" s="71"/>
      <c r="W73" s="71"/>
      <c r="X73" s="71"/>
    </row>
    <row r="74" spans="1:24" ht="23.25" customHeight="1">
      <c r="B74" s="72"/>
      <c r="C74" s="1520"/>
      <c r="D74" s="1518"/>
      <c r="E74" s="1520"/>
      <c r="F74" s="1518"/>
      <c r="G74" s="1520"/>
      <c r="H74" s="1518"/>
      <c r="I74" s="1521"/>
      <c r="J74" s="1518"/>
      <c r="K74" s="1520"/>
      <c r="L74" s="1518"/>
      <c r="M74" s="1521"/>
      <c r="N74" s="1518"/>
      <c r="O74" s="1520"/>
      <c r="P74" s="1518"/>
      <c r="Q74" s="1521"/>
      <c r="R74" s="1518"/>
      <c r="S74" s="1520"/>
      <c r="T74" s="1518"/>
      <c r="U74" s="1520"/>
      <c r="V74" s="71"/>
      <c r="W74" s="71"/>
      <c r="X74" s="71"/>
    </row>
    <row r="75" spans="1:24" s="1427" customFormat="1" ht="25" customHeight="1">
      <c r="A75" s="64" t="s">
        <v>1350</v>
      </c>
      <c r="B75" s="1436"/>
      <c r="C75" s="1469"/>
      <c r="D75" s="1469"/>
      <c r="E75" s="1469"/>
      <c r="F75" s="1469"/>
      <c r="G75" s="1469"/>
      <c r="H75" s="1469"/>
      <c r="I75" s="1469"/>
      <c r="J75" s="1469"/>
      <c r="K75" s="1469"/>
      <c r="L75" s="1469"/>
      <c r="M75" s="1469"/>
      <c r="N75" s="1469"/>
      <c r="O75" s="1469"/>
      <c r="P75" s="1469"/>
      <c r="Q75" s="1469"/>
      <c r="R75" s="1478"/>
      <c r="S75" s="1478"/>
      <c r="T75" s="1478"/>
      <c r="U75" s="1478"/>
      <c r="V75" s="1448"/>
      <c r="W75" s="1436"/>
      <c r="X75" s="1436"/>
    </row>
    <row r="76" spans="1:24" s="1454" customFormat="1" ht="25" customHeight="1">
      <c r="A76" s="1452" t="s">
        <v>1351</v>
      </c>
      <c r="B76" s="1452" t="s">
        <v>6</v>
      </c>
      <c r="C76" s="1479">
        <v>0</v>
      </c>
      <c r="D76" s="1484"/>
      <c r="E76" s="1479">
        <v>0</v>
      </c>
      <c r="F76" s="1484"/>
      <c r="G76" s="1479">
        <v>22000</v>
      </c>
      <c r="H76" s="1484"/>
      <c r="I76" s="1479">
        <v>22000</v>
      </c>
      <c r="J76" s="1484"/>
      <c r="K76" s="1485">
        <v>0</v>
      </c>
      <c r="L76" s="1484"/>
      <c r="M76" s="1485">
        <v>0</v>
      </c>
      <c r="N76" s="1484"/>
      <c r="O76" s="1479">
        <v>2879095</v>
      </c>
      <c r="P76" s="1484"/>
      <c r="Q76" s="1479">
        <v>3025976</v>
      </c>
      <c r="R76" s="1486"/>
      <c r="S76" s="1486">
        <f>ROUND((SUM(C76)+SUM(G76)+SUM(K76)+SUM(O76)),0)</f>
        <v>2901095</v>
      </c>
      <c r="T76" s="1486"/>
      <c r="U76" s="1486">
        <f>ROUND((SUM(E76)+SUM(I76)+SUM(M76)+SUM(Q76)),0)</f>
        <v>3047976</v>
      </c>
      <c r="V76" s="1453"/>
      <c r="W76" s="1452"/>
      <c r="X76" s="1452"/>
    </row>
    <row r="77" spans="1:24" s="1454" customFormat="1" ht="25" customHeight="1">
      <c r="A77" s="1452" t="s">
        <v>1352</v>
      </c>
      <c r="B77" s="1452" t="s">
        <v>6</v>
      </c>
      <c r="C77" s="1479">
        <v>17570</v>
      </c>
      <c r="D77" s="1484"/>
      <c r="E77" s="1479">
        <v>13873</v>
      </c>
      <c r="F77" s="1484"/>
      <c r="G77" s="1479">
        <v>20400</v>
      </c>
      <c r="H77" s="1484"/>
      <c r="I77" s="1479">
        <v>20400</v>
      </c>
      <c r="J77" s="1484"/>
      <c r="K77" s="1481">
        <v>0</v>
      </c>
      <c r="L77" s="1484"/>
      <c r="M77" s="1481">
        <v>0</v>
      </c>
      <c r="N77" s="1484"/>
      <c r="O77" s="1479">
        <v>0</v>
      </c>
      <c r="P77" s="1484"/>
      <c r="Q77" s="1479">
        <v>0</v>
      </c>
      <c r="R77" s="1486"/>
      <c r="S77" s="1486">
        <f t="shared" ref="S77:S79" si="6">ROUND((SUM(C77)+SUM(G77)+SUM(K77)+SUM(O77)),0)</f>
        <v>37970</v>
      </c>
      <c r="T77" s="1486"/>
      <c r="U77" s="1486">
        <f t="shared" ref="U77:U79" si="7">ROUND((SUM(E77)+SUM(I77)+SUM(M77)+SUM(Q77)),0)</f>
        <v>34273</v>
      </c>
      <c r="V77" s="1453"/>
      <c r="W77" s="1452"/>
      <c r="X77" s="1452"/>
    </row>
    <row r="78" spans="1:24" s="1454" customFormat="1" ht="25" customHeight="1">
      <c r="A78" s="1455" t="s">
        <v>1353</v>
      </c>
      <c r="B78" s="1452" t="s">
        <v>6</v>
      </c>
      <c r="C78" s="1479">
        <v>83941</v>
      </c>
      <c r="D78" s="1484"/>
      <c r="E78" s="1479">
        <v>96167</v>
      </c>
      <c r="F78" s="1484"/>
      <c r="G78" s="1479">
        <v>7200</v>
      </c>
      <c r="H78" s="1484"/>
      <c r="I78" s="1479">
        <v>7200</v>
      </c>
      <c r="J78" s="1484"/>
      <c r="K78" s="1481">
        <v>0</v>
      </c>
      <c r="L78" s="1484"/>
      <c r="M78" s="1481">
        <v>0</v>
      </c>
      <c r="N78" s="1484"/>
      <c r="O78" s="1479">
        <v>0</v>
      </c>
      <c r="P78" s="1484"/>
      <c r="Q78" s="1479">
        <v>0</v>
      </c>
      <c r="R78" s="1486"/>
      <c r="S78" s="1486">
        <f t="shared" si="6"/>
        <v>91141</v>
      </c>
      <c r="T78" s="1486"/>
      <c r="U78" s="1486">
        <f t="shared" si="7"/>
        <v>103367</v>
      </c>
      <c r="V78" s="1453"/>
      <c r="W78" s="1452"/>
      <c r="X78" s="1452"/>
    </row>
    <row r="79" spans="1:24" s="1454" customFormat="1" ht="25" customHeight="1">
      <c r="A79" s="1455" t="s">
        <v>1354</v>
      </c>
      <c r="B79" s="1452" t="s">
        <v>6</v>
      </c>
      <c r="C79" s="1479">
        <v>49219</v>
      </c>
      <c r="D79" s="1484"/>
      <c r="E79" s="1479">
        <v>23421</v>
      </c>
      <c r="F79" s="1484"/>
      <c r="G79" s="1479">
        <v>13067</v>
      </c>
      <c r="H79" s="1484"/>
      <c r="I79" s="1479">
        <v>15619</v>
      </c>
      <c r="J79" s="1484"/>
      <c r="K79" s="1481">
        <v>0</v>
      </c>
      <c r="L79" s="1484"/>
      <c r="M79" s="1481">
        <v>0</v>
      </c>
      <c r="N79" s="1484"/>
      <c r="O79" s="1479">
        <v>5397</v>
      </c>
      <c r="P79" s="1484"/>
      <c r="Q79" s="1479">
        <v>11371</v>
      </c>
      <c r="R79" s="1486"/>
      <c r="S79" s="1486">
        <f t="shared" si="6"/>
        <v>67683</v>
      </c>
      <c r="T79" s="1486"/>
      <c r="U79" s="1486">
        <f t="shared" si="7"/>
        <v>50411</v>
      </c>
      <c r="V79" s="1453"/>
      <c r="W79" s="1452"/>
      <c r="X79" s="1452"/>
    </row>
    <row r="80" spans="1:24" s="1427" customFormat="1" ht="24.75" customHeight="1">
      <c r="A80" s="64" t="s">
        <v>1355</v>
      </c>
      <c r="B80" s="64" t="s">
        <v>6</v>
      </c>
      <c r="C80" s="1483">
        <f>ROUND(SUM(C76:C79),0)</f>
        <v>150730</v>
      </c>
      <c r="D80" s="1470"/>
      <c r="E80" s="1483">
        <f>ROUND(SUM(E76:E79),0)</f>
        <v>133461</v>
      </c>
      <c r="F80" s="1470"/>
      <c r="G80" s="1483">
        <f>ROUND(SUM(G76:G79),0)</f>
        <v>62667</v>
      </c>
      <c r="H80" s="1470"/>
      <c r="I80" s="1483">
        <f>ROUND(SUM(I76:I79),0)</f>
        <v>65219</v>
      </c>
      <c r="J80" s="1470"/>
      <c r="K80" s="1483">
        <f>ROUND(SUM(K76:K79),0)</f>
        <v>0</v>
      </c>
      <c r="L80" s="1470"/>
      <c r="M80" s="1483">
        <f>ROUND(SUM(M76:M79),0)</f>
        <v>0</v>
      </c>
      <c r="N80" s="1470"/>
      <c r="O80" s="1483">
        <f>ROUND(SUM(O76:O79),0)</f>
        <v>2884492</v>
      </c>
      <c r="P80" s="1470"/>
      <c r="Q80" s="1483">
        <f>ROUND(SUM(Q76:Q79),0)</f>
        <v>3037347</v>
      </c>
      <c r="R80" s="1471"/>
      <c r="S80" s="1483">
        <f>ROUND(SUM(S76:S79),0)</f>
        <v>3097889</v>
      </c>
      <c r="T80" s="1471"/>
      <c r="U80" s="1483">
        <f>ROUND(SUM(U76:U79),0)</f>
        <v>3236027</v>
      </c>
      <c r="V80" s="1448"/>
      <c r="W80" s="1436"/>
      <c r="X80" s="1436"/>
    </row>
    <row r="81" spans="1:24" s="1451" customFormat="1" ht="21.75" customHeight="1">
      <c r="A81" s="1450"/>
      <c r="B81" s="1414"/>
      <c r="C81" s="1472"/>
      <c r="D81" s="1473"/>
      <c r="E81" s="1472"/>
      <c r="F81" s="1473"/>
      <c r="G81" s="1474"/>
      <c r="H81" s="1473"/>
      <c r="I81" s="1474"/>
      <c r="J81" s="1473"/>
      <c r="K81" s="1474"/>
      <c r="L81" s="1473"/>
      <c r="M81" s="1474"/>
      <c r="N81" s="1473"/>
      <c r="O81" s="1474"/>
      <c r="P81" s="1473"/>
      <c r="Q81" s="1474"/>
      <c r="R81" s="1475"/>
      <c r="S81" s="1476"/>
      <c r="T81" s="1475"/>
      <c r="U81" s="1477"/>
      <c r="V81" s="1038"/>
      <c r="W81" s="1414"/>
      <c r="X81" s="1414"/>
    </row>
    <row r="82" spans="1:24" s="1451" customFormat="1" ht="21.75" customHeight="1">
      <c r="A82" s="1450"/>
      <c r="B82" s="1414"/>
      <c r="C82" s="1472"/>
      <c r="D82" s="1473"/>
      <c r="E82" s="1472"/>
      <c r="F82" s="1473"/>
      <c r="G82" s="1472"/>
      <c r="H82" s="1472"/>
      <c r="I82" s="1472"/>
      <c r="J82" s="1472"/>
      <c r="K82" s="1472"/>
      <c r="L82" s="1472"/>
      <c r="M82" s="1472"/>
      <c r="N82" s="1472"/>
      <c r="O82" s="1472"/>
      <c r="P82" s="1472"/>
      <c r="Q82" s="1472"/>
      <c r="R82" s="1476"/>
      <c r="S82" s="1476"/>
      <c r="T82" s="1476"/>
      <c r="U82" s="1476"/>
      <c r="V82" s="1038"/>
      <c r="W82" s="1414"/>
      <c r="X82" s="1414"/>
    </row>
    <row r="83" spans="1:24" s="1451" customFormat="1" ht="12.75" customHeight="1">
      <c r="A83" s="1450"/>
      <c r="B83" s="1414"/>
      <c r="C83" s="1472"/>
      <c r="D83" s="1473"/>
      <c r="E83" s="1472"/>
      <c r="F83" s="1473"/>
      <c r="G83" s="1472"/>
      <c r="H83" s="1472"/>
      <c r="I83" s="1472"/>
      <c r="J83" s="1472"/>
      <c r="K83" s="1472"/>
      <c r="L83" s="1472"/>
      <c r="M83" s="1472"/>
      <c r="N83" s="1472"/>
      <c r="O83" s="1472"/>
      <c r="P83" s="1472"/>
      <c r="Q83" s="1472"/>
      <c r="R83" s="1476"/>
      <c r="S83" s="1476"/>
      <c r="T83" s="1476"/>
      <c r="U83" s="1476"/>
      <c r="V83" s="1038"/>
      <c r="W83" s="1414"/>
      <c r="X83" s="1414"/>
    </row>
    <row r="84" spans="1:24" s="1427" customFormat="1" ht="25" customHeight="1">
      <c r="A84" s="64" t="s">
        <v>1356</v>
      </c>
      <c r="B84" s="1436" t="s">
        <v>6</v>
      </c>
      <c r="C84" s="1487">
        <v>48</v>
      </c>
      <c r="D84" s="1470"/>
      <c r="E84" s="1487">
        <v>149</v>
      </c>
      <c r="F84" s="1470"/>
      <c r="G84" s="1488">
        <v>139850</v>
      </c>
      <c r="H84" s="1470"/>
      <c r="I84" s="1488">
        <v>105949</v>
      </c>
      <c r="J84" s="1470"/>
      <c r="K84" s="1488">
        <v>5490</v>
      </c>
      <c r="L84" s="1470"/>
      <c r="M84" s="1488">
        <v>8550</v>
      </c>
      <c r="N84" s="1470"/>
      <c r="O84" s="1488">
        <v>1987</v>
      </c>
      <c r="P84" s="1470"/>
      <c r="Q84" s="1488">
        <v>7293</v>
      </c>
      <c r="R84" s="1471"/>
      <c r="S84" s="1490">
        <f>ROUND((SUM(C84)+SUM(G84)+SUM(K84)+SUM(O84)),0)</f>
        <v>147375</v>
      </c>
      <c r="T84" s="1471"/>
      <c r="U84" s="1490">
        <f>ROUND((SUM(E84)+SUM(I84)+SUM(M84)+SUM(Q84)),0)</f>
        <v>121941</v>
      </c>
      <c r="V84" s="1448"/>
      <c r="W84" s="1436"/>
      <c r="X84" s="1436"/>
    </row>
    <row r="85" spans="1:24" s="1451" customFormat="1" ht="21.75" customHeight="1">
      <c r="A85" s="1450"/>
      <c r="B85" s="1414"/>
      <c r="C85" s="1522"/>
      <c r="D85" s="1523"/>
      <c r="E85" s="1522"/>
      <c r="F85" s="1523"/>
      <c r="G85" s="1524"/>
      <c r="H85" s="1523"/>
      <c r="I85" s="1524"/>
      <c r="J85" s="1523"/>
      <c r="K85" s="1524"/>
      <c r="L85" s="1523"/>
      <c r="M85" s="1524"/>
      <c r="N85" s="1523"/>
      <c r="O85" s="1524"/>
      <c r="P85" s="1523"/>
      <c r="Q85" s="1524"/>
      <c r="R85" s="1525"/>
      <c r="S85" s="1526"/>
      <c r="T85" s="1525"/>
      <c r="U85" s="1527"/>
      <c r="V85" s="1038"/>
      <c r="W85" s="1414"/>
      <c r="X85" s="1414"/>
    </row>
    <row r="86" spans="1:24" s="1451" customFormat="1" ht="21.75" customHeight="1">
      <c r="A86" s="1450"/>
      <c r="B86" s="1414"/>
      <c r="C86" s="1522"/>
      <c r="D86" s="1523"/>
      <c r="E86" s="1522"/>
      <c r="F86" s="1523"/>
      <c r="G86" s="1522"/>
      <c r="H86" s="1522"/>
      <c r="I86" s="1522"/>
      <c r="J86" s="1522"/>
      <c r="K86" s="1522"/>
      <c r="L86" s="1522"/>
      <c r="M86" s="1522"/>
      <c r="N86" s="1522"/>
      <c r="O86" s="1522"/>
      <c r="P86" s="1522"/>
      <c r="Q86" s="1522"/>
      <c r="R86" s="1526"/>
      <c r="S86" s="1526"/>
      <c r="T86" s="1526"/>
      <c r="U86" s="1526"/>
      <c r="V86" s="1038"/>
      <c r="W86" s="1414"/>
      <c r="X86" s="1414"/>
    </row>
    <row r="87" spans="1:24" s="1451" customFormat="1" ht="12.75" customHeight="1">
      <c r="A87" s="1450"/>
      <c r="B87" s="1414"/>
      <c r="C87" s="1522"/>
      <c r="D87" s="1523"/>
      <c r="E87" s="1522"/>
      <c r="F87" s="1523"/>
      <c r="G87" s="1522"/>
      <c r="H87" s="1522"/>
      <c r="I87" s="1522"/>
      <c r="J87" s="1522"/>
      <c r="K87" s="1522"/>
      <c r="L87" s="1522"/>
      <c r="M87" s="1522"/>
      <c r="N87" s="1522"/>
      <c r="O87" s="1522"/>
      <c r="P87" s="1522"/>
      <c r="Q87" s="1522"/>
      <c r="R87" s="1526"/>
      <c r="S87" s="1526"/>
      <c r="T87" s="1526"/>
      <c r="U87" s="1526"/>
      <c r="V87" s="1038"/>
      <c r="W87" s="1414"/>
      <c r="X87" s="1414"/>
    </row>
    <row r="88" spans="1:24" s="1427" customFormat="1" ht="25" customHeight="1">
      <c r="A88" s="64" t="s">
        <v>1357</v>
      </c>
      <c r="B88" s="1436" t="s">
        <v>6</v>
      </c>
      <c r="C88" s="1487">
        <v>5277</v>
      </c>
      <c r="D88" s="1470"/>
      <c r="E88" s="1487">
        <v>5808</v>
      </c>
      <c r="F88" s="1470"/>
      <c r="G88" s="1488">
        <v>331742</v>
      </c>
      <c r="H88" s="1470"/>
      <c r="I88" s="1488">
        <v>328453</v>
      </c>
      <c r="J88" s="1470"/>
      <c r="K88" s="1488">
        <v>0</v>
      </c>
      <c r="L88" s="1470"/>
      <c r="M88" s="1488">
        <v>0</v>
      </c>
      <c r="N88" s="1470"/>
      <c r="O88" s="1488">
        <v>7832</v>
      </c>
      <c r="P88" s="1470"/>
      <c r="Q88" s="1488">
        <v>8918</v>
      </c>
      <c r="R88" s="1471"/>
      <c r="S88" s="1490">
        <f>ROUND((SUM(C88)+SUM(G88)+SUM(K88)+SUM(O88)),0)</f>
        <v>344851</v>
      </c>
      <c r="T88" s="1471"/>
      <c r="U88" s="1490">
        <f>ROUND((SUM(E88)+SUM(I88)+SUM(M88)+SUM(Q88)),0)</f>
        <v>343179</v>
      </c>
      <c r="V88" s="1448"/>
      <c r="W88" s="1436"/>
      <c r="X88" s="1436"/>
    </row>
    <row r="89" spans="1:24" s="1451" customFormat="1" ht="21.75" customHeight="1">
      <c r="A89" s="1450"/>
      <c r="B89" s="1414"/>
      <c r="C89" s="1472"/>
      <c r="D89" s="1473"/>
      <c r="E89" s="1472"/>
      <c r="F89" s="1473"/>
      <c r="G89" s="1474"/>
      <c r="H89" s="1473"/>
      <c r="I89" s="1474"/>
      <c r="J89" s="1473"/>
      <c r="K89" s="1474"/>
      <c r="L89" s="1473"/>
      <c r="M89" s="1474"/>
      <c r="N89" s="1473"/>
      <c r="O89" s="1474"/>
      <c r="P89" s="1473"/>
      <c r="Q89" s="1474"/>
      <c r="R89" s="1475"/>
      <c r="S89" s="1476"/>
      <c r="T89" s="1475"/>
      <c r="U89" s="1477"/>
      <c r="V89" s="1038"/>
      <c r="W89" s="1414"/>
      <c r="X89" s="1414"/>
    </row>
    <row r="90" spans="1:24" s="1451" customFormat="1" ht="21.75" customHeight="1">
      <c r="A90" s="1450"/>
      <c r="B90" s="1414"/>
      <c r="C90" s="1472"/>
      <c r="D90" s="1473"/>
      <c r="E90" s="1472"/>
      <c r="F90" s="1473"/>
      <c r="G90" s="1472"/>
      <c r="H90" s="1472"/>
      <c r="I90" s="1472"/>
      <c r="J90" s="1472"/>
      <c r="K90" s="1472"/>
      <c r="L90" s="1472"/>
      <c r="M90" s="1472"/>
      <c r="N90" s="1472"/>
      <c r="O90" s="1472"/>
      <c r="P90" s="1472"/>
      <c r="Q90" s="1472"/>
      <c r="R90" s="1476"/>
      <c r="S90" s="1476"/>
      <c r="T90" s="1476"/>
      <c r="U90" s="1476"/>
      <c r="V90" s="1038"/>
      <c r="W90" s="1414"/>
      <c r="X90" s="1414"/>
    </row>
    <row r="91" spans="1:24" s="1451" customFormat="1" ht="12.75" customHeight="1">
      <c r="A91" s="1450"/>
      <c r="B91" s="1414"/>
      <c r="C91" s="1472"/>
      <c r="D91" s="1473"/>
      <c r="E91" s="1472"/>
      <c r="F91" s="1473"/>
      <c r="G91" s="1472"/>
      <c r="H91" s="1472"/>
      <c r="I91" s="1472"/>
      <c r="J91" s="1472"/>
      <c r="K91" s="1472"/>
      <c r="L91" s="1472"/>
      <c r="M91" s="1472"/>
      <c r="N91" s="1472"/>
      <c r="O91" s="1472"/>
      <c r="P91" s="1472"/>
      <c r="Q91" s="1472"/>
      <c r="R91" s="1476"/>
      <c r="S91" s="1476"/>
      <c r="T91" s="1476"/>
      <c r="U91" s="1476"/>
      <c r="V91" s="1038"/>
      <c r="W91" s="1414"/>
      <c r="X91" s="1414"/>
    </row>
    <row r="92" spans="1:24" s="1427" customFormat="1" ht="25" customHeight="1">
      <c r="A92" s="64" t="s">
        <v>1358</v>
      </c>
      <c r="B92" s="1436"/>
      <c r="C92" s="1469"/>
      <c r="D92" s="1469"/>
      <c r="E92" s="1469"/>
      <c r="F92" s="1469"/>
      <c r="G92" s="1469"/>
      <c r="H92" s="1469"/>
      <c r="I92" s="1469"/>
      <c r="J92" s="1469"/>
      <c r="K92" s="1469"/>
      <c r="L92" s="1469"/>
      <c r="M92" s="1469"/>
      <c r="N92" s="1469"/>
      <c r="O92" s="1469"/>
      <c r="P92" s="1469"/>
      <c r="Q92" s="1469"/>
      <c r="R92" s="1478"/>
      <c r="S92" s="1478"/>
      <c r="T92" s="1478"/>
      <c r="U92" s="1478"/>
      <c r="V92" s="1448"/>
      <c r="W92" s="1436"/>
      <c r="X92" s="1436"/>
    </row>
    <row r="93" spans="1:24" s="1454" customFormat="1" ht="25" customHeight="1">
      <c r="A93" s="1452" t="s">
        <v>1359</v>
      </c>
      <c r="B93" s="1452" t="s">
        <v>6</v>
      </c>
      <c r="C93" s="1479">
        <v>78744</v>
      </c>
      <c r="D93" s="1484"/>
      <c r="E93" s="1479">
        <v>99484</v>
      </c>
      <c r="F93" s="1484"/>
      <c r="G93" s="1479">
        <v>123595</v>
      </c>
      <c r="H93" s="1484"/>
      <c r="I93" s="1479">
        <v>89634</v>
      </c>
      <c r="J93" s="1484"/>
      <c r="K93" s="1485">
        <v>0</v>
      </c>
      <c r="L93" s="1484"/>
      <c r="M93" s="1485">
        <v>0</v>
      </c>
      <c r="N93" s="1484"/>
      <c r="O93" s="1479">
        <v>12</v>
      </c>
      <c r="P93" s="1484"/>
      <c r="Q93" s="1479">
        <v>0</v>
      </c>
      <c r="R93" s="1486"/>
      <c r="S93" s="1486">
        <f>ROUND((SUM(C93)+SUM(G93)+SUM(K93)+SUM(O93)),0)</f>
        <v>202351</v>
      </c>
      <c r="T93" s="1486"/>
      <c r="U93" s="1486">
        <f>ROUND((SUM(E93)+SUM(I93)+SUM(M93)+SUM(Q93)),0)</f>
        <v>189118</v>
      </c>
      <c r="V93" s="1453"/>
      <c r="W93" s="1452"/>
      <c r="X93" s="1452"/>
    </row>
    <row r="94" spans="1:24" s="1454" customFormat="1" ht="25" customHeight="1">
      <c r="A94" s="1452" t="s">
        <v>1360</v>
      </c>
      <c r="B94" s="1452" t="s">
        <v>6</v>
      </c>
      <c r="C94" s="1479">
        <v>2</v>
      </c>
      <c r="D94" s="1484"/>
      <c r="E94" s="1479">
        <v>21</v>
      </c>
      <c r="F94" s="1484"/>
      <c r="G94" s="1479">
        <v>14585</v>
      </c>
      <c r="H94" s="1484"/>
      <c r="I94" s="1479">
        <v>18046</v>
      </c>
      <c r="J94" s="1484"/>
      <c r="K94" s="1481">
        <v>1</v>
      </c>
      <c r="L94" s="1484"/>
      <c r="M94" s="1481">
        <v>2</v>
      </c>
      <c r="N94" s="1484"/>
      <c r="O94" s="1479">
        <v>5</v>
      </c>
      <c r="P94" s="1484"/>
      <c r="Q94" s="1479">
        <v>17</v>
      </c>
      <c r="R94" s="1486"/>
      <c r="S94" s="1486">
        <f t="shared" ref="S94:S101" si="8">ROUND((SUM(C94)+SUM(G94)+SUM(K94)+SUM(O94)),0)</f>
        <v>14593</v>
      </c>
      <c r="T94" s="1486"/>
      <c r="U94" s="1486">
        <f t="shared" ref="U94:U101" si="9">ROUND((SUM(E94)+SUM(I94)+SUM(M94)+SUM(Q94)),0)</f>
        <v>18086</v>
      </c>
      <c r="V94" s="1453"/>
      <c r="W94" s="1452"/>
      <c r="X94" s="1452"/>
    </row>
    <row r="95" spans="1:24" s="1454" customFormat="1" ht="25" customHeight="1">
      <c r="A95" s="1455" t="s">
        <v>1361</v>
      </c>
      <c r="B95" s="1452" t="s">
        <v>6</v>
      </c>
      <c r="C95" s="1479">
        <v>109</v>
      </c>
      <c r="D95" s="1484"/>
      <c r="E95" s="1479">
        <v>-18</v>
      </c>
      <c r="F95" s="1484"/>
      <c r="G95" s="1479">
        <v>4451</v>
      </c>
      <c r="H95" s="1484"/>
      <c r="I95" s="1479">
        <v>4354</v>
      </c>
      <c r="J95" s="1484"/>
      <c r="K95" s="1481">
        <v>0</v>
      </c>
      <c r="L95" s="1484"/>
      <c r="M95" s="1481">
        <v>0</v>
      </c>
      <c r="N95" s="1484"/>
      <c r="O95" s="1479">
        <v>4156</v>
      </c>
      <c r="P95" s="1484"/>
      <c r="Q95" s="1479">
        <v>21165</v>
      </c>
      <c r="R95" s="1486"/>
      <c r="S95" s="1486">
        <f t="shared" si="8"/>
        <v>8716</v>
      </c>
      <c r="T95" s="1486"/>
      <c r="U95" s="1486">
        <f t="shared" si="9"/>
        <v>25501</v>
      </c>
      <c r="V95" s="1453"/>
      <c r="W95" s="1452"/>
      <c r="X95" s="1452"/>
    </row>
    <row r="96" spans="1:24" s="1454" customFormat="1" ht="25" customHeight="1">
      <c r="A96" s="1455" t="s">
        <v>1362</v>
      </c>
      <c r="B96" s="1452" t="s">
        <v>6</v>
      </c>
      <c r="C96" s="1479">
        <v>118826</v>
      </c>
      <c r="D96" s="1484"/>
      <c r="E96" s="1479">
        <v>131488</v>
      </c>
      <c r="F96" s="1484"/>
      <c r="G96" s="1479">
        <v>4884</v>
      </c>
      <c r="H96" s="1484"/>
      <c r="I96" s="1479">
        <v>862</v>
      </c>
      <c r="J96" s="1484"/>
      <c r="K96" s="1481">
        <v>0</v>
      </c>
      <c r="L96" s="1484"/>
      <c r="M96" s="1481">
        <v>0</v>
      </c>
      <c r="N96" s="1484"/>
      <c r="O96" s="1479">
        <v>0</v>
      </c>
      <c r="P96" s="1484"/>
      <c r="Q96" s="1479">
        <v>0</v>
      </c>
      <c r="R96" s="1486"/>
      <c r="S96" s="1486">
        <f t="shared" si="8"/>
        <v>123710</v>
      </c>
      <c r="T96" s="1486"/>
      <c r="U96" s="1486">
        <f t="shared" si="9"/>
        <v>132350</v>
      </c>
      <c r="V96" s="1453"/>
      <c r="W96" s="1452"/>
      <c r="X96" s="1452"/>
    </row>
    <row r="97" spans="1:24" s="1454" customFormat="1" ht="25" customHeight="1">
      <c r="A97" s="1455" t="s">
        <v>1363</v>
      </c>
      <c r="B97" s="1452" t="s">
        <v>6</v>
      </c>
      <c r="C97" s="1479">
        <v>0</v>
      </c>
      <c r="D97" s="1484"/>
      <c r="E97" s="1479">
        <v>0</v>
      </c>
      <c r="F97" s="1484"/>
      <c r="G97" s="1479">
        <v>1114629</v>
      </c>
      <c r="H97" s="1484"/>
      <c r="I97" s="1479">
        <v>1959674</v>
      </c>
      <c r="J97" s="1484"/>
      <c r="K97" s="1479">
        <v>480658</v>
      </c>
      <c r="L97" s="1484"/>
      <c r="M97" s="1479">
        <v>500216</v>
      </c>
      <c r="N97" s="1484"/>
      <c r="O97" s="1479">
        <v>0</v>
      </c>
      <c r="P97" s="1484"/>
      <c r="Q97" s="1479">
        <v>0</v>
      </c>
      <c r="R97" s="1486"/>
      <c r="S97" s="1486">
        <f t="shared" si="8"/>
        <v>1595287</v>
      </c>
      <c r="T97" s="1486"/>
      <c r="U97" s="1486">
        <f t="shared" si="9"/>
        <v>2459890</v>
      </c>
      <c r="V97" s="1453"/>
      <c r="W97" s="1452"/>
      <c r="X97" s="1452"/>
    </row>
    <row r="98" spans="1:24" s="1454" customFormat="1" ht="25" customHeight="1">
      <c r="A98" s="1455" t="s">
        <v>1364</v>
      </c>
      <c r="B98" s="1452" t="s">
        <v>6</v>
      </c>
      <c r="C98" s="1479">
        <v>6624</v>
      </c>
      <c r="D98" s="1484"/>
      <c r="E98" s="1479">
        <v>5962</v>
      </c>
      <c r="F98" s="1484"/>
      <c r="G98" s="1479">
        <v>146418</v>
      </c>
      <c r="H98" s="1484"/>
      <c r="I98" s="1479">
        <v>144819</v>
      </c>
      <c r="J98" s="1484"/>
      <c r="K98" s="1481">
        <v>0</v>
      </c>
      <c r="L98" s="1484"/>
      <c r="M98" s="1481">
        <v>0</v>
      </c>
      <c r="N98" s="1484"/>
      <c r="O98" s="1479">
        <v>169</v>
      </c>
      <c r="P98" s="1484"/>
      <c r="Q98" s="1479">
        <v>17</v>
      </c>
      <c r="R98" s="1486"/>
      <c r="S98" s="1486">
        <f t="shared" si="8"/>
        <v>153211</v>
      </c>
      <c r="T98" s="1486"/>
      <c r="U98" s="1486">
        <f t="shared" si="9"/>
        <v>150798</v>
      </c>
      <c r="V98" s="1453"/>
      <c r="W98" s="1452"/>
      <c r="X98" s="1452"/>
    </row>
    <row r="99" spans="1:24" s="1454" customFormat="1" ht="25" customHeight="1">
      <c r="A99" s="1455" t="s">
        <v>1365</v>
      </c>
      <c r="B99" s="1452" t="s">
        <v>6</v>
      </c>
      <c r="C99" s="1479">
        <v>1229340</v>
      </c>
      <c r="D99" s="1484"/>
      <c r="E99" s="1479">
        <v>313919</v>
      </c>
      <c r="F99" s="1484"/>
      <c r="G99" s="1479">
        <v>69249</v>
      </c>
      <c r="H99" s="1484"/>
      <c r="I99" s="1479">
        <v>-44791</v>
      </c>
      <c r="J99" s="1484"/>
      <c r="K99" s="1481">
        <v>0</v>
      </c>
      <c r="L99" s="1484"/>
      <c r="M99" s="1481">
        <v>0</v>
      </c>
      <c r="N99" s="1484"/>
      <c r="O99" s="1479">
        <v>3584</v>
      </c>
      <c r="P99" s="1484"/>
      <c r="Q99" s="1479">
        <v>6329</v>
      </c>
      <c r="R99" s="1486"/>
      <c r="S99" s="1486">
        <f t="shared" si="8"/>
        <v>1302173</v>
      </c>
      <c r="T99" s="1486"/>
      <c r="U99" s="1486">
        <f t="shared" si="9"/>
        <v>275457</v>
      </c>
      <c r="V99" s="1453"/>
      <c r="W99" s="1452"/>
      <c r="X99" s="1452"/>
    </row>
    <row r="100" spans="1:24" s="1454" customFormat="1" ht="25" customHeight="1">
      <c r="A100" s="1455" t="s">
        <v>1366</v>
      </c>
      <c r="B100" s="1452" t="s">
        <v>6</v>
      </c>
      <c r="C100" s="1479">
        <v>50</v>
      </c>
      <c r="D100" s="1484"/>
      <c r="E100" s="1479">
        <v>59</v>
      </c>
      <c r="F100" s="1484"/>
      <c r="G100" s="1479">
        <v>105778</v>
      </c>
      <c r="H100" s="1484"/>
      <c r="I100" s="1479">
        <v>132881</v>
      </c>
      <c r="J100" s="1484"/>
      <c r="K100" s="1481">
        <v>0</v>
      </c>
      <c r="L100" s="1484"/>
      <c r="M100" s="1481">
        <v>0</v>
      </c>
      <c r="N100" s="1484"/>
      <c r="O100" s="1479">
        <v>0</v>
      </c>
      <c r="P100" s="1484"/>
      <c r="Q100" s="1479">
        <v>0</v>
      </c>
      <c r="R100" s="1486"/>
      <c r="S100" s="1486">
        <f t="shared" si="8"/>
        <v>105828</v>
      </c>
      <c r="T100" s="1486"/>
      <c r="U100" s="1486">
        <f t="shared" si="9"/>
        <v>132940</v>
      </c>
      <c r="V100" s="1453"/>
      <c r="W100" s="1452"/>
      <c r="X100" s="1452"/>
    </row>
    <row r="101" spans="1:24" s="1454" customFormat="1" ht="25" customHeight="1">
      <c r="A101" s="1455" t="s">
        <v>1367</v>
      </c>
      <c r="B101" s="1452" t="s">
        <v>6</v>
      </c>
      <c r="C101" s="1479">
        <v>27464</v>
      </c>
      <c r="D101" s="1484"/>
      <c r="E101" s="1479">
        <v>51264</v>
      </c>
      <c r="F101" s="1484"/>
      <c r="G101" s="1479">
        <v>52031</v>
      </c>
      <c r="H101" s="1484"/>
      <c r="I101" s="1479">
        <v>31143</v>
      </c>
      <c r="J101" s="1484"/>
      <c r="K101" s="1481">
        <v>0</v>
      </c>
      <c r="L101" s="1484"/>
      <c r="M101" s="1481">
        <v>0</v>
      </c>
      <c r="N101" s="1484"/>
      <c r="O101" s="1479">
        <v>19630</v>
      </c>
      <c r="P101" s="1484"/>
      <c r="Q101" s="1479">
        <v>11732</v>
      </c>
      <c r="R101" s="1486"/>
      <c r="S101" s="1486">
        <f t="shared" si="8"/>
        <v>99125</v>
      </c>
      <c r="T101" s="1486"/>
      <c r="U101" s="1486">
        <f t="shared" si="9"/>
        <v>94139</v>
      </c>
      <c r="V101" s="1453"/>
      <c r="W101" s="1452"/>
      <c r="X101" s="1452"/>
    </row>
    <row r="102" spans="1:24" s="1427" customFormat="1" ht="24.75" customHeight="1">
      <c r="A102" s="64" t="s">
        <v>1368</v>
      </c>
      <c r="B102" s="64" t="s">
        <v>6</v>
      </c>
      <c r="C102" s="1483">
        <f>ROUND(SUM(C93:C101),0)</f>
        <v>1461159</v>
      </c>
      <c r="D102" s="1470"/>
      <c r="E102" s="1483">
        <f>ROUND(SUM(E93:E101),0)</f>
        <v>602179</v>
      </c>
      <c r="F102" s="1470"/>
      <c r="G102" s="1483">
        <f>ROUND(SUM(G93:G101),0)</f>
        <v>1635620</v>
      </c>
      <c r="H102" s="1470"/>
      <c r="I102" s="1483">
        <f>ROUND(SUM(I93:I101),0)</f>
        <v>2336622</v>
      </c>
      <c r="J102" s="1470"/>
      <c r="K102" s="1483">
        <f>ROUND(SUM(K93:K101),0)</f>
        <v>480659</v>
      </c>
      <c r="L102" s="1470"/>
      <c r="M102" s="1483">
        <f>ROUND(SUM(M93:M101),0)</f>
        <v>500218</v>
      </c>
      <c r="N102" s="1470"/>
      <c r="O102" s="1483">
        <f>ROUND(SUM(O93:O101),0)</f>
        <v>27556</v>
      </c>
      <c r="P102" s="1470"/>
      <c r="Q102" s="1483">
        <f>ROUND(SUM(Q93:Q101),0)</f>
        <v>39260</v>
      </c>
      <c r="R102" s="1471"/>
      <c r="S102" s="1483">
        <f>ROUND(SUM(S93:S101),0)</f>
        <v>3604994</v>
      </c>
      <c r="T102" s="1471"/>
      <c r="U102" s="1483">
        <f>ROUND(SUM(U93:U101),0)</f>
        <v>3478279</v>
      </c>
      <c r="V102" s="1448"/>
      <c r="W102" s="1436"/>
      <c r="X102" s="1436"/>
    </row>
    <row r="103" spans="1:24" s="1451" customFormat="1" ht="21.75" customHeight="1">
      <c r="A103" s="1450"/>
      <c r="B103" s="1414"/>
      <c r="C103" s="1472"/>
      <c r="D103" s="1473"/>
      <c r="E103" s="1472"/>
      <c r="F103" s="1473"/>
      <c r="G103" s="1474"/>
      <c r="H103" s="1473"/>
      <c r="I103" s="1474"/>
      <c r="J103" s="1473"/>
      <c r="K103" s="1474"/>
      <c r="L103" s="1473"/>
      <c r="M103" s="1474"/>
      <c r="N103" s="1473"/>
      <c r="O103" s="1474"/>
      <c r="P103" s="1473"/>
      <c r="Q103" s="1474"/>
      <c r="R103" s="1475"/>
      <c r="S103" s="1476"/>
      <c r="T103" s="1475"/>
      <c r="U103" s="1477"/>
      <c r="V103" s="1038"/>
      <c r="W103" s="1414"/>
      <c r="X103" s="1414"/>
    </row>
    <row r="104" spans="1:24" s="1451" customFormat="1" ht="21.75" customHeight="1">
      <c r="A104" s="1450"/>
      <c r="B104" s="1414"/>
      <c r="C104" s="1472"/>
      <c r="D104" s="1473"/>
      <c r="E104" s="1472"/>
      <c r="F104" s="1473"/>
      <c r="G104" s="1472"/>
      <c r="H104" s="1472"/>
      <c r="I104" s="1472"/>
      <c r="J104" s="1472"/>
      <c r="K104" s="1472"/>
      <c r="L104" s="1472"/>
      <c r="M104" s="1472"/>
      <c r="N104" s="1472"/>
      <c r="O104" s="1472"/>
      <c r="P104" s="1472"/>
      <c r="Q104" s="1472"/>
      <c r="R104" s="1476"/>
      <c r="S104" s="1476"/>
      <c r="T104" s="1476"/>
      <c r="U104" s="1476"/>
      <c r="V104" s="1038"/>
      <c r="W104" s="1414"/>
      <c r="X104" s="1414"/>
    </row>
    <row r="105" spans="1:24" s="1451" customFormat="1" ht="12.75" customHeight="1">
      <c r="A105" s="1450"/>
      <c r="B105" s="1414"/>
      <c r="C105" s="1472"/>
      <c r="D105" s="1473"/>
      <c r="E105" s="1472"/>
      <c r="F105" s="1473"/>
      <c r="G105" s="1472"/>
      <c r="H105" s="1472"/>
      <c r="I105" s="1472"/>
      <c r="J105" s="1472"/>
      <c r="K105" s="1472"/>
      <c r="L105" s="1472"/>
      <c r="M105" s="1472"/>
      <c r="N105" s="1472"/>
      <c r="O105" s="1472"/>
      <c r="P105" s="1472"/>
      <c r="Q105" s="1472"/>
      <c r="R105" s="1476"/>
      <c r="S105" s="1476"/>
      <c r="T105" s="1476"/>
      <c r="U105" s="1476"/>
      <c r="V105" s="1038"/>
      <c r="W105" s="1414"/>
      <c r="X105" s="1414"/>
    </row>
    <row r="106" spans="1:24" s="1427" customFormat="1" ht="25" customHeight="1">
      <c r="A106" s="64" t="s">
        <v>1369</v>
      </c>
      <c r="B106" s="1436" t="s">
        <v>6</v>
      </c>
      <c r="C106" s="1487">
        <v>3644</v>
      </c>
      <c r="D106" s="1470"/>
      <c r="E106" s="1487">
        <v>-658</v>
      </c>
      <c r="F106" s="1470"/>
      <c r="G106" s="1488">
        <v>17797</v>
      </c>
      <c r="H106" s="1470"/>
      <c r="I106" s="1488">
        <v>13002</v>
      </c>
      <c r="J106" s="1470"/>
      <c r="K106" s="1489">
        <v>138</v>
      </c>
      <c r="L106" s="1470"/>
      <c r="M106" s="1489">
        <v>141</v>
      </c>
      <c r="N106" s="1470"/>
      <c r="O106" s="1488">
        <v>1217</v>
      </c>
      <c r="P106" s="1470"/>
      <c r="Q106" s="1488">
        <v>10237</v>
      </c>
      <c r="R106" s="1471"/>
      <c r="S106" s="1490">
        <f>ROUND((SUM(C106)+SUM(G106)+SUM(K106)+SUM(O106)),0)</f>
        <v>22796</v>
      </c>
      <c r="T106" s="1471"/>
      <c r="U106" s="1490">
        <f>ROUND((SUM(E106)+SUM(I106)+SUM(M106)+SUM(Q106)),0)</f>
        <v>22722</v>
      </c>
      <c r="V106" s="1448"/>
      <c r="W106" s="1436"/>
      <c r="X106" s="1436"/>
    </row>
    <row r="107" spans="1:24" s="1451" customFormat="1" ht="21.75" customHeight="1">
      <c r="A107" s="1450"/>
      <c r="B107" s="1414"/>
      <c r="C107" s="1522"/>
      <c r="D107" s="1523"/>
      <c r="E107" s="1522"/>
      <c r="F107" s="1523"/>
      <c r="G107" s="1524"/>
      <c r="H107" s="1523"/>
      <c r="I107" s="1524"/>
      <c r="J107" s="1523"/>
      <c r="K107" s="1524"/>
      <c r="L107" s="1523"/>
      <c r="M107" s="1524"/>
      <c r="N107" s="1523"/>
      <c r="O107" s="1524"/>
      <c r="P107" s="1523"/>
      <c r="Q107" s="1524"/>
      <c r="R107" s="1525"/>
      <c r="S107" s="1526"/>
      <c r="T107" s="1525"/>
      <c r="U107" s="1527"/>
      <c r="V107" s="1038"/>
      <c r="W107" s="1414"/>
      <c r="X107" s="1414"/>
    </row>
    <row r="108" spans="1:24" s="1451" customFormat="1" ht="21.75" customHeight="1">
      <c r="A108" s="1450"/>
      <c r="B108" s="1414"/>
      <c r="C108" s="1522"/>
      <c r="D108" s="1523"/>
      <c r="E108" s="1522"/>
      <c r="F108" s="1523"/>
      <c r="G108" s="1522"/>
      <c r="H108" s="1522"/>
      <c r="I108" s="1522"/>
      <c r="J108" s="1522"/>
      <c r="K108" s="1522"/>
      <c r="L108" s="1522"/>
      <c r="M108" s="1522"/>
      <c r="N108" s="1522"/>
      <c r="O108" s="1522"/>
      <c r="P108" s="1522"/>
      <c r="Q108" s="1522"/>
      <c r="R108" s="1526"/>
      <c r="S108" s="1526"/>
      <c r="T108" s="1526"/>
      <c r="U108" s="1526"/>
      <c r="V108" s="1038"/>
      <c r="W108" s="1414"/>
      <c r="X108" s="1414"/>
    </row>
    <row r="109" spans="1:24" s="1451" customFormat="1" ht="12.75" customHeight="1">
      <c r="A109" s="1450"/>
      <c r="B109" s="1414"/>
      <c r="C109" s="1522"/>
      <c r="D109" s="1523"/>
      <c r="E109" s="1522"/>
      <c r="F109" s="1523"/>
      <c r="G109" s="1522"/>
      <c r="H109" s="1522"/>
      <c r="I109" s="1522"/>
      <c r="J109" s="1522"/>
      <c r="K109" s="1522"/>
      <c r="L109" s="1522"/>
      <c r="M109" s="1522"/>
      <c r="N109" s="1522"/>
      <c r="O109" s="1522"/>
      <c r="P109" s="1522"/>
      <c r="Q109" s="1522"/>
      <c r="R109" s="1526"/>
      <c r="S109" s="1526"/>
      <c r="T109" s="1526"/>
      <c r="U109" s="1526"/>
      <c r="V109" s="1038"/>
      <c r="W109" s="1414"/>
      <c r="X109" s="1414"/>
    </row>
    <row r="110" spans="1:24" s="1427" customFormat="1" ht="25" customHeight="1">
      <c r="A110" s="64" t="s">
        <v>1370</v>
      </c>
      <c r="B110" s="1436" t="s">
        <v>6</v>
      </c>
      <c r="C110" s="1487">
        <v>0</v>
      </c>
      <c r="D110" s="1470"/>
      <c r="E110" s="1487">
        <v>0</v>
      </c>
      <c r="F110" s="1470"/>
      <c r="G110" s="1487">
        <v>2334358</v>
      </c>
      <c r="H110" s="1470"/>
      <c r="I110" s="1487">
        <v>2187540</v>
      </c>
      <c r="J110" s="1470"/>
      <c r="K110" s="1489">
        <v>0</v>
      </c>
      <c r="L110" s="1470"/>
      <c r="M110" s="1489">
        <v>0</v>
      </c>
      <c r="N110" s="1470"/>
      <c r="O110" s="1489">
        <v>0</v>
      </c>
      <c r="P110" s="1470"/>
      <c r="Q110" s="1489">
        <v>0</v>
      </c>
      <c r="R110" s="1471"/>
      <c r="S110" s="1490">
        <f>ROUND((SUM(C110)+SUM(G110)+SUM(K110)+SUM(O110)),0)</f>
        <v>2334358</v>
      </c>
      <c r="T110" s="1471"/>
      <c r="U110" s="1490">
        <f>ROUND((SUM(E110)+SUM(I110)+SUM(M110)+SUM(Q110)),0)</f>
        <v>2187540</v>
      </c>
      <c r="V110" s="1448"/>
      <c r="W110" s="1436"/>
      <c r="X110" s="1436"/>
    </row>
    <row r="111" spans="1:24" s="1461" customFormat="1" ht="25" customHeight="1">
      <c r="A111" s="7"/>
      <c r="B111" s="37"/>
      <c r="C111" s="1342"/>
      <c r="D111" s="1334"/>
      <c r="E111" s="1342"/>
      <c r="F111" s="1334"/>
      <c r="G111" s="1342"/>
      <c r="H111" s="1334"/>
      <c r="I111" s="1342"/>
      <c r="J111" s="1334"/>
      <c r="K111" s="1342"/>
      <c r="L111" s="1334"/>
      <c r="M111" s="1342"/>
      <c r="N111" s="1528"/>
      <c r="O111" s="1342"/>
      <c r="P111" s="1528"/>
      <c r="Q111" s="1342"/>
      <c r="R111" s="1360"/>
      <c r="S111" s="1529"/>
      <c r="T111" s="1360"/>
      <c r="U111" s="1529"/>
      <c r="V111" s="1465"/>
      <c r="W111" s="37"/>
      <c r="X111" s="37"/>
    </row>
    <row r="112" spans="1:24" s="1451" customFormat="1" ht="21.75" customHeight="1">
      <c r="A112" s="1450"/>
      <c r="B112" s="1414"/>
      <c r="C112" s="1472"/>
      <c r="D112" s="1473"/>
      <c r="E112" s="1472"/>
      <c r="F112" s="1472"/>
      <c r="G112" s="1472"/>
      <c r="H112" s="1472"/>
      <c r="I112" s="1472"/>
      <c r="J112" s="1472"/>
      <c r="K112" s="1472"/>
      <c r="L112" s="1472"/>
      <c r="M112" s="1472"/>
      <c r="N112" s="1472"/>
      <c r="O112" s="1472"/>
      <c r="P112" s="1472"/>
      <c r="Q112" s="1472"/>
      <c r="R112" s="1476"/>
      <c r="S112" s="1476"/>
      <c r="T112" s="1476"/>
      <c r="U112" s="1476"/>
      <c r="V112" s="1038"/>
      <c r="W112" s="1414"/>
      <c r="X112" s="1414"/>
    </row>
    <row r="113" spans="1:24" s="1451" customFormat="1" ht="12.75" customHeight="1">
      <c r="A113" s="1450"/>
      <c r="B113" s="1414"/>
      <c r="C113" s="1472"/>
      <c r="D113" s="1473"/>
      <c r="E113" s="1472"/>
      <c r="F113" s="1472"/>
      <c r="G113" s="1472"/>
      <c r="H113" s="1472"/>
      <c r="I113" s="1472"/>
      <c r="J113" s="1472"/>
      <c r="K113" s="1472"/>
      <c r="L113" s="1472"/>
      <c r="M113" s="1472"/>
      <c r="N113" s="1472"/>
      <c r="O113" s="1472"/>
      <c r="P113" s="1472"/>
      <c r="Q113" s="1472"/>
      <c r="R113" s="1476"/>
      <c r="S113" s="1476"/>
      <c r="T113" s="1476"/>
      <c r="U113" s="1476"/>
      <c r="V113" s="1038"/>
      <c r="W113" s="1414"/>
      <c r="X113" s="1414"/>
    </row>
    <row r="114" spans="1:24" s="1427" customFormat="1" ht="25" customHeight="1" thickBot="1">
      <c r="A114" s="1467" t="s">
        <v>1371</v>
      </c>
      <c r="B114" s="64" t="s">
        <v>6</v>
      </c>
      <c r="C114" s="1530">
        <f>ROUND(SUM(C110+C106+C102+C88+C84+C80+C58+C54+C46+C42+C30+C21),0)</f>
        <v>5842208</v>
      </c>
      <c r="D114" s="1531"/>
      <c r="E114" s="1530">
        <f>ROUND(SUM(E110+E106+E102+E88+E84+E80+E58+E54+E46+E42+E30+E21),0)</f>
        <v>8409675</v>
      </c>
      <c r="F114" s="1531"/>
      <c r="G114" s="1530">
        <f>ROUND(SUM(G110+G106+G102+G88+G84+G80+G58+G54+G46+G42+G30+G21),0)</f>
        <v>17117055</v>
      </c>
      <c r="H114" s="1531"/>
      <c r="I114" s="1530">
        <f>ROUND(SUM(I110+I106+I102+I88+I84+I80+I58+I54+I46+I42+I30+I21),0)</f>
        <v>16557209</v>
      </c>
      <c r="J114" s="1531"/>
      <c r="K114" s="1530">
        <f>ROUND(SUM(K110+K106+K102+K88+K84+K80+K58+K54+K46+K42+K30+K21),0)</f>
        <v>486548</v>
      </c>
      <c r="L114" s="1531"/>
      <c r="M114" s="1530">
        <f>ROUND(SUM(M110+M106+M102+M88+M84+M80+M58+M54+M46+M42+M30+M21),0)</f>
        <v>509564</v>
      </c>
      <c r="N114" s="1531"/>
      <c r="O114" s="1530">
        <f>ROUND(SUM(O110+O106+O102+O88+O84+O80+O58+O54+O46+O42+O30+O21),0)</f>
        <v>3822525</v>
      </c>
      <c r="P114" s="1531"/>
      <c r="Q114" s="1530">
        <f>ROUND(SUM(Q110+Q106+Q102+Q88+Q84+Q80+Q58+Q54+Q46+Q42+Q30+Q21),0)</f>
        <v>3961077</v>
      </c>
      <c r="R114" s="1532"/>
      <c r="S114" s="1530">
        <f>ROUND(SUM(S110+S106+S102+S88+S84+S80+S58+S54+S46+S42+S30+S21),0)</f>
        <v>27268336</v>
      </c>
      <c r="T114" s="1532"/>
      <c r="U114" s="1530">
        <f>ROUND(SUM(U110+U106+U102+U88+U84+U80+U58+U54+U46+U42+U30+U21),0)</f>
        <v>29437525</v>
      </c>
      <c r="V114" s="1448"/>
      <c r="W114" s="1436"/>
      <c r="X114" s="1436"/>
    </row>
    <row r="115" spans="1:24" s="1461" customFormat="1" ht="25" customHeight="1" thickTop="1">
      <c r="A115" s="7"/>
      <c r="B115" s="37"/>
      <c r="C115" s="1462"/>
      <c r="D115" s="1463"/>
      <c r="E115" s="1462"/>
      <c r="F115" s="1463"/>
      <c r="G115" s="1462"/>
      <c r="H115" s="1463"/>
      <c r="I115" s="1462"/>
      <c r="J115" s="1463"/>
      <c r="K115" s="1462"/>
      <c r="L115" s="1463"/>
      <c r="M115" s="1462"/>
      <c r="N115" s="1464"/>
      <c r="O115" s="1462"/>
      <c r="P115" s="1464"/>
      <c r="Q115" s="1462"/>
      <c r="R115" s="1465"/>
      <c r="S115" s="1466"/>
      <c r="T115" s="1465"/>
      <c r="U115" s="1466"/>
      <c r="V115" s="1465"/>
      <c r="W115" s="37"/>
      <c r="X115" s="37"/>
    </row>
    <row r="116" spans="1:24" s="1461" customFormat="1" ht="25" customHeight="1">
      <c r="A116" s="7"/>
      <c r="B116" s="37"/>
      <c r="C116" s="1462"/>
      <c r="D116" s="1463"/>
      <c r="E116" s="1462"/>
      <c r="F116" s="1463"/>
      <c r="G116" s="1462"/>
      <c r="H116" s="1463"/>
      <c r="I116" s="1462"/>
      <c r="J116" s="1463"/>
      <c r="K116" s="1462"/>
      <c r="L116" s="1463"/>
      <c r="M116" s="1462"/>
      <c r="N116" s="1464"/>
      <c r="O116" s="1462"/>
      <c r="P116" s="1464"/>
      <c r="Q116" s="1462"/>
      <c r="R116" s="1465"/>
      <c r="S116" s="1466"/>
      <c r="T116" s="1465"/>
      <c r="U116" s="1466"/>
      <c r="V116" s="1465"/>
      <c r="W116" s="37"/>
      <c r="X116" s="37"/>
    </row>
  </sheetData>
  <pageMargins left="0.4" right="0.5" top="0.75" bottom="0.25" header="0.3" footer="0.25"/>
  <pageSetup scale="40" firstPageNumber="66" fitToHeight="2" orientation="landscape" useFirstPageNumber="1"/>
  <headerFooter scaleWithDoc="0">
    <oddFooter>&amp;R&amp;8&amp;P</oddFooter>
  </headerFooter>
  <rowBreaks count="1" manualBreakCount="1">
    <brk id="58" max="21" man="1"/>
  </row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IT311"/>
  <sheetViews>
    <sheetView showGridLines="0" showOutlineSymbols="0" zoomScale="80" zoomScaleNormal="80" zoomScaleSheetLayoutView="70" zoomScalePageLayoutView="80" workbookViewId="0"/>
  </sheetViews>
  <sheetFormatPr baseColWidth="10" defaultColWidth="9.5703125" defaultRowHeight="15" x14ac:dyDescent="0"/>
  <cols>
    <col min="1" max="1" width="2.85546875" style="1209" customWidth="1"/>
    <col min="2" max="2" width="9.140625" style="1209" customWidth="1"/>
    <col min="3" max="3" width="1.5703125" style="1209" customWidth="1"/>
    <col min="4" max="4" width="74.85546875" style="1209" customWidth="1"/>
    <col min="5" max="5" width="0.85546875" style="1209" customWidth="1"/>
    <col min="6" max="6" width="19.140625" style="1209" customWidth="1"/>
    <col min="7" max="7" width="3" style="1209" customWidth="1"/>
    <col min="8" max="8" width="2.42578125" style="1209" customWidth="1"/>
    <col min="9" max="9" width="9.140625" style="1209" bestFit="1" customWidth="1"/>
    <col min="10" max="10" width="1.5703125" style="1209" customWidth="1"/>
    <col min="11" max="11" width="56.85546875" style="1209" customWidth="1"/>
    <col min="12" max="12" width="1.42578125" style="1209" customWidth="1"/>
    <col min="13" max="13" width="21.42578125" style="1209" customWidth="1"/>
    <col min="14" max="15" width="9.5703125" style="1209" customWidth="1"/>
    <col min="16" max="16" width="16" style="1209" customWidth="1"/>
    <col min="17" max="16384" width="9.5703125" style="1209"/>
  </cols>
  <sheetData>
    <row r="1" spans="1:13">
      <c r="A1" s="1582" t="s">
        <v>1443</v>
      </c>
    </row>
    <row r="3" spans="1:13" ht="17">
      <c r="A3" s="1205" t="s">
        <v>0</v>
      </c>
      <c r="B3" s="1206"/>
      <c r="C3" s="1206"/>
      <c r="D3" s="1206"/>
      <c r="E3" s="1206"/>
      <c r="F3" s="1207"/>
      <c r="G3" s="1206"/>
      <c r="H3" s="1205"/>
      <c r="I3" s="1206"/>
      <c r="J3" s="1206"/>
      <c r="K3" s="1206"/>
      <c r="L3" s="1206"/>
      <c r="M3" s="1208" t="s">
        <v>1171</v>
      </c>
    </row>
    <row r="4" spans="1:13" ht="21">
      <c r="A4" s="1210" t="s">
        <v>1163</v>
      </c>
      <c r="B4" s="1206"/>
      <c r="C4" s="1206"/>
      <c r="D4" s="1206"/>
      <c r="E4" s="1206"/>
      <c r="F4" s="1211"/>
      <c r="G4" s="1211"/>
      <c r="H4" s="1211"/>
      <c r="I4" s="1211"/>
      <c r="J4" s="1211"/>
      <c r="K4" s="1211"/>
      <c r="L4" s="1211"/>
      <c r="M4" s="1208"/>
    </row>
    <row r="5" spans="1:13" ht="17">
      <c r="A5" s="1210" t="s">
        <v>2596</v>
      </c>
      <c r="B5" s="1206"/>
      <c r="C5" s="1206"/>
      <c r="D5" s="1206"/>
      <c r="E5" s="1206"/>
      <c r="F5" s="1207"/>
      <c r="G5" s="1206"/>
      <c r="H5" s="1210"/>
      <c r="I5" s="1206"/>
      <c r="J5" s="1206"/>
      <c r="K5" s="1206"/>
      <c r="L5" s="1206"/>
      <c r="M5" s="1206"/>
    </row>
    <row r="6" spans="1:13" ht="12.75" customHeight="1">
      <c r="A6" s="1212"/>
      <c r="F6" s="1212"/>
      <c r="M6" s="1212"/>
    </row>
    <row r="7" spans="1:13">
      <c r="B7" s="1213"/>
      <c r="F7" s="1214" t="s">
        <v>1172</v>
      </c>
      <c r="M7" s="1214" t="s">
        <v>1172</v>
      </c>
    </row>
    <row r="8" spans="1:13">
      <c r="B8" s="1215" t="s">
        <v>1173</v>
      </c>
      <c r="D8" s="1215" t="s">
        <v>1174</v>
      </c>
      <c r="E8" s="1215"/>
      <c r="F8" s="1216" t="s">
        <v>1175</v>
      </c>
      <c r="I8" s="1215" t="s">
        <v>1173</v>
      </c>
      <c r="K8" s="1215" t="s">
        <v>1174</v>
      </c>
      <c r="L8" s="1215"/>
      <c r="M8" s="1216" t="s">
        <v>1175</v>
      </c>
    </row>
    <row r="9" spans="1:13">
      <c r="A9" s="1209" t="s">
        <v>6</v>
      </c>
      <c r="B9" s="1209" t="s">
        <v>6</v>
      </c>
      <c r="D9" s="1209" t="s">
        <v>6</v>
      </c>
      <c r="F9" s="1209" t="s">
        <v>6</v>
      </c>
      <c r="H9" s="1209" t="s">
        <v>6</v>
      </c>
      <c r="I9" s="1209" t="s">
        <v>6</v>
      </c>
      <c r="K9" s="1209" t="s">
        <v>6</v>
      </c>
      <c r="M9" s="1209" t="s">
        <v>6</v>
      </c>
    </row>
    <row r="10" spans="1:13">
      <c r="A10" s="1217"/>
      <c r="B10" s="1217"/>
      <c r="D10" s="1218" t="s">
        <v>1166</v>
      </c>
      <c r="E10" s="1218"/>
      <c r="H10" s="1217"/>
      <c r="I10" s="1217"/>
      <c r="K10" s="1219" t="s">
        <v>1176</v>
      </c>
      <c r="L10" s="1219"/>
      <c r="M10" s="1220"/>
    </row>
    <row r="11" spans="1:13">
      <c r="B11" s="1221">
        <v>20451</v>
      </c>
      <c r="D11" s="1700" t="s">
        <v>1974</v>
      </c>
      <c r="E11" s="935" t="s">
        <v>6</v>
      </c>
      <c r="F11" s="1222">
        <v>0</v>
      </c>
      <c r="I11" s="905"/>
      <c r="M11" s="572"/>
    </row>
    <row r="12" spans="1:13">
      <c r="A12" s="1217"/>
      <c r="B12" s="905">
        <v>20452</v>
      </c>
      <c r="D12" s="1700" t="s">
        <v>1975</v>
      </c>
      <c r="E12" s="935" t="s">
        <v>6</v>
      </c>
      <c r="F12" s="572">
        <v>0</v>
      </c>
      <c r="I12" s="905">
        <v>22032</v>
      </c>
      <c r="K12" s="1700" t="s">
        <v>2035</v>
      </c>
      <c r="L12" s="935" t="s">
        <v>6</v>
      </c>
      <c r="M12" s="572">
        <v>10445969.41</v>
      </c>
    </row>
    <row r="13" spans="1:13">
      <c r="A13" s="1223"/>
      <c r="B13" s="905">
        <v>20501</v>
      </c>
      <c r="D13" s="1700" t="s">
        <v>1976</v>
      </c>
      <c r="E13" s="935" t="s">
        <v>6</v>
      </c>
      <c r="F13" s="572">
        <v>0</v>
      </c>
      <c r="I13" s="1221">
        <v>22034</v>
      </c>
      <c r="K13" s="1700" t="s">
        <v>2036</v>
      </c>
      <c r="L13" s="935" t="s">
        <v>6</v>
      </c>
      <c r="M13" s="572">
        <v>0</v>
      </c>
    </row>
    <row r="14" spans="1:13">
      <c r="A14" s="1217"/>
      <c r="B14" s="1221">
        <v>20810</v>
      </c>
      <c r="D14" s="1700" t="s">
        <v>1977</v>
      </c>
      <c r="E14" s="935" t="s">
        <v>6</v>
      </c>
      <c r="F14" s="572">
        <v>0</v>
      </c>
      <c r="I14" s="1221">
        <v>22036</v>
      </c>
      <c r="K14" s="1700" t="s">
        <v>2037</v>
      </c>
      <c r="L14" s="935" t="s">
        <v>6</v>
      </c>
      <c r="M14" s="572">
        <v>0</v>
      </c>
    </row>
    <row r="15" spans="1:13">
      <c r="A15" s="1217"/>
      <c r="B15" s="1221">
        <v>20818</v>
      </c>
      <c r="D15" s="1700" t="s">
        <v>1978</v>
      </c>
      <c r="E15" s="935" t="s">
        <v>6</v>
      </c>
      <c r="F15" s="572">
        <v>0</v>
      </c>
      <c r="I15" s="1221">
        <v>22039</v>
      </c>
      <c r="K15" s="1700" t="s">
        <v>2038</v>
      </c>
      <c r="L15" s="935" t="s">
        <v>6</v>
      </c>
      <c r="M15" s="572">
        <v>1839595.26</v>
      </c>
    </row>
    <row r="16" spans="1:13">
      <c r="A16" s="1223"/>
      <c r="B16" s="1221">
        <v>20901</v>
      </c>
      <c r="D16" s="1700" t="s">
        <v>1979</v>
      </c>
      <c r="E16" s="935" t="s">
        <v>6</v>
      </c>
      <c r="F16" s="572">
        <v>0</v>
      </c>
      <c r="H16" s="1217"/>
      <c r="I16" s="905">
        <v>22046</v>
      </c>
      <c r="K16" s="1700" t="s">
        <v>2039</v>
      </c>
      <c r="L16" s="935" t="s">
        <v>6</v>
      </c>
      <c r="M16" s="572">
        <v>67494382.900000006</v>
      </c>
    </row>
    <row r="17" spans="1:13">
      <c r="A17" s="1223"/>
      <c r="B17" s="1221">
        <v>20904</v>
      </c>
      <c r="D17" s="1700" t="s">
        <v>1980</v>
      </c>
      <c r="E17" s="935" t="s">
        <v>6</v>
      </c>
      <c r="F17" s="572">
        <v>0</v>
      </c>
      <c r="H17" s="1217"/>
      <c r="I17" s="905">
        <v>22053</v>
      </c>
      <c r="K17" s="1700" t="s">
        <v>2040</v>
      </c>
      <c r="L17" s="935" t="s">
        <v>6</v>
      </c>
      <c r="M17" s="572">
        <v>3011463.84</v>
      </c>
    </row>
    <row r="18" spans="1:13">
      <c r="A18" s="1223"/>
      <c r="B18" s="905">
        <v>21001</v>
      </c>
      <c r="D18" s="1700" t="s">
        <v>1981</v>
      </c>
      <c r="E18" s="935" t="s">
        <v>6</v>
      </c>
      <c r="F18" s="572">
        <v>0</v>
      </c>
      <c r="H18" s="1217"/>
      <c r="I18" s="905">
        <v>22054</v>
      </c>
      <c r="K18" s="1700" t="s">
        <v>2041</v>
      </c>
      <c r="L18" s="935" t="s">
        <v>6</v>
      </c>
      <c r="M18" s="572">
        <v>11185876.449999999</v>
      </c>
    </row>
    <row r="19" spans="1:13">
      <c r="A19" s="1223"/>
      <c r="B19" s="1221">
        <v>21002</v>
      </c>
      <c r="D19" s="1700" t="s">
        <v>1982</v>
      </c>
      <c r="E19" s="935" t="s">
        <v>6</v>
      </c>
      <c r="F19" s="572">
        <v>2282861.52</v>
      </c>
      <c r="H19" s="1217"/>
      <c r="I19" s="905">
        <v>22055</v>
      </c>
      <c r="K19" s="1700" t="s">
        <v>2042</v>
      </c>
      <c r="L19" s="935" t="s">
        <v>6</v>
      </c>
      <c r="M19" s="572">
        <v>3009477.12</v>
      </c>
    </row>
    <row r="20" spans="1:13">
      <c r="A20" s="1223"/>
      <c r="B20" s="905">
        <v>21061</v>
      </c>
      <c r="D20" s="1700" t="s">
        <v>1983</v>
      </c>
      <c r="E20" s="935" t="s">
        <v>6</v>
      </c>
      <c r="F20" s="572">
        <v>0</v>
      </c>
      <c r="H20" s="1224"/>
      <c r="I20" s="905">
        <v>22056</v>
      </c>
      <c r="K20" s="1700" t="s">
        <v>2043</v>
      </c>
      <c r="L20" s="935" t="s">
        <v>6</v>
      </c>
      <c r="M20" s="572">
        <v>0</v>
      </c>
    </row>
    <row r="21" spans="1:13">
      <c r="A21" s="1217"/>
      <c r="B21" s="1221">
        <v>21065</v>
      </c>
      <c r="D21" s="1700" t="s">
        <v>1984</v>
      </c>
      <c r="E21" s="935" t="s">
        <v>6</v>
      </c>
      <c r="F21" s="572">
        <v>0</v>
      </c>
      <c r="H21" s="1217"/>
      <c r="I21" s="1221">
        <v>22062</v>
      </c>
      <c r="K21" s="1700" t="s">
        <v>2044</v>
      </c>
      <c r="L21" s="935" t="s">
        <v>6</v>
      </c>
      <c r="M21" s="572">
        <v>0</v>
      </c>
    </row>
    <row r="22" spans="1:13">
      <c r="A22" s="1217"/>
      <c r="B22" s="905">
        <v>21066</v>
      </c>
      <c r="D22" s="1976" t="s">
        <v>1985</v>
      </c>
      <c r="E22" s="935" t="s">
        <v>6</v>
      </c>
      <c r="F22" s="572">
        <v>3892777.05</v>
      </c>
      <c r="H22" s="1217"/>
      <c r="I22" s="1221">
        <v>22063</v>
      </c>
      <c r="K22" s="1976" t="s">
        <v>2045</v>
      </c>
      <c r="L22" s="935" t="s">
        <v>6</v>
      </c>
      <c r="M22" s="572">
        <v>3658250.82</v>
      </c>
    </row>
    <row r="23" spans="1:13">
      <c r="B23" s="905">
        <v>21067</v>
      </c>
      <c r="D23" s="1700" t="s">
        <v>1986</v>
      </c>
      <c r="E23" s="935" t="s">
        <v>6</v>
      </c>
      <c r="F23" s="572">
        <v>10673417.67</v>
      </c>
      <c r="H23" s="1217"/>
      <c r="I23" s="905">
        <v>22078</v>
      </c>
      <c r="K23" s="1977" t="s">
        <v>2046</v>
      </c>
      <c r="L23" s="935" t="s">
        <v>6</v>
      </c>
      <c r="M23" s="572">
        <v>191046.52</v>
      </c>
    </row>
    <row r="24" spans="1:13">
      <c r="A24" s="1224"/>
      <c r="B24" s="905">
        <v>21077</v>
      </c>
      <c r="D24" s="1700" t="s">
        <v>1987</v>
      </c>
      <c r="E24" s="935" t="s">
        <v>6</v>
      </c>
      <c r="F24" s="572">
        <v>0</v>
      </c>
      <c r="H24" s="1217"/>
      <c r="I24" s="905">
        <v>22085</v>
      </c>
      <c r="K24" s="1700" t="s">
        <v>2047</v>
      </c>
      <c r="L24" s="935" t="s">
        <v>6</v>
      </c>
      <c r="M24" s="572">
        <v>3286583.44</v>
      </c>
    </row>
    <row r="25" spans="1:13">
      <c r="A25" s="1217"/>
      <c r="B25" s="905">
        <v>21081</v>
      </c>
      <c r="D25" s="1700" t="s">
        <v>1988</v>
      </c>
      <c r="E25" s="935" t="s">
        <v>6</v>
      </c>
      <c r="F25" s="572">
        <v>29642677.09</v>
      </c>
      <c r="H25" s="1217"/>
      <c r="I25" s="905">
        <v>22087</v>
      </c>
      <c r="K25" s="1700" t="s">
        <v>2048</v>
      </c>
      <c r="L25" s="935" t="s">
        <v>6</v>
      </c>
      <c r="M25" s="572">
        <v>637707.86</v>
      </c>
    </row>
    <row r="26" spans="1:13">
      <c r="A26" s="1217"/>
      <c r="B26" s="905">
        <v>21082</v>
      </c>
      <c r="D26" s="1700" t="s">
        <v>1990</v>
      </c>
      <c r="E26" s="935" t="s">
        <v>6</v>
      </c>
      <c r="F26" s="572">
        <v>17998755.800000001</v>
      </c>
      <c r="H26" s="1217"/>
      <c r="I26" s="1221">
        <v>22090</v>
      </c>
      <c r="K26" s="1700" t="s">
        <v>2049</v>
      </c>
      <c r="L26" s="935" t="s">
        <v>6</v>
      </c>
      <c r="M26" s="572">
        <v>7438941.3899999997</v>
      </c>
    </row>
    <row r="27" spans="1:13">
      <c r="A27" s="1217"/>
      <c r="B27" s="905">
        <v>21084</v>
      </c>
      <c r="D27" s="1976" t="s">
        <v>1989</v>
      </c>
      <c r="E27" s="935" t="s">
        <v>6</v>
      </c>
      <c r="F27" s="572">
        <v>0</v>
      </c>
      <c r="H27" s="1217"/>
      <c r="I27" s="1221">
        <v>22094</v>
      </c>
      <c r="K27" s="1700" t="s">
        <v>2050</v>
      </c>
      <c r="L27" s="935" t="s">
        <v>6</v>
      </c>
      <c r="M27" s="572">
        <v>0</v>
      </c>
    </row>
    <row r="28" spans="1:13">
      <c r="A28" s="1217"/>
      <c r="B28" s="905">
        <v>21087</v>
      </c>
      <c r="D28" s="1977" t="s">
        <v>1991</v>
      </c>
      <c r="E28" s="935" t="s">
        <v>6</v>
      </c>
      <c r="F28" s="572">
        <v>0</v>
      </c>
      <c r="H28" s="1217"/>
      <c r="I28" s="905">
        <v>22100</v>
      </c>
      <c r="K28" s="1700" t="s">
        <v>2051</v>
      </c>
      <c r="L28" s="935" t="s">
        <v>6</v>
      </c>
      <c r="M28" s="572">
        <v>340761.07</v>
      </c>
    </row>
    <row r="29" spans="1:13">
      <c r="A29" s="1217"/>
      <c r="B29" s="905">
        <v>21201</v>
      </c>
      <c r="D29" s="1977" t="s">
        <v>1992</v>
      </c>
      <c r="E29" s="935" t="s">
        <v>6</v>
      </c>
      <c r="F29" s="572">
        <v>0</v>
      </c>
      <c r="H29" s="1217"/>
      <c r="I29" s="905">
        <v>22130</v>
      </c>
      <c r="K29" s="1700" t="s">
        <v>2052</v>
      </c>
      <c r="L29" s="935" t="s">
        <v>6</v>
      </c>
      <c r="M29" s="572">
        <v>0</v>
      </c>
    </row>
    <row r="30" spans="1:13">
      <c r="A30" s="1217"/>
      <c r="B30" s="905">
        <v>21202</v>
      </c>
      <c r="D30" s="1977" t="s">
        <v>1993</v>
      </c>
      <c r="E30" s="935" t="s">
        <v>6</v>
      </c>
      <c r="F30" s="572">
        <v>0</v>
      </c>
      <c r="H30" s="1217"/>
      <c r="I30" s="905">
        <v>22135</v>
      </c>
      <c r="K30" s="1976" t="s">
        <v>2053</v>
      </c>
      <c r="L30" s="935" t="s">
        <v>6</v>
      </c>
      <c r="M30" s="572">
        <v>0</v>
      </c>
    </row>
    <row r="31" spans="1:13">
      <c r="A31" s="1217"/>
      <c r="B31" s="905">
        <v>21203</v>
      </c>
      <c r="D31" s="1977" t="s">
        <v>1994</v>
      </c>
      <c r="E31" s="935" t="s">
        <v>6</v>
      </c>
      <c r="F31" s="572">
        <v>0</v>
      </c>
      <c r="H31" s="1217"/>
      <c r="I31" s="905">
        <v>22144</v>
      </c>
      <c r="K31" s="1700" t="s">
        <v>2054</v>
      </c>
      <c r="L31" s="935" t="s">
        <v>6</v>
      </c>
      <c r="M31" s="572">
        <v>0</v>
      </c>
    </row>
    <row r="32" spans="1:13">
      <c r="A32" s="1226"/>
      <c r="B32" s="905">
        <v>21204</v>
      </c>
      <c r="D32" s="1977" t="s">
        <v>1995</v>
      </c>
      <c r="E32" s="935" t="s">
        <v>6</v>
      </c>
      <c r="F32" s="572">
        <v>0</v>
      </c>
      <c r="H32" s="1217"/>
      <c r="I32" s="905">
        <v>22151</v>
      </c>
      <c r="K32" s="1976" t="s">
        <v>2055</v>
      </c>
      <c r="L32" s="935" t="s">
        <v>6</v>
      </c>
      <c r="M32" s="572">
        <v>79255.539999999994</v>
      </c>
    </row>
    <row r="33" spans="1:13">
      <c r="A33" s="1224"/>
      <c r="B33" s="905">
        <v>21205</v>
      </c>
      <c r="D33" s="1977" t="s">
        <v>1996</v>
      </c>
      <c r="E33" s="935" t="s">
        <v>6</v>
      </c>
      <c r="F33" s="572">
        <v>0</v>
      </c>
      <c r="H33" s="1217"/>
      <c r="I33" s="905">
        <v>22156</v>
      </c>
      <c r="K33" s="1976" t="s">
        <v>2056</v>
      </c>
      <c r="L33" s="935" t="s">
        <v>6</v>
      </c>
      <c r="M33" s="572">
        <v>13590926.08</v>
      </c>
    </row>
    <row r="34" spans="1:13">
      <c r="A34" s="1217"/>
      <c r="B34" s="905">
        <v>21401</v>
      </c>
      <c r="C34" s="1227"/>
      <c r="D34" s="1976" t="s">
        <v>1997</v>
      </c>
      <c r="E34" s="935" t="s">
        <v>6</v>
      </c>
      <c r="F34" s="572">
        <v>3558825.14</v>
      </c>
      <c r="H34" s="1217"/>
      <c r="I34" s="905">
        <v>22158</v>
      </c>
      <c r="K34" s="1700" t="s">
        <v>2057</v>
      </c>
      <c r="L34" s="935" t="s">
        <v>6</v>
      </c>
      <c r="M34" s="572">
        <v>797676.31</v>
      </c>
    </row>
    <row r="35" spans="1:13">
      <c r="A35" s="1217"/>
      <c r="B35" s="905">
        <v>21402</v>
      </c>
      <c r="C35" s="1227"/>
      <c r="D35" s="1976" t="s">
        <v>1998</v>
      </c>
      <c r="E35" s="935" t="s">
        <v>6</v>
      </c>
      <c r="F35" s="572">
        <v>0</v>
      </c>
      <c r="H35" s="1217"/>
      <c r="I35" s="1221">
        <v>22168</v>
      </c>
      <c r="K35" s="1700" t="s">
        <v>2058</v>
      </c>
      <c r="L35" s="935" t="s">
        <v>6</v>
      </c>
      <c r="M35" s="572">
        <v>0</v>
      </c>
    </row>
    <row r="36" spans="1:13">
      <c r="A36" s="1224"/>
      <c r="B36" s="905">
        <v>21451</v>
      </c>
      <c r="D36" s="1700" t="s">
        <v>1999</v>
      </c>
      <c r="E36" s="935" t="s">
        <v>6</v>
      </c>
      <c r="F36" s="572">
        <v>19199592.82</v>
      </c>
      <c r="H36" s="1217"/>
      <c r="I36" s="905">
        <v>22654</v>
      </c>
      <c r="K36" s="1700" t="s">
        <v>2059</v>
      </c>
      <c r="L36" s="935" t="s">
        <v>6</v>
      </c>
      <c r="M36" s="572">
        <v>19436786.629999999</v>
      </c>
    </row>
    <row r="37" spans="1:13">
      <c r="A37" s="1224"/>
      <c r="B37" s="905">
        <v>21452</v>
      </c>
      <c r="D37" s="1700" t="s">
        <v>2000</v>
      </c>
      <c r="E37" s="935" t="s">
        <v>6</v>
      </c>
      <c r="F37" s="572">
        <v>0</v>
      </c>
      <c r="H37" s="1217"/>
      <c r="I37" s="905">
        <v>22802</v>
      </c>
      <c r="K37" s="1989" t="s">
        <v>2270</v>
      </c>
      <c r="L37" s="935" t="s">
        <v>6</v>
      </c>
      <c r="M37" s="572">
        <v>0</v>
      </c>
    </row>
    <row r="38" spans="1:13">
      <c r="A38" s="1217"/>
      <c r="B38" s="905">
        <v>21902</v>
      </c>
      <c r="D38" s="1988" t="s">
        <v>2269</v>
      </c>
      <c r="E38" s="935" t="s">
        <v>6</v>
      </c>
      <c r="F38" s="572">
        <v>0</v>
      </c>
      <c r="H38" s="1217"/>
      <c r="I38" s="905">
        <v>23001</v>
      </c>
      <c r="K38" s="1976" t="s">
        <v>2060</v>
      </c>
      <c r="L38" s="935" t="s">
        <v>6</v>
      </c>
      <c r="M38" s="572">
        <v>7715551.8899999997</v>
      </c>
    </row>
    <row r="39" spans="1:13">
      <c r="A39" s="1217"/>
      <c r="B39" s="1221">
        <v>21903</v>
      </c>
      <c r="D39" s="1700" t="s">
        <v>2001</v>
      </c>
      <c r="E39" s="935" t="s">
        <v>6</v>
      </c>
      <c r="F39" s="572">
        <v>0</v>
      </c>
      <c r="H39" s="1217"/>
      <c r="I39" s="905">
        <v>23101</v>
      </c>
      <c r="K39" s="1700" t="s">
        <v>2061</v>
      </c>
      <c r="L39" s="935" t="s">
        <v>6</v>
      </c>
      <c r="M39" s="572">
        <v>0</v>
      </c>
    </row>
    <row r="40" spans="1:13">
      <c r="A40" s="1217"/>
      <c r="B40" s="1221">
        <v>21907</v>
      </c>
      <c r="D40" s="1700" t="s">
        <v>2002</v>
      </c>
      <c r="E40" s="935" t="s">
        <v>6</v>
      </c>
      <c r="F40" s="572">
        <v>0</v>
      </c>
      <c r="I40" s="905">
        <v>23102</v>
      </c>
      <c r="K40" s="1700" t="s">
        <v>2062</v>
      </c>
      <c r="L40" s="935" t="s">
        <v>6</v>
      </c>
      <c r="M40" s="572">
        <v>5413761.6799999997</v>
      </c>
    </row>
    <row r="41" spans="1:13">
      <c r="A41" s="1217"/>
      <c r="B41" s="1221">
        <v>21909</v>
      </c>
      <c r="D41" s="1700" t="s">
        <v>2003</v>
      </c>
      <c r="E41" s="935" t="s">
        <v>6</v>
      </c>
      <c r="F41" s="572">
        <v>0</v>
      </c>
      <c r="H41" s="1217"/>
      <c r="I41" s="905">
        <v>23151</v>
      </c>
      <c r="K41" s="1700" t="s">
        <v>2063</v>
      </c>
      <c r="L41" s="935" t="s">
        <v>6</v>
      </c>
      <c r="M41" s="572">
        <v>52736995.719999999</v>
      </c>
    </row>
    <row r="42" spans="1:13">
      <c r="A42" s="1217"/>
      <c r="B42" s="905">
        <v>21911</v>
      </c>
      <c r="D42" s="1700" t="s">
        <v>2004</v>
      </c>
      <c r="E42" s="935" t="s">
        <v>6</v>
      </c>
      <c r="F42" s="572">
        <v>1893826.52</v>
      </c>
      <c r="H42" s="1217"/>
      <c r="I42" s="905">
        <v>23701</v>
      </c>
      <c r="K42" s="1700" t="s">
        <v>2034</v>
      </c>
      <c r="L42" s="935" t="s">
        <v>6</v>
      </c>
      <c r="M42" s="572">
        <v>0</v>
      </c>
    </row>
    <row r="43" spans="1:13">
      <c r="A43" s="1217"/>
      <c r="B43" s="1221">
        <v>21912</v>
      </c>
      <c r="D43" s="1700" t="s">
        <v>2005</v>
      </c>
      <c r="E43" s="935" t="s">
        <v>6</v>
      </c>
      <c r="F43" s="572">
        <v>6413268.0800000001</v>
      </c>
      <c r="H43" s="1217"/>
      <c r="I43" s="905">
        <v>23702</v>
      </c>
      <c r="K43" s="1700" t="s">
        <v>2033</v>
      </c>
      <c r="L43" s="935" t="s">
        <v>6</v>
      </c>
      <c r="M43" s="1228">
        <v>5321561.82</v>
      </c>
    </row>
    <row r="44" spans="1:13">
      <c r="A44" s="1217"/>
      <c r="B44" s="905">
        <v>21913</v>
      </c>
      <c r="D44" s="1976" t="s">
        <v>2006</v>
      </c>
      <c r="E44" s="935" t="s">
        <v>6</v>
      </c>
      <c r="F44" s="572">
        <v>18635885.02</v>
      </c>
      <c r="H44" s="1217"/>
    </row>
    <row r="45" spans="1:13" ht="16" thickBot="1">
      <c r="A45" s="1217"/>
      <c r="B45" s="905">
        <v>21937</v>
      </c>
      <c r="D45" s="1976" t="s">
        <v>2007</v>
      </c>
      <c r="E45" s="935" t="s">
        <v>6</v>
      </c>
      <c r="F45" s="572">
        <v>0</v>
      </c>
      <c r="H45" s="1217"/>
      <c r="K45" s="1218" t="s">
        <v>2032</v>
      </c>
      <c r="L45" s="935" t="s">
        <v>6</v>
      </c>
      <c r="M45" s="1229">
        <f>ROUND(SUM(F11:F58)+SUM(M11:M43),2)</f>
        <v>345240384.01999998</v>
      </c>
    </row>
    <row r="46" spans="1:13" ht="16" thickTop="1">
      <c r="A46" s="1217"/>
      <c r="B46" s="905">
        <v>21943</v>
      </c>
      <c r="D46" s="1976" t="s">
        <v>2008</v>
      </c>
      <c r="E46" s="935" t="s">
        <v>6</v>
      </c>
      <c r="F46" s="572">
        <v>0</v>
      </c>
      <c r="H46" s="1217"/>
      <c r="I46" s="490"/>
      <c r="K46" s="1230"/>
      <c r="L46" s="1230"/>
      <c r="M46" s="1230"/>
    </row>
    <row r="47" spans="1:13">
      <c r="A47" s="1217"/>
      <c r="B47" s="905">
        <v>21945</v>
      </c>
      <c r="D47" s="1976" t="s">
        <v>2009</v>
      </c>
      <c r="E47" s="935" t="s">
        <v>6</v>
      </c>
      <c r="F47" s="572">
        <v>0</v>
      </c>
      <c r="H47" s="1217"/>
      <c r="K47" s="1231"/>
      <c r="L47" s="1231"/>
      <c r="M47" s="1232"/>
    </row>
    <row r="48" spans="1:13">
      <c r="A48" s="1217"/>
      <c r="B48" s="905">
        <v>21950</v>
      </c>
      <c r="D48" s="1700" t="s">
        <v>2010</v>
      </c>
      <c r="E48" s="935" t="s">
        <v>6</v>
      </c>
      <c r="F48" s="572">
        <v>0</v>
      </c>
      <c r="H48" s="1224"/>
      <c r="M48" s="1230"/>
    </row>
    <row r="49" spans="1:13">
      <c r="A49" s="1217"/>
      <c r="B49" s="905">
        <v>21959</v>
      </c>
      <c r="D49" s="1700" t="s">
        <v>2011</v>
      </c>
      <c r="E49" s="935" t="s">
        <v>6</v>
      </c>
      <c r="F49" s="572">
        <v>0</v>
      </c>
      <c r="H49" s="1217"/>
      <c r="K49" s="1219" t="s">
        <v>1167</v>
      </c>
      <c r="L49" s="1219"/>
    </row>
    <row r="50" spans="1:13">
      <c r="A50" s="1217"/>
      <c r="B50" s="905">
        <v>21962</v>
      </c>
      <c r="D50" s="1700" t="s">
        <v>2012</v>
      </c>
      <c r="E50" s="935" t="s">
        <v>6</v>
      </c>
      <c r="F50" s="572">
        <v>11807535.189999999</v>
      </c>
      <c r="H50" s="1217"/>
      <c r="I50" s="905" t="s">
        <v>1177</v>
      </c>
      <c r="K50" s="1977" t="s">
        <v>2025</v>
      </c>
      <c r="L50" s="935" t="s">
        <v>6</v>
      </c>
      <c r="M50" s="572">
        <v>4154194.8</v>
      </c>
    </row>
    <row r="51" spans="1:13">
      <c r="A51" s="1217"/>
      <c r="B51" s="905">
        <v>21978</v>
      </c>
      <c r="D51" s="1700" t="s">
        <v>2013</v>
      </c>
      <c r="E51" s="935" t="s">
        <v>6</v>
      </c>
      <c r="F51" s="572">
        <v>0</v>
      </c>
      <c r="H51" s="1217"/>
      <c r="I51" s="905" t="s">
        <v>1178</v>
      </c>
      <c r="K51" s="1977" t="s">
        <v>2023</v>
      </c>
      <c r="L51" s="935" t="s">
        <v>6</v>
      </c>
      <c r="M51" s="572">
        <v>193020388.43000001</v>
      </c>
    </row>
    <row r="52" spans="1:13">
      <c r="A52" s="1217"/>
      <c r="B52" s="905">
        <v>21979</v>
      </c>
      <c r="D52" s="1976" t="s">
        <v>2014</v>
      </c>
      <c r="E52" s="935" t="s">
        <v>6</v>
      </c>
      <c r="F52" s="572">
        <v>0</v>
      </c>
      <c r="H52" s="1224"/>
      <c r="I52" s="905" t="s">
        <v>1179</v>
      </c>
      <c r="K52" s="1977" t="s">
        <v>2024</v>
      </c>
      <c r="L52" s="935" t="s">
        <v>6</v>
      </c>
      <c r="M52" s="572">
        <v>7229618.71</v>
      </c>
    </row>
    <row r="53" spans="1:13">
      <c r="A53" s="1217"/>
      <c r="B53" s="905">
        <v>21989</v>
      </c>
      <c r="D53" s="1976" t="s">
        <v>2015</v>
      </c>
      <c r="E53" s="935" t="s">
        <v>6</v>
      </c>
      <c r="F53" s="572">
        <v>0</v>
      </c>
      <c r="I53" s="905" t="s">
        <v>1180</v>
      </c>
      <c r="J53" s="1233"/>
      <c r="K53" s="1700" t="s">
        <v>2026</v>
      </c>
      <c r="L53" s="935" t="s">
        <v>6</v>
      </c>
      <c r="M53" s="572">
        <v>480635266.32999998</v>
      </c>
    </row>
    <row r="54" spans="1:13">
      <c r="A54" s="1217"/>
      <c r="B54" s="1221">
        <v>22003</v>
      </c>
      <c r="D54" s="1700" t="s">
        <v>2016</v>
      </c>
      <c r="E54" s="935" t="s">
        <v>6</v>
      </c>
      <c r="F54" s="572">
        <v>0</v>
      </c>
      <c r="H54" s="1217"/>
      <c r="I54" s="905" t="s">
        <v>1181</v>
      </c>
      <c r="K54" s="1700" t="s">
        <v>2027</v>
      </c>
      <c r="L54" s="935" t="s">
        <v>6</v>
      </c>
      <c r="M54" s="572">
        <v>5318053.49</v>
      </c>
    </row>
    <row r="55" spans="1:13">
      <c r="A55" s="1217"/>
      <c r="B55" s="905">
        <v>22004</v>
      </c>
      <c r="D55" s="1700" t="s">
        <v>2017</v>
      </c>
      <c r="E55" s="935" t="s">
        <v>6</v>
      </c>
      <c r="F55" s="572">
        <v>0</v>
      </c>
      <c r="H55" s="1217"/>
      <c r="I55" s="1221">
        <v>25950</v>
      </c>
      <c r="K55" s="1700" t="s">
        <v>2028</v>
      </c>
      <c r="L55" s="935" t="s">
        <v>6</v>
      </c>
      <c r="M55" s="572">
        <v>0</v>
      </c>
    </row>
    <row r="56" spans="1:13">
      <c r="A56" s="1217"/>
      <c r="B56" s="905">
        <v>22006</v>
      </c>
      <c r="D56" s="1700" t="s">
        <v>2018</v>
      </c>
      <c r="E56" s="935" t="s">
        <v>6</v>
      </c>
      <c r="F56" s="572">
        <v>825576.32</v>
      </c>
      <c r="H56" s="1217"/>
      <c r="I56" s="905" t="s">
        <v>1182</v>
      </c>
      <c r="K56" s="1700" t="s">
        <v>2029</v>
      </c>
      <c r="L56" s="935" t="s">
        <v>6</v>
      </c>
      <c r="M56" s="572">
        <v>3253158.69</v>
      </c>
    </row>
    <row r="57" spans="1:13">
      <c r="A57" s="1217"/>
      <c r="B57" s="905">
        <v>22007</v>
      </c>
      <c r="D57" s="1976" t="s">
        <v>2019</v>
      </c>
      <c r="E57" s="935" t="s">
        <v>6</v>
      </c>
      <c r="F57" s="572">
        <v>625103.17000000004</v>
      </c>
      <c r="H57" s="1224"/>
      <c r="I57" s="1221">
        <v>31351</v>
      </c>
      <c r="K57" s="1700" t="s">
        <v>2030</v>
      </c>
      <c r="L57" s="935" t="s">
        <v>6</v>
      </c>
      <c r="M57" s="572">
        <v>6866197.8099999996</v>
      </c>
    </row>
    <row r="58" spans="1:13">
      <c r="A58" s="1217"/>
      <c r="B58" s="905">
        <v>22009</v>
      </c>
      <c r="D58" s="1700" t="s">
        <v>2020</v>
      </c>
      <c r="E58" s="935" t="s">
        <v>6</v>
      </c>
      <c r="F58" s="572">
        <v>157710.88</v>
      </c>
      <c r="H58" s="1217"/>
      <c r="I58" s="1221">
        <v>31354</v>
      </c>
      <c r="K58" s="1700" t="s">
        <v>2031</v>
      </c>
      <c r="L58" s="935" t="s">
        <v>6</v>
      </c>
      <c r="M58" s="572">
        <v>438550900.06999999</v>
      </c>
    </row>
    <row r="59" spans="1:13">
      <c r="H59" s="1217"/>
      <c r="I59" s="905" t="s">
        <v>1183</v>
      </c>
      <c r="K59" s="1700" t="s">
        <v>2022</v>
      </c>
      <c r="L59" s="935" t="s">
        <v>6</v>
      </c>
      <c r="M59" s="572">
        <v>119111453.39</v>
      </c>
    </row>
    <row r="60" spans="1:13">
      <c r="A60" s="1217"/>
      <c r="H60" s="1217"/>
      <c r="M60" s="1234"/>
    </row>
    <row r="61" spans="1:13" ht="16" thickBot="1">
      <c r="A61" s="1217"/>
      <c r="H61" s="1217"/>
      <c r="I61" s="1217"/>
      <c r="K61" s="1219" t="s">
        <v>2021</v>
      </c>
      <c r="L61" s="935" t="s">
        <v>6</v>
      </c>
      <c r="M61" s="1235">
        <f>ROUND(SUM(M50:M59),2)</f>
        <v>1258139231.72</v>
      </c>
    </row>
    <row r="62" spans="1:13" ht="16" thickTop="1">
      <c r="A62" s="1217"/>
      <c r="H62" s="1224"/>
    </row>
    <row r="63" spans="1:13">
      <c r="A63" s="1217"/>
      <c r="H63" s="1217"/>
    </row>
    <row r="64" spans="1:13">
      <c r="A64" s="1217"/>
      <c r="H64" s="1217"/>
    </row>
    <row r="65" spans="1:13" ht="15" customHeight="1">
      <c r="A65" s="1217"/>
      <c r="B65" s="905"/>
      <c r="F65" s="572"/>
      <c r="H65" s="1217"/>
    </row>
    <row r="66" spans="1:13" ht="15.5" customHeight="1">
      <c r="A66" s="1217"/>
      <c r="H66" s="1217"/>
    </row>
    <row r="67" spans="1:13">
      <c r="A67" s="1217"/>
      <c r="H67" s="1217"/>
    </row>
    <row r="68" spans="1:13">
      <c r="A68" s="1217"/>
      <c r="H68" s="1217"/>
    </row>
    <row r="69" spans="1:13" ht="17">
      <c r="G69" s="1206"/>
      <c r="H69" s="1236"/>
    </row>
    <row r="72" spans="1:13" ht="17">
      <c r="A72" s="1205" t="s">
        <v>0</v>
      </c>
      <c r="B72" s="1206"/>
      <c r="C72" s="1206"/>
      <c r="D72" s="1206"/>
      <c r="E72" s="1206"/>
      <c r="F72" s="1207"/>
      <c r="G72" s="1206"/>
      <c r="H72" s="1205"/>
      <c r="I72" s="1206"/>
      <c r="J72" s="1206"/>
      <c r="K72" s="1206"/>
      <c r="L72" s="1206"/>
      <c r="M72" s="1208" t="s">
        <v>1171</v>
      </c>
    </row>
    <row r="73" spans="1:13" ht="17">
      <c r="A73" s="1210" t="s">
        <v>1163</v>
      </c>
      <c r="B73" s="1206"/>
      <c r="C73" s="1206"/>
      <c r="D73" s="1206"/>
      <c r="E73" s="1206"/>
      <c r="F73" s="1207"/>
      <c r="G73" s="1206"/>
      <c r="H73" s="1210"/>
      <c r="I73" s="1206"/>
      <c r="J73" s="1206"/>
      <c r="K73" s="1206"/>
      <c r="L73" s="1206"/>
      <c r="M73" s="1208" t="s">
        <v>131</v>
      </c>
    </row>
    <row r="74" spans="1:13" ht="17">
      <c r="A74" s="1210" t="str">
        <f>A5</f>
        <v>AS OF MARCH 31, 2016</v>
      </c>
      <c r="B74" s="1206"/>
      <c r="C74" s="1206"/>
      <c r="D74" s="1206"/>
      <c r="E74" s="1206"/>
      <c r="F74" s="1207"/>
      <c r="H74" s="1210"/>
      <c r="I74" s="1206"/>
      <c r="J74" s="1206"/>
      <c r="K74" s="1206"/>
      <c r="L74" s="1206"/>
      <c r="M74" s="1208"/>
    </row>
    <row r="75" spans="1:13" ht="17">
      <c r="A75" s="1210"/>
      <c r="B75" s="1206"/>
      <c r="C75" s="1206"/>
      <c r="D75" s="1206"/>
      <c r="E75" s="1206"/>
      <c r="F75" s="1207"/>
      <c r="H75" s="1210"/>
      <c r="I75" s="1206"/>
      <c r="J75" s="1206"/>
      <c r="K75" s="1206"/>
      <c r="L75" s="1206"/>
      <c r="M75" s="1208"/>
    </row>
    <row r="76" spans="1:13" ht="17">
      <c r="A76" s="1210"/>
      <c r="B76" s="1206"/>
      <c r="C76" s="1206"/>
      <c r="D76" s="1206"/>
      <c r="E76" s="1206"/>
      <c r="F76" s="1207"/>
      <c r="H76" s="1210"/>
      <c r="I76" s="1206"/>
      <c r="J76" s="1206"/>
      <c r="K76" s="1206"/>
      <c r="L76" s="1206"/>
      <c r="M76" s="1208"/>
    </row>
    <row r="77" spans="1:13">
      <c r="A77" s="1212"/>
      <c r="F77" s="1212"/>
      <c r="M77" s="1212"/>
    </row>
    <row r="78" spans="1:13">
      <c r="B78" s="1213"/>
      <c r="F78" s="1214" t="s">
        <v>1172</v>
      </c>
      <c r="H78" s="1237" t="s">
        <v>6</v>
      </c>
      <c r="M78" s="1214" t="s">
        <v>1172</v>
      </c>
    </row>
    <row r="79" spans="1:13">
      <c r="B79" s="1215" t="s">
        <v>1173</v>
      </c>
      <c r="D79" s="1215" t="s">
        <v>1174</v>
      </c>
      <c r="E79" s="1215"/>
      <c r="F79" s="1216" t="s">
        <v>1175</v>
      </c>
      <c r="I79" s="1215" t="s">
        <v>1173</v>
      </c>
      <c r="K79" s="1215" t="s">
        <v>1174</v>
      </c>
      <c r="L79" s="1215"/>
      <c r="M79" s="1216" t="s">
        <v>1175</v>
      </c>
    </row>
    <row r="80" spans="1:13">
      <c r="A80" s="1217"/>
      <c r="B80" s="1217"/>
      <c r="D80" s="1225"/>
      <c r="E80" s="1225"/>
      <c r="M80" s="1238"/>
    </row>
    <row r="82" spans="2:13">
      <c r="B82" s="1217"/>
      <c r="D82" s="1218" t="s">
        <v>1169</v>
      </c>
      <c r="E82" s="1218"/>
      <c r="H82" s="1217"/>
      <c r="K82" s="1218" t="s">
        <v>1184</v>
      </c>
      <c r="L82" s="1218"/>
    </row>
    <row r="83" spans="2:13">
      <c r="B83" s="905">
        <v>30051</v>
      </c>
      <c r="D83" s="1700" t="s">
        <v>2064</v>
      </c>
      <c r="E83" s="935" t="s">
        <v>6</v>
      </c>
      <c r="F83" s="572">
        <v>0</v>
      </c>
      <c r="G83" s="1239"/>
      <c r="H83" s="1217"/>
      <c r="I83" s="905">
        <v>30149</v>
      </c>
      <c r="K83" s="1700" t="s">
        <v>2113</v>
      </c>
      <c r="L83" s="935" t="s">
        <v>6</v>
      </c>
      <c r="M83" s="572">
        <v>0</v>
      </c>
    </row>
    <row r="84" spans="2:13">
      <c r="B84" s="905">
        <v>30101</v>
      </c>
      <c r="D84" s="1976" t="s">
        <v>2065</v>
      </c>
      <c r="E84" s="935" t="s">
        <v>6</v>
      </c>
      <c r="F84" s="572">
        <v>0</v>
      </c>
      <c r="H84" s="1217"/>
      <c r="I84" s="905">
        <v>30150</v>
      </c>
      <c r="K84" s="1700" t="s">
        <v>2114</v>
      </c>
      <c r="L84" s="935" t="s">
        <v>6</v>
      </c>
      <c r="M84" s="572">
        <v>0</v>
      </c>
    </row>
    <row r="85" spans="2:13">
      <c r="B85" s="905">
        <v>30102</v>
      </c>
      <c r="D85" s="1976" t="s">
        <v>2066</v>
      </c>
      <c r="E85" s="935" t="s">
        <v>6</v>
      </c>
      <c r="F85" s="572">
        <v>0</v>
      </c>
      <c r="G85" s="1240"/>
      <c r="H85" s="1217"/>
      <c r="I85" s="905">
        <v>30151</v>
      </c>
      <c r="K85" s="1700" t="s">
        <v>2115</v>
      </c>
      <c r="L85" s="935" t="s">
        <v>6</v>
      </c>
      <c r="M85" s="572">
        <v>0</v>
      </c>
    </row>
    <row r="86" spans="2:13" ht="15" customHeight="1">
      <c r="B86" s="905">
        <v>30103</v>
      </c>
      <c r="D86" s="1976" t="s">
        <v>2067</v>
      </c>
      <c r="E86" s="935" t="s">
        <v>6</v>
      </c>
      <c r="F86" s="572">
        <v>0</v>
      </c>
      <c r="H86" s="1223"/>
      <c r="I86" s="905">
        <v>30152</v>
      </c>
      <c r="K86" s="1700" t="s">
        <v>2116</v>
      </c>
      <c r="L86" s="935" t="s">
        <v>6</v>
      </c>
      <c r="M86" s="572">
        <v>0</v>
      </c>
    </row>
    <row r="87" spans="2:13" ht="15" customHeight="1">
      <c r="B87" s="1221">
        <v>30104</v>
      </c>
      <c r="D87" s="1977" t="s">
        <v>2068</v>
      </c>
      <c r="E87" s="935" t="s">
        <v>6</v>
      </c>
      <c r="F87" s="572">
        <v>0</v>
      </c>
      <c r="H87" s="1241"/>
      <c r="I87" s="905">
        <v>30153</v>
      </c>
      <c r="K87" s="1700" t="s">
        <v>2117</v>
      </c>
      <c r="L87" s="935" t="s">
        <v>6</v>
      </c>
      <c r="M87" s="572">
        <v>0</v>
      </c>
    </row>
    <row r="88" spans="2:13">
      <c r="B88" s="905">
        <v>30105</v>
      </c>
      <c r="D88" s="1976" t="s">
        <v>2069</v>
      </c>
      <c r="E88" s="935" t="s">
        <v>6</v>
      </c>
      <c r="F88" s="572">
        <v>0</v>
      </c>
      <c r="H88" s="1217"/>
      <c r="I88" s="905">
        <v>30154</v>
      </c>
      <c r="K88" s="1700" t="s">
        <v>2118</v>
      </c>
      <c r="L88" s="935" t="s">
        <v>6</v>
      </c>
      <c r="M88" s="572">
        <v>0</v>
      </c>
    </row>
    <row r="89" spans="2:13">
      <c r="B89" s="905">
        <v>30106</v>
      </c>
      <c r="D89" s="1976" t="s">
        <v>2070</v>
      </c>
      <c r="E89" s="935" t="s">
        <v>6</v>
      </c>
      <c r="F89" s="572">
        <v>0</v>
      </c>
      <c r="H89" s="1217"/>
      <c r="I89" s="1242">
        <v>30351</v>
      </c>
      <c r="J89" s="1243"/>
      <c r="K89" s="1978" t="s">
        <v>2119</v>
      </c>
      <c r="L89" s="935" t="s">
        <v>6</v>
      </c>
      <c r="M89" s="2233">
        <v>83050823.319999993</v>
      </c>
    </row>
    <row r="90" spans="2:13">
      <c r="B90" s="905">
        <v>30107</v>
      </c>
      <c r="D90" s="1976" t="s">
        <v>2071</v>
      </c>
      <c r="E90" s="935" t="s">
        <v>6</v>
      </c>
      <c r="F90" s="572">
        <v>0</v>
      </c>
      <c r="I90" s="905">
        <v>30501</v>
      </c>
      <c r="K90" s="1700" t="s">
        <v>2120</v>
      </c>
      <c r="L90" s="935" t="s">
        <v>6</v>
      </c>
      <c r="M90" s="2233">
        <v>0</v>
      </c>
    </row>
    <row r="91" spans="2:13">
      <c r="B91" s="905">
        <v>30108</v>
      </c>
      <c r="D91" s="1976" t="s">
        <v>2072</v>
      </c>
      <c r="E91" s="935" t="s">
        <v>6</v>
      </c>
      <c r="F91" s="572">
        <v>0</v>
      </c>
      <c r="G91" s="1240"/>
      <c r="I91" s="905">
        <v>30502</v>
      </c>
      <c r="K91" s="1700" t="s">
        <v>2121</v>
      </c>
      <c r="L91" s="935" t="s">
        <v>6</v>
      </c>
      <c r="M91" s="2233">
        <v>0</v>
      </c>
    </row>
    <row r="92" spans="2:13">
      <c r="B92" s="905">
        <v>30109</v>
      </c>
      <c r="D92" s="1976" t="s">
        <v>2073</v>
      </c>
      <c r="E92" s="935" t="s">
        <v>6</v>
      </c>
      <c r="F92" s="572">
        <v>0</v>
      </c>
      <c r="G92" s="1240"/>
      <c r="I92" s="905">
        <v>30503</v>
      </c>
      <c r="K92" s="1700" t="s">
        <v>2122</v>
      </c>
      <c r="L92" s="935" t="s">
        <v>6</v>
      </c>
      <c r="M92" s="2233">
        <v>0</v>
      </c>
    </row>
    <row r="93" spans="2:13">
      <c r="B93" s="905">
        <v>30110</v>
      </c>
      <c r="D93" s="1976" t="s">
        <v>2074</v>
      </c>
      <c r="E93" s="935" t="s">
        <v>6</v>
      </c>
      <c r="F93" s="572">
        <v>0</v>
      </c>
      <c r="G93" s="1240"/>
      <c r="H93" s="1217"/>
      <c r="I93" s="905">
        <v>30504</v>
      </c>
      <c r="K93" s="1700" t="s">
        <v>2123</v>
      </c>
      <c r="L93" s="935" t="s">
        <v>6</v>
      </c>
      <c r="M93" s="2233">
        <v>0</v>
      </c>
    </row>
    <row r="94" spans="2:13">
      <c r="B94" s="905">
        <v>30111</v>
      </c>
      <c r="D94" s="1976" t="s">
        <v>2075</v>
      </c>
      <c r="E94" s="935" t="s">
        <v>6</v>
      </c>
      <c r="F94" s="572">
        <v>0</v>
      </c>
      <c r="G94" s="1240"/>
      <c r="H94" s="1217"/>
      <c r="I94" s="905">
        <v>31506</v>
      </c>
      <c r="K94" s="1700" t="s">
        <v>2124</v>
      </c>
      <c r="L94" s="935" t="s">
        <v>6</v>
      </c>
      <c r="M94" s="2233">
        <v>147782868.11000001</v>
      </c>
    </row>
    <row r="95" spans="2:13">
      <c r="B95" s="905">
        <v>30112</v>
      </c>
      <c r="D95" s="1976" t="s">
        <v>2076</v>
      </c>
      <c r="E95" s="935" t="s">
        <v>6</v>
      </c>
      <c r="F95" s="572">
        <v>0</v>
      </c>
      <c r="H95" s="1217"/>
      <c r="I95" s="905">
        <v>31701</v>
      </c>
      <c r="K95" s="1700" t="s">
        <v>2125</v>
      </c>
      <c r="L95" s="935" t="s">
        <v>6</v>
      </c>
      <c r="M95" s="2233">
        <v>22590743.140000001</v>
      </c>
    </row>
    <row r="96" spans="2:13">
      <c r="B96" s="905">
        <v>30113</v>
      </c>
      <c r="D96" s="1976" t="s">
        <v>2077</v>
      </c>
      <c r="E96" s="935" t="s">
        <v>6</v>
      </c>
      <c r="F96" s="572">
        <v>0</v>
      </c>
      <c r="H96" s="1217"/>
      <c r="I96" s="905">
        <v>31801</v>
      </c>
      <c r="K96" s="1700" t="s">
        <v>2126</v>
      </c>
      <c r="L96" s="935" t="s">
        <v>6</v>
      </c>
      <c r="M96" s="2233">
        <v>10815607.539999999</v>
      </c>
    </row>
    <row r="97" spans="2:13">
      <c r="B97" s="905">
        <v>30114</v>
      </c>
      <c r="D97" s="1976" t="s">
        <v>2078</v>
      </c>
      <c r="E97" s="935" t="s">
        <v>6</v>
      </c>
      <c r="F97" s="572">
        <v>0</v>
      </c>
      <c r="H97" s="1217"/>
      <c r="I97" s="905">
        <v>31851</v>
      </c>
      <c r="K97" s="1700" t="s">
        <v>2127</v>
      </c>
      <c r="L97" s="935" t="s">
        <v>6</v>
      </c>
      <c r="M97" s="2233">
        <v>19608622.210000001</v>
      </c>
    </row>
    <row r="98" spans="2:13">
      <c r="B98" s="905">
        <v>30115</v>
      </c>
      <c r="D98" s="1700" t="s">
        <v>2079</v>
      </c>
      <c r="E98" s="935" t="s">
        <v>6</v>
      </c>
      <c r="F98" s="572">
        <v>0</v>
      </c>
      <c r="I98" s="905">
        <v>31852</v>
      </c>
      <c r="K98" s="1989" t="s">
        <v>2439</v>
      </c>
      <c r="L98" s="935" t="s">
        <v>6</v>
      </c>
      <c r="M98" s="2233">
        <v>29437271.890000001</v>
      </c>
    </row>
    <row r="99" spans="2:13">
      <c r="B99" s="905">
        <v>30116</v>
      </c>
      <c r="D99" s="1700" t="s">
        <v>2080</v>
      </c>
      <c r="E99" s="935" t="s">
        <v>6</v>
      </c>
      <c r="F99" s="572">
        <v>0</v>
      </c>
      <c r="H99" s="1217"/>
      <c r="I99" s="905">
        <v>31853</v>
      </c>
      <c r="K99" s="1700" t="s">
        <v>2128</v>
      </c>
      <c r="L99" s="935" t="s">
        <v>6</v>
      </c>
      <c r="M99" s="2233">
        <v>95498420.310000002</v>
      </c>
    </row>
    <row r="100" spans="2:13">
      <c r="B100" s="905">
        <v>30117</v>
      </c>
      <c r="D100" s="1700" t="s">
        <v>2081</v>
      </c>
      <c r="E100" s="935" t="s">
        <v>6</v>
      </c>
      <c r="F100" s="572">
        <v>0</v>
      </c>
      <c r="H100" s="1217"/>
      <c r="I100" s="905">
        <v>31854</v>
      </c>
      <c r="K100" s="1700" t="s">
        <v>2129</v>
      </c>
      <c r="L100" s="935" t="s">
        <v>6</v>
      </c>
      <c r="M100" s="2233">
        <v>0</v>
      </c>
    </row>
    <row r="101" spans="2:13">
      <c r="B101" s="905">
        <v>30118</v>
      </c>
      <c r="D101" s="1700" t="s">
        <v>2082</v>
      </c>
      <c r="E101" s="935" t="s">
        <v>6</v>
      </c>
      <c r="F101" s="572">
        <v>0</v>
      </c>
      <c r="H101" s="1217"/>
      <c r="I101" s="905">
        <v>31951</v>
      </c>
      <c r="K101" s="1700" t="s">
        <v>2130</v>
      </c>
      <c r="L101" s="935" t="s">
        <v>6</v>
      </c>
      <c r="M101" s="2233">
        <v>12564162.119999999</v>
      </c>
    </row>
    <row r="102" spans="2:13">
      <c r="B102" s="905">
        <v>30119</v>
      </c>
      <c r="D102" s="1700" t="s">
        <v>2083</v>
      </c>
      <c r="E102" s="935" t="s">
        <v>6</v>
      </c>
      <c r="F102" s="572">
        <v>0</v>
      </c>
      <c r="H102" s="1217"/>
      <c r="I102" s="905">
        <v>32213</v>
      </c>
      <c r="K102" s="1700" t="s">
        <v>2131</v>
      </c>
      <c r="L102" s="935" t="s">
        <v>6</v>
      </c>
      <c r="M102" s="2233">
        <v>153750</v>
      </c>
    </row>
    <row r="103" spans="2:13" ht="15" customHeight="1">
      <c r="B103" s="905">
        <v>30120</v>
      </c>
      <c r="D103" s="1700" t="s">
        <v>2084</v>
      </c>
      <c r="E103" s="935" t="s">
        <v>6</v>
      </c>
      <c r="F103" s="572">
        <v>0</v>
      </c>
      <c r="H103" s="1217"/>
      <c r="I103" s="905">
        <v>32215</v>
      </c>
      <c r="K103" s="1700" t="s">
        <v>2638</v>
      </c>
      <c r="L103" s="1700" t="s">
        <v>6</v>
      </c>
      <c r="M103" s="2233">
        <v>29479.360000000001</v>
      </c>
    </row>
    <row r="104" spans="2:13">
      <c r="B104" s="905">
        <v>30121</v>
      </c>
      <c r="D104" s="1700" t="s">
        <v>2085</v>
      </c>
      <c r="E104" s="935" t="s">
        <v>6</v>
      </c>
      <c r="F104" s="572">
        <v>0</v>
      </c>
      <c r="H104" s="1217"/>
      <c r="I104" s="905">
        <v>32301</v>
      </c>
      <c r="K104" s="1700" t="s">
        <v>2132</v>
      </c>
      <c r="L104" s="935" t="s">
        <v>6</v>
      </c>
      <c r="M104" s="2233">
        <v>0</v>
      </c>
    </row>
    <row r="105" spans="2:13">
      <c r="B105" s="905">
        <v>30122</v>
      </c>
      <c r="D105" s="1700" t="s">
        <v>2086</v>
      </c>
      <c r="E105" s="935" t="s">
        <v>6</v>
      </c>
      <c r="F105" s="572">
        <v>0</v>
      </c>
      <c r="H105" s="1217"/>
      <c r="I105" s="905">
        <v>32302</v>
      </c>
      <c r="K105" s="1700" t="s">
        <v>2133</v>
      </c>
      <c r="L105" s="935" t="s">
        <v>6</v>
      </c>
      <c r="M105" s="2233">
        <v>0</v>
      </c>
    </row>
    <row r="106" spans="2:13">
      <c r="B106" s="905">
        <v>30123</v>
      </c>
      <c r="D106" s="1700" t="s">
        <v>2087</v>
      </c>
      <c r="E106" s="935" t="s">
        <v>6</v>
      </c>
      <c r="F106" s="572">
        <v>0</v>
      </c>
      <c r="G106" s="1240"/>
      <c r="H106" s="1217"/>
      <c r="I106" s="905">
        <v>32303</v>
      </c>
      <c r="K106" s="1700" t="s">
        <v>2134</v>
      </c>
      <c r="L106" s="935" t="s">
        <v>6</v>
      </c>
      <c r="M106" s="2233">
        <v>140333102.09</v>
      </c>
    </row>
    <row r="107" spans="2:13">
      <c r="B107" s="905">
        <v>30124</v>
      </c>
      <c r="D107" s="1700" t="s">
        <v>2088</v>
      </c>
      <c r="E107" s="935" t="s">
        <v>6</v>
      </c>
      <c r="F107" s="572">
        <v>0</v>
      </c>
      <c r="G107" s="1240"/>
      <c r="H107" s="1217"/>
      <c r="I107" s="905">
        <v>32304</v>
      </c>
      <c r="K107" s="1700" t="s">
        <v>2135</v>
      </c>
      <c r="L107" s="935" t="s">
        <v>6</v>
      </c>
      <c r="M107" s="2233">
        <v>0</v>
      </c>
    </row>
    <row r="108" spans="2:13">
      <c r="B108" s="905">
        <v>30125</v>
      </c>
      <c r="D108" s="1700" t="s">
        <v>2089</v>
      </c>
      <c r="E108" s="935" t="s">
        <v>6</v>
      </c>
      <c r="F108" s="572">
        <v>0</v>
      </c>
      <c r="H108" s="1217"/>
      <c r="I108" s="905">
        <v>32305</v>
      </c>
      <c r="K108" s="1700" t="s">
        <v>2136</v>
      </c>
      <c r="L108" s="935" t="s">
        <v>6</v>
      </c>
      <c r="M108" s="2233">
        <v>207976432.06999999</v>
      </c>
    </row>
    <row r="109" spans="2:13">
      <c r="B109" s="905">
        <v>30126</v>
      </c>
      <c r="D109" s="1700" t="s">
        <v>2090</v>
      </c>
      <c r="E109" s="935" t="s">
        <v>6</v>
      </c>
      <c r="F109" s="572">
        <v>0</v>
      </c>
      <c r="H109" s="1217"/>
      <c r="I109" s="905">
        <v>32306</v>
      </c>
      <c r="K109" s="1700" t="s">
        <v>2137</v>
      </c>
      <c r="L109" s="935" t="s">
        <v>6</v>
      </c>
      <c r="M109" s="2233">
        <v>29742082.890000001</v>
      </c>
    </row>
    <row r="110" spans="2:13">
      <c r="B110" s="905">
        <v>30127</v>
      </c>
      <c r="D110" s="1700" t="s">
        <v>2091</v>
      </c>
      <c r="E110" s="935" t="s">
        <v>6</v>
      </c>
      <c r="F110" s="572">
        <v>0</v>
      </c>
      <c r="H110" s="1217"/>
      <c r="I110" s="905">
        <v>32307</v>
      </c>
      <c r="K110" s="1700" t="s">
        <v>2138</v>
      </c>
      <c r="L110" s="935" t="s">
        <v>6</v>
      </c>
      <c r="M110" s="2233">
        <v>2906639.89</v>
      </c>
    </row>
    <row r="111" spans="2:13">
      <c r="B111" s="905">
        <v>30128</v>
      </c>
      <c r="D111" s="1700" t="s">
        <v>2092</v>
      </c>
      <c r="E111" s="935" t="s">
        <v>6</v>
      </c>
      <c r="F111" s="572">
        <v>0</v>
      </c>
      <c r="H111" s="1217"/>
      <c r="I111" s="905">
        <v>32308</v>
      </c>
      <c r="K111" s="1700" t="s">
        <v>2139</v>
      </c>
      <c r="L111" s="935" t="s">
        <v>6</v>
      </c>
      <c r="M111" s="2233">
        <v>488054.67</v>
      </c>
    </row>
    <row r="112" spans="2:13" ht="15" customHeight="1">
      <c r="B112" s="905">
        <v>30129</v>
      </c>
      <c r="D112" s="1700" t="s">
        <v>2093</v>
      </c>
      <c r="E112" s="935" t="s">
        <v>6</v>
      </c>
      <c r="F112" s="572">
        <v>0</v>
      </c>
      <c r="H112" s="1217"/>
      <c r="I112" s="905">
        <v>32309</v>
      </c>
      <c r="K112" s="1700" t="s">
        <v>2140</v>
      </c>
      <c r="L112" s="935" t="s">
        <v>6</v>
      </c>
      <c r="M112" s="2233">
        <v>80145576.25</v>
      </c>
    </row>
    <row r="113" spans="2:16" ht="15" customHeight="1">
      <c r="B113" s="905">
        <v>30130</v>
      </c>
      <c r="D113" s="1700" t="s">
        <v>2094</v>
      </c>
      <c r="E113" s="935" t="s">
        <v>6</v>
      </c>
      <c r="F113" s="572">
        <v>0</v>
      </c>
      <c r="H113" s="1217"/>
      <c r="I113" s="905">
        <v>32310</v>
      </c>
      <c r="K113" s="1700" t="s">
        <v>2141</v>
      </c>
      <c r="L113" s="935" t="s">
        <v>6</v>
      </c>
      <c r="M113" s="2233">
        <v>0</v>
      </c>
    </row>
    <row r="114" spans="2:16">
      <c r="B114" s="905">
        <v>30131</v>
      </c>
      <c r="D114" s="1700" t="s">
        <v>2095</v>
      </c>
      <c r="E114" s="935" t="s">
        <v>6</v>
      </c>
      <c r="F114" s="572">
        <v>0</v>
      </c>
      <c r="H114" s="1217"/>
      <c r="I114" s="905">
        <v>32311</v>
      </c>
      <c r="K114" s="1700" t="s">
        <v>2142</v>
      </c>
      <c r="L114" s="935" t="s">
        <v>6</v>
      </c>
      <c r="M114" s="2233">
        <v>1615744.7</v>
      </c>
    </row>
    <row r="115" spans="2:16">
      <c r="B115" s="905">
        <v>30132</v>
      </c>
      <c r="D115" s="1700" t="s">
        <v>2096</v>
      </c>
      <c r="E115" s="935" t="s">
        <v>6</v>
      </c>
      <c r="F115" s="572">
        <v>0</v>
      </c>
      <c r="H115" s="1217"/>
      <c r="I115" s="905">
        <v>32351</v>
      </c>
      <c r="K115" s="1700" t="s">
        <v>2143</v>
      </c>
      <c r="L115" s="935" t="s">
        <v>6</v>
      </c>
      <c r="M115" s="2233">
        <v>0</v>
      </c>
    </row>
    <row r="116" spans="2:16">
      <c r="B116" s="905">
        <v>30133</v>
      </c>
      <c r="D116" s="1700" t="s">
        <v>2097</v>
      </c>
      <c r="E116" s="935" t="s">
        <v>6</v>
      </c>
      <c r="F116" s="572">
        <v>0</v>
      </c>
      <c r="H116" s="1217"/>
      <c r="I116" s="905">
        <v>32352</v>
      </c>
      <c r="K116" s="1700" t="s">
        <v>2144</v>
      </c>
      <c r="L116" s="935" t="s">
        <v>6</v>
      </c>
      <c r="M116" s="2233">
        <v>33034954.859999999</v>
      </c>
    </row>
    <row r="117" spans="2:16">
      <c r="B117" s="905">
        <v>30134</v>
      </c>
      <c r="D117" s="1700" t="s">
        <v>2098</v>
      </c>
      <c r="E117" s="935" t="s">
        <v>6</v>
      </c>
      <c r="F117" s="572">
        <v>0</v>
      </c>
      <c r="H117" s="1217"/>
      <c r="I117" s="905">
        <v>33001</v>
      </c>
      <c r="K117" s="1700" t="s">
        <v>2145</v>
      </c>
      <c r="L117" s="935" t="s">
        <v>6</v>
      </c>
      <c r="M117" s="2395">
        <v>48673643.619999997</v>
      </c>
      <c r="P117" s="1230"/>
    </row>
    <row r="118" spans="2:16">
      <c r="B118" s="905">
        <v>30135</v>
      </c>
      <c r="D118" s="1700" t="s">
        <v>2099</v>
      </c>
      <c r="E118" s="935" t="s">
        <v>6</v>
      </c>
      <c r="F118" s="572">
        <v>0</v>
      </c>
      <c r="H118" s="1217"/>
      <c r="I118" s="1217"/>
      <c r="P118" s="1230"/>
    </row>
    <row r="119" spans="2:16" ht="16" thickBot="1">
      <c r="B119" s="905">
        <v>30136</v>
      </c>
      <c r="D119" s="1700" t="s">
        <v>2100</v>
      </c>
      <c r="E119" s="935" t="s">
        <v>6</v>
      </c>
      <c r="F119" s="572">
        <v>0</v>
      </c>
      <c r="H119" s="1217"/>
      <c r="I119" s="1217"/>
      <c r="K119" s="1219" t="s">
        <v>2146</v>
      </c>
      <c r="L119" s="935" t="s">
        <v>6</v>
      </c>
      <c r="M119" s="1235">
        <f>ROUND(SUM(F82:F131,M83:M103,M104:M117),2)</f>
        <v>966447979.03999996</v>
      </c>
      <c r="P119" s="1230"/>
    </row>
    <row r="120" spans="2:16" ht="16" thickTop="1">
      <c r="B120" s="905">
        <v>30137</v>
      </c>
      <c r="D120" s="1700" t="s">
        <v>2101</v>
      </c>
      <c r="E120" s="935" t="s">
        <v>6</v>
      </c>
      <c r="F120" s="572">
        <v>0</v>
      </c>
      <c r="H120" s="1217"/>
      <c r="P120" s="1230"/>
    </row>
    <row r="121" spans="2:16">
      <c r="B121" s="905">
        <v>30138</v>
      </c>
      <c r="D121" s="1700" t="s">
        <v>2102</v>
      </c>
      <c r="E121" s="935" t="s">
        <v>6</v>
      </c>
      <c r="F121" s="572">
        <v>0</v>
      </c>
      <c r="H121" s="1217"/>
    </row>
    <row r="122" spans="2:16">
      <c r="B122" s="905">
        <v>30139</v>
      </c>
      <c r="D122" s="1700" t="s">
        <v>2103</v>
      </c>
      <c r="E122" s="935" t="s">
        <v>6</v>
      </c>
      <c r="F122" s="572">
        <v>0</v>
      </c>
      <c r="H122" s="1217"/>
    </row>
    <row r="123" spans="2:16">
      <c r="B123" s="905">
        <v>30140</v>
      </c>
      <c r="D123" s="1700" t="s">
        <v>2104</v>
      </c>
      <c r="E123" s="935" t="s">
        <v>6</v>
      </c>
      <c r="F123" s="572">
        <v>0</v>
      </c>
      <c r="H123" s="1217"/>
      <c r="I123" s="1217"/>
      <c r="K123" s="1218" t="s">
        <v>1168</v>
      </c>
      <c r="L123" s="1218"/>
    </row>
    <row r="124" spans="2:16">
      <c r="B124" s="905">
        <v>30141</v>
      </c>
      <c r="D124" s="1700" t="s">
        <v>2105</v>
      </c>
      <c r="E124" s="935" t="s">
        <v>6</v>
      </c>
      <c r="F124" s="572">
        <v>0</v>
      </c>
      <c r="H124" s="1217"/>
      <c r="I124" s="905">
        <v>50318</v>
      </c>
      <c r="K124" s="1700" t="s">
        <v>2147</v>
      </c>
      <c r="L124" s="935" t="s">
        <v>6</v>
      </c>
      <c r="M124" s="525">
        <v>0</v>
      </c>
    </row>
    <row r="125" spans="2:16">
      <c r="B125" s="905">
        <v>30142</v>
      </c>
      <c r="D125" s="1700" t="s">
        <v>2106</v>
      </c>
      <c r="E125" s="935" t="s">
        <v>6</v>
      </c>
      <c r="F125" s="572">
        <v>0</v>
      </c>
      <c r="H125" s="1217"/>
      <c r="I125" s="1223"/>
      <c r="M125" s="1244"/>
    </row>
    <row r="126" spans="2:16" ht="16" thickBot="1">
      <c r="B126" s="905">
        <v>30143</v>
      </c>
      <c r="D126" s="1700" t="s">
        <v>2107</v>
      </c>
      <c r="E126" s="935" t="s">
        <v>6</v>
      </c>
      <c r="F126" s="572">
        <v>0</v>
      </c>
      <c r="H126" s="1217"/>
      <c r="I126" s="1217"/>
      <c r="K126" s="1218" t="s">
        <v>2148</v>
      </c>
      <c r="L126" s="935" t="s">
        <v>6</v>
      </c>
      <c r="M126" s="1245">
        <f>ROUND(SUM(M124:M124),2)</f>
        <v>0</v>
      </c>
    </row>
    <row r="127" spans="2:16" ht="16" thickTop="1">
      <c r="B127" s="905">
        <v>30144</v>
      </c>
      <c r="D127" s="1700" t="s">
        <v>2108</v>
      </c>
      <c r="E127" s="935" t="s">
        <v>6</v>
      </c>
      <c r="F127" s="572">
        <v>0</v>
      </c>
      <c r="G127" s="1218"/>
      <c r="H127" s="1217"/>
    </row>
    <row r="128" spans="2:16">
      <c r="B128" s="905">
        <v>30145</v>
      </c>
      <c r="D128" s="1700" t="s">
        <v>2109</v>
      </c>
      <c r="E128" s="935" t="s">
        <v>6</v>
      </c>
      <c r="F128" s="572">
        <v>0</v>
      </c>
      <c r="H128" s="1217"/>
    </row>
    <row r="129" spans="1:13">
      <c r="B129" s="905">
        <v>30146</v>
      </c>
      <c r="D129" s="1700" t="s">
        <v>2110</v>
      </c>
      <c r="E129" s="935" t="s">
        <v>6</v>
      </c>
      <c r="F129" s="572">
        <v>0</v>
      </c>
      <c r="H129" s="1217"/>
      <c r="I129" s="1236"/>
      <c r="J129" s="1230"/>
      <c r="K129" s="1246"/>
      <c r="L129" s="1246"/>
      <c r="M129" s="1230"/>
    </row>
    <row r="130" spans="1:13">
      <c r="B130" s="905">
        <v>30147</v>
      </c>
      <c r="D130" s="1700" t="s">
        <v>2111</v>
      </c>
      <c r="E130" s="935" t="s">
        <v>6</v>
      </c>
      <c r="F130" s="572">
        <v>0</v>
      </c>
      <c r="H130" s="1217"/>
      <c r="I130" s="903"/>
      <c r="J130" s="1230"/>
      <c r="K130" s="1233"/>
      <c r="L130" s="1233"/>
      <c r="M130" s="1247"/>
    </row>
    <row r="131" spans="1:13">
      <c r="B131" s="905">
        <v>30148</v>
      </c>
      <c r="D131" s="1700" t="s">
        <v>2112</v>
      </c>
      <c r="E131" s="935" t="s">
        <v>6</v>
      </c>
      <c r="F131" s="572">
        <v>0</v>
      </c>
      <c r="H131" s="1217"/>
      <c r="I131" s="902"/>
      <c r="J131" s="1230"/>
      <c r="K131" s="1230"/>
      <c r="L131" s="1230"/>
      <c r="M131" s="525"/>
    </row>
    <row r="132" spans="1:13">
      <c r="H132" s="1217"/>
      <c r="I132" s="1248"/>
      <c r="J132" s="1230"/>
      <c r="K132" s="1230"/>
      <c r="L132" s="1230"/>
      <c r="M132" s="1249"/>
    </row>
    <row r="133" spans="1:13">
      <c r="H133" s="1217"/>
      <c r="I133" s="1236"/>
      <c r="J133" s="1230"/>
      <c r="K133" s="1250"/>
      <c r="L133" s="1250"/>
      <c r="M133" s="1232"/>
    </row>
    <row r="134" spans="1:13">
      <c r="H134" s="1217"/>
      <c r="I134" s="1230"/>
      <c r="J134" s="1230"/>
      <c r="K134" s="1230"/>
      <c r="L134" s="1230"/>
      <c r="M134" s="1230"/>
    </row>
    <row r="135" spans="1:13">
      <c r="H135" s="1217"/>
    </row>
    <row r="136" spans="1:13">
      <c r="H136" s="1217"/>
    </row>
    <row r="137" spans="1:13">
      <c r="H137" s="1217"/>
    </row>
    <row r="138" spans="1:13">
      <c r="H138" s="1217"/>
    </row>
    <row r="139" spans="1:13">
      <c r="A139" s="1217"/>
      <c r="H139" s="1217"/>
    </row>
    <row r="140" spans="1:13">
      <c r="A140" s="1217"/>
      <c r="H140" s="1217"/>
    </row>
    <row r="141" spans="1:13" ht="17">
      <c r="A141" s="1205" t="s">
        <v>0</v>
      </c>
      <c r="B141" s="1206"/>
      <c r="C141" s="1206"/>
      <c r="D141" s="1206"/>
      <c r="E141" s="1206"/>
      <c r="F141" s="1251"/>
      <c r="M141" s="1208" t="s">
        <v>1171</v>
      </c>
    </row>
    <row r="142" spans="1:13" ht="17">
      <c r="A142" s="1210" t="s">
        <v>1163</v>
      </c>
      <c r="B142" s="1206"/>
      <c r="C142" s="1206"/>
      <c r="D142" s="1206"/>
      <c r="E142" s="1206"/>
      <c r="F142" s="1207"/>
      <c r="M142" s="1208" t="s">
        <v>131</v>
      </c>
    </row>
    <row r="143" spans="1:13" ht="17">
      <c r="A143" s="1210" t="str">
        <f>A5</f>
        <v>AS OF MARCH 31, 2016</v>
      </c>
      <c r="B143" s="1206"/>
      <c r="C143" s="1206"/>
      <c r="D143" s="1206"/>
      <c r="E143" s="1206"/>
      <c r="F143" s="1207"/>
      <c r="G143" s="1206"/>
      <c r="H143" s="1205"/>
      <c r="I143" s="1206"/>
      <c r="J143" s="1206"/>
      <c r="K143" s="1206"/>
      <c r="L143" s="1206"/>
    </row>
    <row r="144" spans="1:13" ht="17">
      <c r="A144" s="1212"/>
      <c r="F144" s="1212"/>
      <c r="G144" s="1206"/>
      <c r="H144" s="1205"/>
      <c r="I144" s="1206"/>
      <c r="J144" s="1206"/>
      <c r="K144" s="1206"/>
      <c r="L144" s="1206"/>
    </row>
    <row r="145" spans="1:13" ht="17">
      <c r="A145" s="1237" t="s">
        <v>6</v>
      </c>
      <c r="B145" s="1213"/>
      <c r="F145" s="1214" t="s">
        <v>1172</v>
      </c>
      <c r="G145" s="1206"/>
      <c r="H145" s="1237" t="s">
        <v>6</v>
      </c>
      <c r="I145" s="1213"/>
      <c r="M145" s="1214" t="s">
        <v>1172</v>
      </c>
    </row>
    <row r="146" spans="1:13">
      <c r="B146" s="1215" t="s">
        <v>1173</v>
      </c>
      <c r="D146" s="1215" t="s">
        <v>1174</v>
      </c>
      <c r="E146" s="1215"/>
      <c r="F146" s="1216" t="s">
        <v>1175</v>
      </c>
      <c r="I146" s="1215" t="s">
        <v>1173</v>
      </c>
      <c r="K146" s="1215" t="s">
        <v>1174</v>
      </c>
      <c r="L146" s="1215"/>
      <c r="M146" s="1216" t="s">
        <v>1175</v>
      </c>
    </row>
    <row r="147" spans="1:13">
      <c r="H147" s="1237"/>
      <c r="M147" s="1214"/>
    </row>
    <row r="148" spans="1:13">
      <c r="B148" s="1217"/>
      <c r="D148" s="1218" t="s">
        <v>1185</v>
      </c>
      <c r="E148" s="1218"/>
      <c r="H148" s="1237"/>
      <c r="K148" s="1218" t="s">
        <v>1186</v>
      </c>
      <c r="L148" s="1218"/>
      <c r="M148" s="1214"/>
    </row>
    <row r="149" spans="1:13" s="815" customFormat="1">
      <c r="A149" s="1217"/>
      <c r="B149" s="905">
        <v>55001</v>
      </c>
      <c r="C149" s="1209"/>
      <c r="D149" s="1700" t="s">
        <v>2169</v>
      </c>
      <c r="E149" s="935" t="s">
        <v>6</v>
      </c>
      <c r="F149" s="572">
        <v>1325748.54</v>
      </c>
      <c r="H149" s="1217"/>
      <c r="I149" s="905">
        <v>55052</v>
      </c>
      <c r="J149" s="1209"/>
      <c r="K149" s="1976" t="s">
        <v>2189</v>
      </c>
      <c r="L149" s="935" t="s">
        <v>6</v>
      </c>
      <c r="M149" s="572">
        <v>0</v>
      </c>
    </row>
    <row r="150" spans="1:13">
      <c r="A150" s="1217"/>
      <c r="B150" s="905">
        <v>55002</v>
      </c>
      <c r="D150" s="1989" t="s">
        <v>2437</v>
      </c>
      <c r="E150" s="935" t="s">
        <v>6</v>
      </c>
      <c r="F150" s="572">
        <v>0</v>
      </c>
      <c r="G150" s="815"/>
      <c r="H150" s="1217"/>
      <c r="I150" s="1221">
        <v>55053</v>
      </c>
      <c r="K150" s="1700" t="s">
        <v>2190</v>
      </c>
      <c r="L150" s="935" t="s">
        <v>6</v>
      </c>
      <c r="M150" s="572">
        <v>0</v>
      </c>
    </row>
    <row r="151" spans="1:13">
      <c r="A151" s="1217"/>
      <c r="B151" s="905">
        <v>55003</v>
      </c>
      <c r="D151" s="1700" t="s">
        <v>2170</v>
      </c>
      <c r="E151" s="935" t="s">
        <v>6</v>
      </c>
      <c r="F151" s="572">
        <v>3232292.7</v>
      </c>
      <c r="H151" s="1217"/>
      <c r="I151" s="905">
        <v>55055</v>
      </c>
      <c r="K151" s="1976" t="s">
        <v>2151</v>
      </c>
      <c r="L151" s="935" t="s">
        <v>6</v>
      </c>
      <c r="M151" s="572">
        <v>0</v>
      </c>
    </row>
    <row r="152" spans="1:13">
      <c r="A152" s="1217"/>
      <c r="B152" s="905">
        <v>55004</v>
      </c>
      <c r="D152" s="1976" t="s">
        <v>2171</v>
      </c>
      <c r="E152" s="935" t="s">
        <v>6</v>
      </c>
      <c r="F152" s="572">
        <v>153534.18</v>
      </c>
      <c r="H152" s="1217"/>
      <c r="I152" s="905">
        <v>55056</v>
      </c>
      <c r="K152" s="1700" t="s">
        <v>2152</v>
      </c>
      <c r="L152" s="935" t="s">
        <v>6</v>
      </c>
      <c r="M152" s="572">
        <v>0</v>
      </c>
    </row>
    <row r="153" spans="1:13">
      <c r="A153" s="1217"/>
      <c r="B153" s="905">
        <v>55005</v>
      </c>
      <c r="D153" s="1700" t="s">
        <v>2172</v>
      </c>
      <c r="E153" s="935" t="s">
        <v>6</v>
      </c>
      <c r="F153" s="572">
        <v>241633.13</v>
      </c>
      <c r="H153" s="1217"/>
      <c r="I153" s="905">
        <v>55057</v>
      </c>
      <c r="K153" s="1976" t="s">
        <v>2153</v>
      </c>
      <c r="L153" s="935" t="s">
        <v>6</v>
      </c>
      <c r="M153" s="572">
        <v>0</v>
      </c>
    </row>
    <row r="154" spans="1:13">
      <c r="A154" s="1217"/>
      <c r="B154" s="905">
        <v>55006</v>
      </c>
      <c r="D154" s="1700" t="s">
        <v>2173</v>
      </c>
      <c r="E154" s="935" t="s">
        <v>6</v>
      </c>
      <c r="F154" s="572">
        <v>0</v>
      </c>
      <c r="H154" s="1217"/>
      <c r="I154" s="905">
        <v>55058</v>
      </c>
      <c r="K154" s="1700" t="s">
        <v>2154</v>
      </c>
      <c r="L154" s="935" t="s">
        <v>6</v>
      </c>
      <c r="M154" s="572">
        <v>2770135.27</v>
      </c>
    </row>
    <row r="155" spans="1:13">
      <c r="A155" s="1217"/>
      <c r="B155" s="905">
        <v>55007</v>
      </c>
      <c r="D155" s="1700" t="s">
        <v>2174</v>
      </c>
      <c r="E155" s="935" t="s">
        <v>6</v>
      </c>
      <c r="F155" s="572">
        <v>753314.26</v>
      </c>
      <c r="H155" s="1217"/>
      <c r="I155" s="905">
        <v>55059</v>
      </c>
      <c r="K155" s="1700" t="s">
        <v>2155</v>
      </c>
      <c r="L155" s="935" t="s">
        <v>6</v>
      </c>
      <c r="M155" s="572">
        <v>12862487.449999999</v>
      </c>
    </row>
    <row r="156" spans="1:13">
      <c r="A156" s="1217"/>
      <c r="B156" s="905">
        <v>55008</v>
      </c>
      <c r="D156" s="1700" t="s">
        <v>2175</v>
      </c>
      <c r="E156" s="935" t="s">
        <v>6</v>
      </c>
      <c r="F156" s="572">
        <v>16590383.26</v>
      </c>
      <c r="H156" s="1217"/>
      <c r="I156" s="905">
        <v>55060</v>
      </c>
      <c r="K156" s="1976" t="s">
        <v>2156</v>
      </c>
      <c r="L156" s="935" t="s">
        <v>6</v>
      </c>
      <c r="M156" s="572">
        <v>0</v>
      </c>
    </row>
    <row r="157" spans="1:13">
      <c r="A157" s="1252"/>
      <c r="B157" s="905">
        <v>55009</v>
      </c>
      <c r="D157" s="1700" t="s">
        <v>2176</v>
      </c>
      <c r="E157" s="935" t="s">
        <v>6</v>
      </c>
      <c r="F157" s="572">
        <v>0</v>
      </c>
      <c r="H157" s="1217"/>
      <c r="I157" s="905">
        <v>55061</v>
      </c>
      <c r="K157" s="1976" t="s">
        <v>2157</v>
      </c>
      <c r="L157" s="935" t="s">
        <v>6</v>
      </c>
      <c r="M157" s="572">
        <v>3955883.62</v>
      </c>
    </row>
    <row r="158" spans="1:13">
      <c r="A158" s="1217"/>
      <c r="B158" s="905">
        <v>55010</v>
      </c>
      <c r="D158" s="1700" t="s">
        <v>2177</v>
      </c>
      <c r="E158" s="935" t="s">
        <v>6</v>
      </c>
      <c r="F158" s="572">
        <v>0</v>
      </c>
      <c r="H158" s="1217"/>
      <c r="I158" s="905">
        <v>55062</v>
      </c>
      <c r="K158" s="1976" t="s">
        <v>2158</v>
      </c>
      <c r="L158" s="935" t="s">
        <v>6</v>
      </c>
      <c r="M158" s="572">
        <v>47594538.729999997</v>
      </c>
    </row>
    <row r="159" spans="1:13">
      <c r="A159" s="1217"/>
      <c r="B159" s="905">
        <v>55011</v>
      </c>
      <c r="D159" s="1700" t="s">
        <v>2178</v>
      </c>
      <c r="E159" s="935" t="s">
        <v>6</v>
      </c>
      <c r="F159" s="572">
        <v>1183387.08</v>
      </c>
      <c r="H159" s="1217"/>
      <c r="I159" s="1221">
        <v>55066</v>
      </c>
      <c r="K159" s="2048" t="s">
        <v>2438</v>
      </c>
      <c r="L159" s="935" t="s">
        <v>6</v>
      </c>
      <c r="M159" s="572">
        <v>1261584.27</v>
      </c>
    </row>
    <row r="160" spans="1:13">
      <c r="A160" s="1217"/>
      <c r="B160" s="905">
        <v>55012</v>
      </c>
      <c r="D160" s="1976" t="s">
        <v>2179</v>
      </c>
      <c r="E160" s="935" t="s">
        <v>6</v>
      </c>
      <c r="F160" s="572">
        <v>112154.71</v>
      </c>
      <c r="H160" s="1217"/>
      <c r="I160" s="1221">
        <v>55067</v>
      </c>
      <c r="K160" s="1977" t="s">
        <v>2159</v>
      </c>
      <c r="L160" s="935" t="s">
        <v>6</v>
      </c>
      <c r="M160" s="572">
        <v>269015.89</v>
      </c>
    </row>
    <row r="161" spans="1:14">
      <c r="A161" s="1217"/>
      <c r="B161" s="905">
        <v>55013</v>
      </c>
      <c r="D161" s="1700" t="s">
        <v>2180</v>
      </c>
      <c r="E161" s="935" t="s">
        <v>6</v>
      </c>
      <c r="F161" s="572">
        <v>0</v>
      </c>
      <c r="H161" s="1217"/>
      <c r="I161" s="1221">
        <v>55069</v>
      </c>
      <c r="K161" s="1700" t="s">
        <v>2160</v>
      </c>
      <c r="L161" s="935" t="s">
        <v>6</v>
      </c>
      <c r="M161" s="572">
        <v>7850445.5300000003</v>
      </c>
    </row>
    <row r="162" spans="1:14">
      <c r="A162" s="1217"/>
      <c r="B162" s="905">
        <v>55014</v>
      </c>
      <c r="D162" s="1700" t="s">
        <v>2181</v>
      </c>
      <c r="E162" s="935" t="s">
        <v>6</v>
      </c>
      <c r="F162" s="572">
        <v>0</v>
      </c>
      <c r="I162" s="1221">
        <v>55071</v>
      </c>
      <c r="K162" s="1700" t="s">
        <v>2161</v>
      </c>
      <c r="L162" s="935" t="s">
        <v>6</v>
      </c>
      <c r="M162" s="572">
        <v>0</v>
      </c>
    </row>
    <row r="163" spans="1:14">
      <c r="A163" s="1217"/>
      <c r="B163" s="905">
        <v>55015</v>
      </c>
      <c r="D163" s="1700" t="s">
        <v>2182</v>
      </c>
      <c r="E163" s="935" t="s">
        <v>6</v>
      </c>
      <c r="F163" s="572">
        <v>0</v>
      </c>
      <c r="H163" s="1217"/>
      <c r="I163" s="1221">
        <v>55072</v>
      </c>
      <c r="K163" s="1700" t="s">
        <v>2162</v>
      </c>
      <c r="L163" s="935" t="s">
        <v>6</v>
      </c>
      <c r="M163" s="572">
        <v>547627.17000000004</v>
      </c>
    </row>
    <row r="164" spans="1:14">
      <c r="A164" s="1217"/>
      <c r="B164" s="905">
        <v>55016</v>
      </c>
      <c r="D164" s="1700" t="s">
        <v>2707</v>
      </c>
      <c r="E164" s="935" t="s">
        <v>6</v>
      </c>
      <c r="F164" s="572">
        <v>26961.54</v>
      </c>
      <c r="H164" s="1217"/>
      <c r="I164" s="1221">
        <v>55073</v>
      </c>
      <c r="K164" s="1700" t="s">
        <v>2163</v>
      </c>
      <c r="L164" s="935" t="s">
        <v>6</v>
      </c>
      <c r="M164" s="572">
        <v>0</v>
      </c>
    </row>
    <row r="165" spans="1:14">
      <c r="A165" s="1217"/>
      <c r="B165" s="905">
        <v>55017</v>
      </c>
      <c r="D165" s="1700" t="s">
        <v>2183</v>
      </c>
      <c r="E165" s="935" t="s">
        <v>6</v>
      </c>
      <c r="F165" s="572">
        <v>242577.49</v>
      </c>
      <c r="H165" s="1217"/>
      <c r="I165" s="905">
        <v>55251</v>
      </c>
      <c r="K165" s="1700" t="s">
        <v>2164</v>
      </c>
      <c r="L165" s="935" t="s">
        <v>6</v>
      </c>
      <c r="M165" s="572">
        <v>3225319.04</v>
      </c>
    </row>
    <row r="166" spans="1:14">
      <c r="A166" s="1217"/>
      <c r="B166" s="905">
        <v>55018</v>
      </c>
      <c r="D166" s="1700" t="s">
        <v>2184</v>
      </c>
      <c r="E166" s="935" t="s">
        <v>6</v>
      </c>
      <c r="F166" s="572">
        <v>0</v>
      </c>
      <c r="H166" s="1217"/>
      <c r="I166" s="905">
        <v>55252</v>
      </c>
      <c r="K166" s="1700" t="s">
        <v>2165</v>
      </c>
      <c r="L166" s="935" t="s">
        <v>6</v>
      </c>
      <c r="M166" s="572">
        <v>0</v>
      </c>
      <c r="N166" s="1230"/>
    </row>
    <row r="167" spans="1:14">
      <c r="A167" s="1217"/>
      <c r="B167" s="905">
        <v>55019</v>
      </c>
      <c r="D167" s="1700" t="s">
        <v>2185</v>
      </c>
      <c r="E167" s="935" t="s">
        <v>6</v>
      </c>
      <c r="F167" s="572">
        <v>0</v>
      </c>
      <c r="H167" s="1217"/>
      <c r="I167" s="905">
        <v>55300</v>
      </c>
      <c r="K167" s="1700" t="s">
        <v>2166</v>
      </c>
      <c r="L167" s="935" t="s">
        <v>6</v>
      </c>
      <c r="M167" s="572">
        <v>6081029.5999999996</v>
      </c>
      <c r="N167" s="1230"/>
    </row>
    <row r="168" spans="1:14">
      <c r="A168" s="1217"/>
      <c r="B168" s="905">
        <v>55020</v>
      </c>
      <c r="D168" s="1700" t="s">
        <v>2186</v>
      </c>
      <c r="E168" s="935" t="s">
        <v>6</v>
      </c>
      <c r="F168" s="572">
        <v>41231297.020000003</v>
      </c>
      <c r="I168" s="905">
        <v>55301</v>
      </c>
      <c r="K168" s="1700" t="s">
        <v>2167</v>
      </c>
      <c r="L168" s="935" t="s">
        <v>6</v>
      </c>
      <c r="M168" s="572">
        <v>6648306.0700000003</v>
      </c>
      <c r="N168" s="1230"/>
    </row>
    <row r="169" spans="1:14" ht="15" customHeight="1">
      <c r="A169" s="1217"/>
      <c r="B169" s="905">
        <v>55021</v>
      </c>
      <c r="D169" s="1700" t="s">
        <v>2187</v>
      </c>
      <c r="E169" s="935" t="s">
        <v>6</v>
      </c>
      <c r="F169" s="572">
        <v>3712540.53</v>
      </c>
      <c r="H169" s="1217"/>
      <c r="I169" s="1253">
        <v>55350</v>
      </c>
      <c r="J169" s="1254"/>
      <c r="K169" s="1979" t="s">
        <v>2168</v>
      </c>
      <c r="L169" s="935" t="s">
        <v>6</v>
      </c>
      <c r="M169" s="1228">
        <v>17358614.07</v>
      </c>
      <c r="N169" s="1230"/>
    </row>
    <row r="170" spans="1:14" ht="15" customHeight="1">
      <c r="A170" s="1217"/>
      <c r="B170" s="905">
        <v>55022</v>
      </c>
      <c r="D170" s="1700" t="s">
        <v>2188</v>
      </c>
      <c r="E170" s="935" t="s">
        <v>6</v>
      </c>
      <c r="F170" s="572">
        <v>85428.34</v>
      </c>
      <c r="H170" s="1217"/>
      <c r="I170" s="1217"/>
      <c r="M170" s="1230"/>
    </row>
    <row r="171" spans="1:14" ht="16.5" customHeight="1" thickBot="1">
      <c r="A171" s="1217"/>
      <c r="I171" s="1217"/>
      <c r="K171" s="1219" t="s">
        <v>2150</v>
      </c>
      <c r="L171" s="935" t="s">
        <v>6</v>
      </c>
      <c r="M171" s="1235">
        <f>ROUND(SUM(F149:F170)+SUM(M149:M169),2)</f>
        <v>179316239.49000001</v>
      </c>
    </row>
    <row r="172" spans="1:14" ht="15" customHeight="1" thickTop="1">
      <c r="A172" s="1217"/>
      <c r="I172" s="1236"/>
      <c r="J172" s="1230"/>
      <c r="K172" s="1231"/>
      <c r="L172" s="1231"/>
      <c r="M172" s="1255"/>
    </row>
    <row r="173" spans="1:14">
      <c r="A173" s="1217"/>
      <c r="H173" s="1217"/>
      <c r="I173" s="1217"/>
    </row>
    <row r="174" spans="1:14" ht="16" thickBot="1">
      <c r="A174" s="1217"/>
      <c r="H174" s="1217"/>
      <c r="K174" s="1219" t="s">
        <v>2149</v>
      </c>
      <c r="L174" s="935" t="s">
        <v>6</v>
      </c>
      <c r="M174" s="1256">
        <f>ROUND(SUM(+M172+M119+M171+M45+M61+M126),2)</f>
        <v>2749143834.27</v>
      </c>
    </row>
    <row r="175" spans="1:14" ht="16" thickTop="1">
      <c r="A175" s="1217"/>
      <c r="H175" s="1217"/>
      <c r="I175" s="1217"/>
    </row>
    <row r="176" spans="1:14">
      <c r="A176" s="1217"/>
      <c r="H176" s="1217"/>
      <c r="I176" s="1217"/>
    </row>
    <row r="177" spans="1:254">
      <c r="A177" s="1217"/>
      <c r="H177" s="1217"/>
      <c r="I177" s="1217"/>
    </row>
    <row r="178" spans="1:254">
      <c r="A178" s="1217"/>
      <c r="H178" s="1217"/>
      <c r="I178" s="1217"/>
    </row>
    <row r="179" spans="1:254">
      <c r="A179" s="1217"/>
      <c r="H179" s="1217"/>
      <c r="I179" s="1217"/>
    </row>
    <row r="180" spans="1:254">
      <c r="H180" s="1217"/>
      <c r="I180" s="1217"/>
    </row>
    <row r="181" spans="1:254">
      <c r="H181" s="1217"/>
      <c r="I181" s="1217"/>
      <c r="K181" s="1214"/>
      <c r="L181" s="1214"/>
    </row>
    <row r="183" spans="1:254">
      <c r="K183" s="1214"/>
      <c r="L183" s="1214"/>
    </row>
    <row r="186" spans="1:254" ht="85.5" customHeight="1">
      <c r="A186" s="1257" t="s">
        <v>275</v>
      </c>
      <c r="B186" s="2491" t="s">
        <v>2640</v>
      </c>
      <c r="C186" s="2491"/>
      <c r="D186" s="2491"/>
      <c r="E186" s="2491"/>
      <c r="F186" s="2491"/>
      <c r="G186" s="2491"/>
      <c r="H186" s="2491"/>
      <c r="I186" s="2491"/>
      <c r="J186" s="2491"/>
      <c r="K186" s="2491"/>
      <c r="L186" s="2491"/>
      <c r="M186" s="2491"/>
    </row>
    <row r="187" spans="1:254" s="1260" customFormat="1" ht="81.75" customHeight="1">
      <c r="A187" s="904"/>
      <c r="B187" s="1258"/>
      <c r="C187" s="1259"/>
      <c r="D187" s="1259"/>
      <c r="E187" s="1259"/>
      <c r="F187" s="1259"/>
      <c r="G187" s="1259"/>
      <c r="H187" s="1259"/>
      <c r="I187" s="1259"/>
      <c r="J187" s="1259"/>
      <c r="K187" s="1259"/>
      <c r="L187" s="1259"/>
      <c r="M187" s="1259"/>
      <c r="N187" s="1259"/>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35"/>
      <c r="BL187" s="235"/>
      <c r="BM187" s="235"/>
      <c r="BN187" s="235"/>
      <c r="BO187" s="235"/>
      <c r="BP187" s="235"/>
      <c r="BQ187" s="235"/>
      <c r="BR187" s="235"/>
      <c r="BS187" s="235"/>
      <c r="BT187" s="235"/>
      <c r="BU187" s="235"/>
      <c r="BV187" s="235"/>
      <c r="BW187" s="235"/>
      <c r="BX187" s="235"/>
      <c r="BY187" s="235"/>
      <c r="BZ187" s="235"/>
      <c r="CA187" s="235"/>
      <c r="CB187" s="235"/>
      <c r="CC187" s="235"/>
      <c r="CD187" s="235"/>
      <c r="CE187" s="235"/>
      <c r="CF187" s="235"/>
      <c r="CG187" s="235"/>
      <c r="CH187" s="235"/>
      <c r="CI187" s="235"/>
      <c r="CJ187" s="235"/>
      <c r="CK187" s="235"/>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5"/>
      <c r="DP187" s="235"/>
      <c r="DQ187" s="235"/>
      <c r="DR187" s="235"/>
      <c r="DS187" s="235"/>
      <c r="DT187" s="235"/>
      <c r="DU187" s="235"/>
      <c r="DV187" s="235"/>
      <c r="DW187" s="235"/>
      <c r="DX187" s="235"/>
      <c r="DY187" s="235"/>
      <c r="DZ187" s="235"/>
      <c r="EA187" s="235"/>
      <c r="EB187" s="235"/>
      <c r="EC187" s="235"/>
      <c r="ED187" s="235"/>
      <c r="EE187" s="235"/>
      <c r="EF187" s="235"/>
      <c r="EG187" s="235"/>
      <c r="EH187" s="235"/>
      <c r="EI187" s="235"/>
      <c r="EJ187" s="235"/>
      <c r="EK187" s="235"/>
      <c r="EL187" s="235"/>
      <c r="EM187" s="235"/>
      <c r="EN187" s="235"/>
      <c r="EO187" s="235"/>
      <c r="EP187" s="235"/>
      <c r="EQ187" s="235"/>
      <c r="ER187" s="235"/>
      <c r="ES187" s="235"/>
      <c r="ET187" s="235"/>
      <c r="EU187" s="235"/>
      <c r="EV187" s="235"/>
      <c r="EW187" s="235"/>
      <c r="EX187" s="235"/>
      <c r="EY187" s="235"/>
      <c r="EZ187" s="235"/>
      <c r="FA187" s="235"/>
      <c r="FB187" s="235"/>
      <c r="FC187" s="235"/>
      <c r="FD187" s="235"/>
      <c r="FE187" s="235"/>
      <c r="FF187" s="235"/>
      <c r="FG187" s="235"/>
      <c r="FH187" s="235"/>
      <c r="FI187" s="235"/>
      <c r="FJ187" s="235"/>
      <c r="FK187" s="235"/>
      <c r="FL187" s="235"/>
      <c r="FM187" s="235"/>
      <c r="FN187" s="235"/>
      <c r="FO187" s="235"/>
      <c r="FP187" s="235"/>
      <c r="FQ187" s="235"/>
      <c r="FR187" s="235"/>
      <c r="FS187" s="235"/>
      <c r="FT187" s="235"/>
      <c r="FU187" s="235"/>
      <c r="FV187" s="235"/>
      <c r="FW187" s="235"/>
      <c r="FX187" s="235"/>
      <c r="FY187" s="235"/>
      <c r="FZ187" s="235"/>
      <c r="GA187" s="235"/>
      <c r="GB187" s="235"/>
      <c r="GC187" s="235"/>
      <c r="GD187" s="235"/>
      <c r="GE187" s="235"/>
      <c r="GF187" s="235"/>
      <c r="GG187" s="235"/>
      <c r="GH187" s="235"/>
      <c r="GI187" s="235"/>
      <c r="GJ187" s="235"/>
      <c r="GK187" s="235"/>
      <c r="GL187" s="235"/>
      <c r="GM187" s="235"/>
      <c r="GN187" s="235"/>
      <c r="GO187" s="235"/>
      <c r="GP187" s="235"/>
      <c r="GQ187" s="235"/>
      <c r="GR187" s="235"/>
      <c r="GS187" s="235"/>
      <c r="GT187" s="235"/>
      <c r="GU187" s="235"/>
      <c r="GV187" s="235"/>
      <c r="GW187" s="235"/>
      <c r="GX187" s="235"/>
      <c r="GY187" s="235"/>
      <c r="GZ187" s="235"/>
      <c r="HA187" s="235"/>
      <c r="HB187" s="235"/>
      <c r="HC187" s="235"/>
      <c r="HD187" s="235"/>
      <c r="HE187" s="235"/>
      <c r="HF187" s="235"/>
      <c r="HG187" s="235"/>
      <c r="HH187" s="235"/>
      <c r="HI187" s="235"/>
      <c r="HJ187" s="235"/>
      <c r="HK187" s="235"/>
      <c r="HL187" s="235"/>
      <c r="HM187" s="235"/>
      <c r="HN187" s="235"/>
      <c r="HO187" s="235"/>
      <c r="HP187" s="235"/>
      <c r="HQ187" s="235"/>
      <c r="HR187" s="235"/>
      <c r="HS187" s="235"/>
      <c r="HT187" s="235"/>
      <c r="HU187" s="235"/>
      <c r="HV187" s="235"/>
      <c r="HW187" s="235"/>
      <c r="HX187" s="235"/>
      <c r="HY187" s="235"/>
      <c r="HZ187" s="235"/>
      <c r="IA187" s="235"/>
      <c r="IB187" s="235"/>
      <c r="IC187" s="235"/>
      <c r="ID187" s="235"/>
      <c r="IE187" s="235"/>
      <c r="IF187" s="235"/>
      <c r="IG187" s="235"/>
      <c r="IH187" s="235"/>
      <c r="II187" s="235"/>
      <c r="IJ187" s="235"/>
      <c r="IK187" s="235"/>
      <c r="IL187" s="235"/>
      <c r="IM187" s="235"/>
      <c r="IN187" s="235"/>
      <c r="IO187" s="235"/>
      <c r="IP187" s="235"/>
      <c r="IQ187" s="235"/>
      <c r="IR187" s="235"/>
      <c r="IS187" s="235"/>
      <c r="IT187" s="235"/>
    </row>
    <row r="188" spans="1:254">
      <c r="A188" s="904"/>
    </row>
    <row r="189" spans="1:254">
      <c r="A189" s="904"/>
    </row>
    <row r="190" spans="1:254">
      <c r="A190" s="904"/>
    </row>
    <row r="191" spans="1:254">
      <c r="A191" s="904"/>
    </row>
    <row r="192" spans="1:254">
      <c r="A192" s="904"/>
    </row>
    <row r="193" spans="1:6">
      <c r="A193" s="904"/>
    </row>
    <row r="194" spans="1:6">
      <c r="A194" s="904"/>
    </row>
    <row r="195" spans="1:6">
      <c r="A195" s="904"/>
      <c r="F195" s="1220"/>
    </row>
    <row r="196" spans="1:6">
      <c r="F196" s="1220"/>
    </row>
    <row r="197" spans="1:6">
      <c r="F197" s="1220"/>
    </row>
    <row r="206" spans="1:6">
      <c r="A206" s="1223"/>
    </row>
    <row r="207" spans="1:6">
      <c r="A207" s="1223"/>
    </row>
    <row r="208" spans="1:6">
      <c r="A208" s="1223"/>
    </row>
    <row r="209" spans="1:1">
      <c r="A209" s="1223"/>
    </row>
    <row r="210" spans="1:1">
      <c r="A210" s="1223"/>
    </row>
    <row r="214" spans="1:1">
      <c r="A214" s="1223"/>
    </row>
    <row r="215" spans="1:1">
      <c r="A215" s="1217"/>
    </row>
    <row r="216" spans="1:1">
      <c r="A216" s="1261"/>
    </row>
    <row r="217" spans="1:1">
      <c r="A217" s="1261"/>
    </row>
    <row r="218" spans="1:1">
      <c r="A218" s="1261"/>
    </row>
    <row r="219" spans="1:1">
      <c r="A219" s="1261"/>
    </row>
    <row r="220" spans="1:1">
      <c r="A220" s="488"/>
    </row>
    <row r="222" spans="1:1">
      <c r="A222" s="1217"/>
    </row>
    <row r="223" spans="1:1">
      <c r="A223" s="1217"/>
    </row>
    <row r="224" spans="1:1">
      <c r="A224" s="1223"/>
    </row>
    <row r="225" spans="1:9">
      <c r="A225" s="1217"/>
    </row>
    <row r="226" spans="1:9">
      <c r="A226" s="1261"/>
    </row>
    <row r="227" spans="1:9">
      <c r="A227" s="1217"/>
    </row>
    <row r="232" spans="1:9">
      <c r="A232" s="1217"/>
    </row>
    <row r="234" spans="1:9">
      <c r="A234" s="1217"/>
    </row>
    <row r="235" spans="1:9">
      <c r="A235" s="1217"/>
    </row>
    <row r="236" spans="1:9">
      <c r="A236" s="1217"/>
    </row>
    <row r="237" spans="1:9">
      <c r="A237" s="1217"/>
    </row>
    <row r="238" spans="1:9">
      <c r="A238" s="1217"/>
    </row>
    <row r="239" spans="1:9">
      <c r="A239" s="1217"/>
      <c r="H239" s="1217"/>
      <c r="I239" s="1217"/>
    </row>
    <row r="240" spans="1:9">
      <c r="A240" s="1217"/>
      <c r="H240" s="1217"/>
      <c r="I240" s="1217"/>
    </row>
    <row r="241" spans="1:9">
      <c r="A241" s="1217"/>
      <c r="H241" s="1217"/>
      <c r="I241" s="1217"/>
    </row>
    <row r="242" spans="1:9">
      <c r="A242" s="1217"/>
      <c r="H242" s="1217"/>
      <c r="I242" s="1217"/>
    </row>
    <row r="243" spans="1:9">
      <c r="A243" s="1217"/>
      <c r="H243" s="1217"/>
      <c r="I243" s="1217"/>
    </row>
    <row r="244" spans="1:9">
      <c r="A244" s="1217"/>
      <c r="H244" s="1217"/>
      <c r="I244" s="1217"/>
    </row>
    <row r="245" spans="1:9">
      <c r="A245" s="1217" t="s">
        <v>6</v>
      </c>
    </row>
    <row r="246" spans="1:9">
      <c r="A246" s="1217"/>
    </row>
    <row r="247" spans="1:9">
      <c r="A247" s="1217"/>
    </row>
    <row r="248" spans="1:9">
      <c r="A248" s="1217"/>
    </row>
    <row r="249" spans="1:9">
      <c r="A249" s="1217"/>
    </row>
    <row r="250" spans="1:9">
      <c r="A250" s="1217"/>
    </row>
    <row r="251" spans="1:9">
      <c r="A251" s="1217"/>
    </row>
    <row r="252" spans="1:9">
      <c r="A252" s="1217"/>
    </row>
    <row r="254" spans="1:9">
      <c r="A254" s="1217"/>
    </row>
    <row r="255" spans="1:9">
      <c r="A255" s="1217"/>
    </row>
    <row r="256" spans="1:9">
      <c r="A256" s="1217"/>
    </row>
    <row r="257" spans="1:1">
      <c r="A257" s="1217"/>
    </row>
    <row r="258" spans="1:1">
      <c r="A258" s="1217" t="s">
        <v>6</v>
      </c>
    </row>
    <row r="259" spans="1:1">
      <c r="A259" s="1217" t="s">
        <v>6</v>
      </c>
    </row>
    <row r="260" spans="1:1">
      <c r="A260" s="1217" t="s">
        <v>6</v>
      </c>
    </row>
    <row r="261" spans="1:1">
      <c r="A261" s="1217" t="s">
        <v>6</v>
      </c>
    </row>
    <row r="262" spans="1:1">
      <c r="A262" s="904"/>
    </row>
    <row r="263" spans="1:1">
      <c r="A263" s="904"/>
    </row>
    <row r="264" spans="1:1">
      <c r="A264" s="904"/>
    </row>
    <row r="265" spans="1:1">
      <c r="A265" s="904"/>
    </row>
    <row r="266" spans="1:1">
      <c r="A266" s="904"/>
    </row>
    <row r="267" spans="1:1">
      <c r="A267" s="904"/>
    </row>
    <row r="269" spans="1:1">
      <c r="A269" s="904"/>
    </row>
    <row r="288" spans="1:1">
      <c r="A288" s="1209" t="s">
        <v>6</v>
      </c>
    </row>
    <row r="289" spans="6:6">
      <c r="F289" s="1262"/>
    </row>
    <row r="311" spans="1:2">
      <c r="A311" s="1212"/>
      <c r="B311" s="1225"/>
    </row>
  </sheetData>
  <mergeCells count="1">
    <mergeCell ref="B186:M186"/>
  </mergeCells>
  <printOptions horizontalCentered="1"/>
  <pageMargins left="0.5" right="0.5" top="0.6" bottom="0.25" header="0.25" footer="0.25"/>
  <pageSetup scale="49" firstPageNumber="121" orientation="landscape" useFirstPageNumber="1"/>
  <headerFooter scaleWithDoc="0">
    <oddFooter>&amp;R&amp;8&amp;P</oddFooter>
  </headerFooter>
  <rowBreaks count="2" manualBreakCount="2">
    <brk id="69" max="10" man="1"/>
    <brk id="138" max="10" man="1"/>
  </rowBreak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7"/>
  <sheetViews>
    <sheetView showGridLines="0" zoomScale="80" zoomScaleNormal="80" zoomScaleSheetLayoutView="75" zoomScalePageLayoutView="80" workbookViewId="0"/>
  </sheetViews>
  <sheetFormatPr baseColWidth="10" defaultColWidth="8.85546875" defaultRowHeight="15" x14ac:dyDescent="0"/>
  <cols>
    <col min="1" max="1" width="2.5703125" style="1266" customWidth="1"/>
    <col min="2" max="2" width="63.140625" style="1263" customWidth="1"/>
    <col min="3" max="3" width="0.85546875" style="1263" customWidth="1"/>
    <col min="4" max="4" width="3.140625" style="1263" customWidth="1"/>
    <col min="5" max="5" width="13.85546875" style="1263" customWidth="1"/>
    <col min="6" max="6" width="3.140625" style="1263" customWidth="1"/>
    <col min="7" max="7" width="13.85546875" style="1263" customWidth="1"/>
    <col min="8" max="8" width="3.140625" style="1263" customWidth="1"/>
    <col min="9" max="9" width="13.85546875" style="1263" customWidth="1"/>
    <col min="10" max="10" width="3.140625" style="1263" customWidth="1"/>
    <col min="11" max="11" width="13.85546875" style="1263" bestFit="1" customWidth="1"/>
    <col min="12" max="16384" width="8.85546875" style="1263"/>
  </cols>
  <sheetData>
    <row r="1" spans="1:11">
      <c r="A1" s="1582" t="s">
        <v>1443</v>
      </c>
    </row>
    <row r="3" spans="1:11">
      <c r="A3" s="820" t="s">
        <v>0</v>
      </c>
      <c r="B3" s="1990"/>
      <c r="C3" s="815"/>
      <c r="D3" s="815"/>
      <c r="E3" s="815"/>
      <c r="F3" s="815"/>
      <c r="G3" s="815"/>
      <c r="H3" s="815"/>
      <c r="I3" s="815"/>
      <c r="J3" s="815"/>
      <c r="K3" s="1567" t="s">
        <v>2451</v>
      </c>
    </row>
    <row r="4" spans="1:11">
      <c r="A4" s="1991" t="s">
        <v>1187</v>
      </c>
      <c r="B4" s="1990"/>
      <c r="C4" s="851"/>
      <c r="D4" s="851"/>
      <c r="E4" s="851"/>
      <c r="F4" s="851"/>
      <c r="G4" s="851"/>
      <c r="H4" s="851"/>
      <c r="I4" s="851"/>
      <c r="J4" s="815"/>
      <c r="K4" s="1567"/>
    </row>
    <row r="5" spans="1:11">
      <c r="A5" s="1992" t="s">
        <v>2641</v>
      </c>
      <c r="B5" s="1990"/>
      <c r="C5" s="1992"/>
      <c r="D5" s="1992"/>
      <c r="E5" s="1992"/>
      <c r="F5" s="1992"/>
      <c r="G5" s="1992"/>
      <c r="H5" s="1992"/>
      <c r="I5" s="1992"/>
      <c r="J5" s="815"/>
      <c r="K5" s="815"/>
    </row>
    <row r="6" spans="1:11">
      <c r="A6" s="1992"/>
      <c r="B6" s="1990"/>
      <c r="C6" s="1992"/>
      <c r="D6" s="1992"/>
      <c r="E6" s="1992"/>
      <c r="F6" s="1992"/>
      <c r="G6" s="1992"/>
      <c r="H6" s="1992"/>
      <c r="I6" s="1992"/>
      <c r="J6" s="815"/>
      <c r="K6" s="815"/>
    </row>
    <row r="7" spans="1:11" ht="61.5" customHeight="1">
      <c r="A7" s="2492" t="s">
        <v>1188</v>
      </c>
      <c r="B7" s="2492"/>
      <c r="C7" s="2492"/>
      <c r="D7" s="2492"/>
      <c r="E7" s="2492"/>
      <c r="F7" s="2492"/>
      <c r="G7" s="2492"/>
      <c r="H7" s="2492"/>
      <c r="I7" s="2492"/>
      <c r="J7" s="2492"/>
      <c r="K7" s="2492"/>
    </row>
    <row r="8" spans="1:11" s="1265" customFormat="1" ht="6.75" customHeight="1">
      <c r="A8" s="1993"/>
      <c r="B8" s="818"/>
      <c r="C8" s="818"/>
      <c r="D8" s="818"/>
      <c r="E8" s="818"/>
      <c r="F8" s="818"/>
      <c r="G8" s="818"/>
      <c r="H8" s="818"/>
      <c r="I8" s="818"/>
      <c r="J8" s="818"/>
      <c r="K8" s="818"/>
    </row>
    <row r="9" spans="1:11" s="1265" customFormat="1">
      <c r="A9" s="1994"/>
      <c r="B9" s="1995"/>
      <c r="C9" s="818"/>
      <c r="D9" s="818"/>
      <c r="E9" s="818" t="s">
        <v>1189</v>
      </c>
      <c r="F9" s="818"/>
      <c r="G9" s="818"/>
      <c r="H9" s="818"/>
      <c r="I9" s="818"/>
      <c r="J9" s="818"/>
      <c r="K9" s="818" t="s">
        <v>276</v>
      </c>
    </row>
    <row r="10" spans="1:11" s="1265" customFormat="1">
      <c r="A10" s="1996" t="s">
        <v>1190</v>
      </c>
      <c r="B10" s="2236"/>
      <c r="C10" s="818"/>
      <c r="D10" s="818"/>
      <c r="E10" s="2235" t="s">
        <v>1191</v>
      </c>
      <c r="F10" s="818"/>
      <c r="G10" s="2235" t="s">
        <v>1192</v>
      </c>
      <c r="H10" s="818"/>
      <c r="I10" s="1998" t="s">
        <v>1193</v>
      </c>
      <c r="J10" s="1999"/>
      <c r="K10" s="2235" t="s">
        <v>530</v>
      </c>
    </row>
    <row r="11" spans="1:11">
      <c r="A11" s="2237"/>
      <c r="B11" s="1769"/>
      <c r="C11" s="1769"/>
      <c r="D11" s="1769"/>
      <c r="E11" s="1769"/>
      <c r="F11" s="1769"/>
      <c r="G11" s="1769"/>
      <c r="H11" s="1769"/>
      <c r="I11" s="1769"/>
      <c r="J11" s="1769"/>
      <c r="K11" s="1769"/>
    </row>
    <row r="12" spans="1:11">
      <c r="A12" s="1769" t="s">
        <v>2277</v>
      </c>
      <c r="B12" s="2000"/>
      <c r="C12" s="2238" t="s">
        <v>277</v>
      </c>
      <c r="D12" s="2239"/>
      <c r="E12" s="2240">
        <v>4000</v>
      </c>
      <c r="F12" s="2239"/>
      <c r="G12" s="2241">
        <v>0</v>
      </c>
      <c r="H12" s="2239"/>
      <c r="I12" s="2241">
        <v>0</v>
      </c>
      <c r="J12" s="2239"/>
      <c r="K12" s="2242">
        <f t="shared" ref="K12" si="0">ROUND(SUM(E12:I12),0)</f>
        <v>4000</v>
      </c>
    </row>
    <row r="13" spans="1:11">
      <c r="A13" s="2001"/>
      <c r="B13" s="1769"/>
      <c r="C13" s="2238"/>
      <c r="D13" s="2237"/>
      <c r="E13" s="2243"/>
      <c r="F13" s="1768"/>
      <c r="G13" s="2244"/>
      <c r="H13" s="1768"/>
      <c r="I13" s="2245"/>
      <c r="J13" s="1768"/>
      <c r="K13" s="2243"/>
    </row>
    <row r="14" spans="1:11">
      <c r="A14" s="2246" t="s">
        <v>1194</v>
      </c>
      <c r="B14" s="1769"/>
      <c r="C14" s="2238"/>
      <c r="D14" s="2238"/>
      <c r="E14" s="2243"/>
      <c r="F14" s="2243"/>
      <c r="G14" s="2244"/>
      <c r="H14" s="2243"/>
      <c r="I14" s="2245"/>
      <c r="J14" s="2243"/>
      <c r="K14" s="2243"/>
    </row>
    <row r="15" spans="1:11">
      <c r="A15" s="2002"/>
      <c r="B15" s="1769" t="s">
        <v>2278</v>
      </c>
      <c r="C15" s="2238" t="s">
        <v>277</v>
      </c>
      <c r="D15" s="1769"/>
      <c r="E15" s="2243">
        <v>20000</v>
      </c>
      <c r="F15" s="2243"/>
      <c r="G15" s="2244">
        <v>0</v>
      </c>
      <c r="H15" s="2243"/>
      <c r="I15" s="2244">
        <v>0</v>
      </c>
      <c r="J15" s="2243"/>
      <c r="K15" s="2243">
        <f t="shared" ref="K15:K16" si="1">ROUND(SUM(E15:I15),0)</f>
        <v>20000</v>
      </c>
    </row>
    <row r="16" spans="1:11">
      <c r="A16" s="2002"/>
      <c r="B16" s="1769" t="s">
        <v>2279</v>
      </c>
      <c r="C16" s="2238" t="s">
        <v>277</v>
      </c>
      <c r="D16" s="2238"/>
      <c r="E16" s="2243">
        <v>4000</v>
      </c>
      <c r="F16" s="2243"/>
      <c r="G16" s="2243">
        <v>500</v>
      </c>
      <c r="H16" s="2243"/>
      <c r="I16" s="2244">
        <v>0</v>
      </c>
      <c r="J16" s="2243"/>
      <c r="K16" s="2243">
        <f t="shared" si="1"/>
        <v>4500</v>
      </c>
    </row>
    <row r="17" spans="1:11">
      <c r="A17" s="2002"/>
      <c r="B17" s="1769"/>
      <c r="C17" s="2238"/>
      <c r="D17" s="2238"/>
      <c r="E17" s="2243"/>
      <c r="F17" s="2243"/>
      <c r="G17" s="2243"/>
      <c r="H17" s="2243"/>
      <c r="I17" s="2245"/>
      <c r="J17" s="2243"/>
      <c r="K17" s="2243"/>
    </row>
    <row r="18" spans="1:11">
      <c r="A18" s="1769" t="s">
        <v>2280</v>
      </c>
      <c r="B18" s="2000"/>
      <c r="C18" s="2238" t="s">
        <v>277</v>
      </c>
      <c r="D18" s="2237"/>
      <c r="E18" s="2243">
        <v>2000</v>
      </c>
      <c r="F18" s="1768"/>
      <c r="G18" s="2244">
        <v>0</v>
      </c>
      <c r="H18" s="1768"/>
      <c r="I18" s="2244">
        <v>0</v>
      </c>
      <c r="J18" s="1768"/>
      <c r="K18" s="2243">
        <f t="shared" ref="K18" si="2">ROUND(SUM(E18:I18),0)</f>
        <v>2000</v>
      </c>
    </row>
    <row r="19" spans="1:11">
      <c r="A19" s="2002"/>
      <c r="B19" s="1769"/>
      <c r="C19" s="2238"/>
      <c r="D19" s="2238"/>
      <c r="E19" s="2243"/>
      <c r="F19" s="2243"/>
      <c r="G19" s="2243"/>
      <c r="H19" s="2243"/>
      <c r="I19" s="2245"/>
      <c r="J19" s="2243"/>
      <c r="K19" s="2243"/>
    </row>
    <row r="20" spans="1:11">
      <c r="A20" s="1769" t="s">
        <v>1195</v>
      </c>
      <c r="B20" s="1769"/>
      <c r="C20" s="1769"/>
      <c r="D20" s="1769"/>
      <c r="E20" s="2243"/>
      <c r="F20" s="2243"/>
      <c r="G20" s="2243"/>
      <c r="H20" s="2243"/>
      <c r="I20" s="2243"/>
      <c r="J20" s="2243"/>
      <c r="K20" s="2243"/>
    </row>
    <row r="21" spans="1:11">
      <c r="A21" s="2002"/>
      <c r="B21" s="1769" t="s">
        <v>2281</v>
      </c>
      <c r="C21" s="2238" t="s">
        <v>277</v>
      </c>
      <c r="D21" s="2238"/>
      <c r="E21" s="2244">
        <v>2800</v>
      </c>
      <c r="F21" s="1768"/>
      <c r="G21" s="2244">
        <v>0</v>
      </c>
      <c r="H21" s="1768"/>
      <c r="I21" s="2244">
        <v>0</v>
      </c>
      <c r="J21" s="1768"/>
      <c r="K21" s="2243">
        <f t="shared" ref="K21:K22" si="3">ROUND(SUM(E21:I21),0)</f>
        <v>2800</v>
      </c>
    </row>
    <row r="22" spans="1:11">
      <c r="A22" s="2002"/>
      <c r="B22" s="1769" t="s">
        <v>2282</v>
      </c>
      <c r="C22" s="2003" t="s">
        <v>277</v>
      </c>
      <c r="D22" s="1769"/>
      <c r="E22" s="2244">
        <v>1500</v>
      </c>
      <c r="F22" s="2247"/>
      <c r="G22" s="2244">
        <v>0</v>
      </c>
      <c r="H22" s="2247"/>
      <c r="I22" s="2244">
        <v>0</v>
      </c>
      <c r="J22" s="2243"/>
      <c r="K22" s="2243">
        <f t="shared" si="3"/>
        <v>1500</v>
      </c>
    </row>
    <row r="23" spans="1:11">
      <c r="A23" s="1993"/>
      <c r="B23" s="1769"/>
      <c r="C23" s="2238"/>
      <c r="D23" s="1769"/>
      <c r="E23" s="2244"/>
      <c r="F23" s="2247"/>
      <c r="G23" s="2244"/>
      <c r="H23" s="2247"/>
      <c r="I23" s="2245"/>
      <c r="J23" s="2243"/>
      <c r="K23" s="2243"/>
    </row>
    <row r="24" spans="1:11">
      <c r="A24" s="1769" t="s">
        <v>1196</v>
      </c>
      <c r="B24" s="1769"/>
      <c r="C24" s="1769"/>
      <c r="D24" s="1769"/>
      <c r="E24" s="2243"/>
      <c r="F24" s="2243"/>
      <c r="G24" s="2243"/>
      <c r="H24" s="2243"/>
      <c r="I24" s="2243"/>
      <c r="J24" s="2243"/>
      <c r="K24" s="2243"/>
    </row>
    <row r="25" spans="1:11">
      <c r="A25" s="2001"/>
      <c r="B25" s="1769" t="s">
        <v>2283</v>
      </c>
      <c r="C25" s="2238" t="s">
        <v>277</v>
      </c>
      <c r="D25" s="2238"/>
      <c r="E25" s="2243">
        <v>250</v>
      </c>
      <c r="F25" s="2243"/>
      <c r="G25" s="2244">
        <v>0</v>
      </c>
      <c r="H25" s="2243"/>
      <c r="I25" s="2244">
        <v>0</v>
      </c>
      <c r="J25" s="2243"/>
      <c r="K25" s="2243">
        <f t="shared" ref="K25:K29" si="4">ROUND(SUM(E25:I25),0)</f>
        <v>250</v>
      </c>
    </row>
    <row r="26" spans="1:11">
      <c r="A26" s="2001"/>
      <c r="B26" s="1769" t="s">
        <v>2284</v>
      </c>
      <c r="C26" s="2238" t="s">
        <v>277</v>
      </c>
      <c r="D26" s="1769"/>
      <c r="E26" s="2243">
        <v>18750</v>
      </c>
      <c r="F26" s="1768"/>
      <c r="G26" s="2243">
        <v>7000</v>
      </c>
      <c r="H26" s="2243"/>
      <c r="I26" s="2244">
        <v>0</v>
      </c>
      <c r="J26" s="2243"/>
      <c r="K26" s="2243">
        <f t="shared" si="4"/>
        <v>25750</v>
      </c>
    </row>
    <row r="27" spans="1:11">
      <c r="A27" s="2001"/>
      <c r="B27" s="1769" t="s">
        <v>2285</v>
      </c>
      <c r="C27" s="2238" t="s">
        <v>277</v>
      </c>
      <c r="D27" s="2237"/>
      <c r="E27" s="2243">
        <v>2500</v>
      </c>
      <c r="F27" s="1768"/>
      <c r="G27" s="2243">
        <v>3000</v>
      </c>
      <c r="H27" s="1768"/>
      <c r="I27" s="2244">
        <v>0</v>
      </c>
      <c r="J27" s="1768"/>
      <c r="K27" s="2243">
        <f t="shared" si="4"/>
        <v>5500</v>
      </c>
    </row>
    <row r="28" spans="1:11">
      <c r="A28" s="2001"/>
      <c r="B28" s="1769"/>
      <c r="C28" s="2238"/>
      <c r="D28" s="2237"/>
      <c r="E28" s="2243"/>
      <c r="F28" s="1768"/>
      <c r="G28" s="2244"/>
      <c r="H28" s="1768"/>
      <c r="I28" s="2244"/>
      <c r="J28" s="1768"/>
      <c r="K28" s="2243"/>
    </row>
    <row r="29" spans="1:11">
      <c r="A29" s="1769" t="s">
        <v>2642</v>
      </c>
      <c r="B29" s="1769"/>
      <c r="C29" s="2238" t="s">
        <v>277</v>
      </c>
      <c r="D29" s="2237"/>
      <c r="E29" s="2244">
        <v>0</v>
      </c>
      <c r="F29" s="1768"/>
      <c r="G29" s="2244">
        <v>0</v>
      </c>
      <c r="H29" s="1768"/>
      <c r="I29" s="2244">
        <v>5000</v>
      </c>
      <c r="J29" s="1768"/>
      <c r="K29" s="2243">
        <f t="shared" si="4"/>
        <v>5000</v>
      </c>
    </row>
    <row r="30" spans="1:11">
      <c r="A30" s="1993"/>
      <c r="B30" s="1769"/>
      <c r="C30" s="2238"/>
      <c r="D30" s="1769"/>
      <c r="E30" s="2244"/>
      <c r="F30" s="2247"/>
      <c r="G30" s="2244"/>
      <c r="H30" s="2247"/>
      <c r="I30" s="2245"/>
      <c r="J30" s="2243"/>
      <c r="K30" s="2243"/>
    </row>
    <row r="31" spans="1:11">
      <c r="A31" s="1769" t="s">
        <v>2286</v>
      </c>
      <c r="B31" s="1769"/>
      <c r="C31" s="2238" t="s">
        <v>277</v>
      </c>
      <c r="D31" s="2238"/>
      <c r="E31" s="2243">
        <v>8500</v>
      </c>
      <c r="F31" s="2243"/>
      <c r="G31" s="2244">
        <v>0</v>
      </c>
      <c r="H31" s="2243"/>
      <c r="I31" s="2244">
        <v>0</v>
      </c>
      <c r="J31" s="2243"/>
      <c r="K31" s="2243">
        <f t="shared" ref="K31" si="5">ROUND(SUM(E31:I31),0)</f>
        <v>8500</v>
      </c>
    </row>
    <row r="32" spans="1:11">
      <c r="A32" s="2001"/>
      <c r="B32" s="1769"/>
      <c r="C32" s="2238"/>
      <c r="D32" s="2238"/>
      <c r="E32" s="2244"/>
      <c r="F32" s="2243"/>
      <c r="G32" s="2243"/>
      <c r="H32" s="2243"/>
      <c r="I32" s="2245"/>
      <c r="J32" s="2243"/>
      <c r="K32" s="2243"/>
    </row>
    <row r="33" spans="1:11">
      <c r="A33" s="1769" t="s">
        <v>2287</v>
      </c>
      <c r="B33" s="1769"/>
      <c r="C33" s="2238" t="s">
        <v>277</v>
      </c>
      <c r="D33" s="2239"/>
      <c r="E33" s="2243">
        <v>29900</v>
      </c>
      <c r="F33" s="2248"/>
      <c r="G33" s="2244">
        <v>0</v>
      </c>
      <c r="H33" s="2248"/>
      <c r="I33" s="2243">
        <v>53900</v>
      </c>
      <c r="J33" s="2248"/>
      <c r="K33" s="2243">
        <f t="shared" ref="K33" si="6">ROUND(SUM(E33:I33),0)</f>
        <v>83800</v>
      </c>
    </row>
    <row r="34" spans="1:11">
      <c r="A34" s="2002"/>
      <c r="B34" s="1769"/>
      <c r="C34" s="2238"/>
      <c r="D34" s="2239"/>
      <c r="E34" s="2243"/>
      <c r="F34" s="2248"/>
      <c r="G34" s="2244"/>
      <c r="H34" s="2248"/>
      <c r="I34" s="2243"/>
      <c r="J34" s="2248"/>
      <c r="K34" s="2243"/>
    </row>
    <row r="35" spans="1:11">
      <c r="A35" s="1769" t="s">
        <v>1197</v>
      </c>
      <c r="B35" s="1769"/>
      <c r="C35" s="2238"/>
      <c r="D35" s="2238"/>
      <c r="E35" s="2244"/>
      <c r="F35" s="2247"/>
      <c r="G35" s="2244"/>
      <c r="H35" s="2247"/>
      <c r="I35" s="2245"/>
      <c r="J35" s="2243"/>
      <c r="K35" s="2243"/>
    </row>
    <row r="36" spans="1:11">
      <c r="A36" s="2001"/>
      <c r="B36" s="1769" t="s">
        <v>2288</v>
      </c>
      <c r="C36" s="2238" t="s">
        <v>277</v>
      </c>
      <c r="D36" s="2238"/>
      <c r="E36" s="2244">
        <v>22000</v>
      </c>
      <c r="F36" s="2247"/>
      <c r="G36" s="2244">
        <v>2000</v>
      </c>
      <c r="H36" s="2247"/>
      <c r="I36" s="2244">
        <v>0</v>
      </c>
      <c r="J36" s="2243"/>
      <c r="K36" s="2243">
        <f t="shared" ref="K36:K46" si="7">ROUND(SUM(E36:I36),0)</f>
        <v>24000</v>
      </c>
    </row>
    <row r="37" spans="1:11">
      <c r="A37" s="2001"/>
      <c r="B37" s="1769" t="s">
        <v>2289</v>
      </c>
      <c r="C37" s="2238" t="s">
        <v>277</v>
      </c>
      <c r="D37" s="2238"/>
      <c r="E37" s="2244">
        <v>5500</v>
      </c>
      <c r="F37" s="2247"/>
      <c r="G37" s="2244">
        <v>0</v>
      </c>
      <c r="H37" s="2247"/>
      <c r="I37" s="2244">
        <v>0</v>
      </c>
      <c r="J37" s="2243"/>
      <c r="K37" s="2243">
        <f t="shared" si="7"/>
        <v>5500</v>
      </c>
    </row>
    <row r="38" spans="1:11">
      <c r="A38" s="2001"/>
      <c r="B38" s="1769" t="s">
        <v>2290</v>
      </c>
      <c r="C38" s="2238" t="s">
        <v>277</v>
      </c>
      <c r="D38" s="2238"/>
      <c r="E38" s="2244">
        <v>10000</v>
      </c>
      <c r="F38" s="2247"/>
      <c r="G38" s="2244">
        <v>0</v>
      </c>
      <c r="H38" s="2247"/>
      <c r="I38" s="2244">
        <v>0</v>
      </c>
      <c r="J38" s="2243"/>
      <c r="K38" s="2243">
        <f t="shared" si="7"/>
        <v>10000</v>
      </c>
    </row>
    <row r="39" spans="1:11">
      <c r="A39" s="2001"/>
      <c r="B39" s="1769" t="s">
        <v>2291</v>
      </c>
      <c r="C39" s="2238" t="s">
        <v>277</v>
      </c>
      <c r="D39" s="2238"/>
      <c r="E39" s="2244">
        <v>55000</v>
      </c>
      <c r="F39" s="2247"/>
      <c r="G39" s="2244">
        <v>2000</v>
      </c>
      <c r="H39" s="2247"/>
      <c r="I39" s="2244">
        <v>0</v>
      </c>
      <c r="J39" s="2243"/>
      <c r="K39" s="2243">
        <f t="shared" si="7"/>
        <v>57000</v>
      </c>
    </row>
    <row r="40" spans="1:11">
      <c r="A40" s="2001"/>
      <c r="B40" s="1769" t="s">
        <v>2292</v>
      </c>
      <c r="C40" s="2238" t="s">
        <v>277</v>
      </c>
      <c r="D40" s="2237"/>
      <c r="E40" s="2244">
        <v>18700</v>
      </c>
      <c r="F40" s="1768"/>
      <c r="G40" s="2244">
        <v>0</v>
      </c>
      <c r="H40" s="1768"/>
      <c r="I40" s="2244">
        <v>0</v>
      </c>
      <c r="J40" s="1768"/>
      <c r="K40" s="2243">
        <f t="shared" si="7"/>
        <v>18700</v>
      </c>
    </row>
    <row r="41" spans="1:11">
      <c r="A41" s="2001"/>
      <c r="B41" s="1769" t="s">
        <v>2293</v>
      </c>
      <c r="C41" s="2238" t="s">
        <v>277</v>
      </c>
      <c r="D41" s="2238"/>
      <c r="E41" s="2244">
        <v>5000</v>
      </c>
      <c r="F41" s="2247"/>
      <c r="G41" s="2244">
        <v>0</v>
      </c>
      <c r="H41" s="2247"/>
      <c r="I41" s="2244">
        <v>0</v>
      </c>
      <c r="J41" s="2243"/>
      <c r="K41" s="2243">
        <f t="shared" si="7"/>
        <v>5000</v>
      </c>
    </row>
    <row r="42" spans="1:11">
      <c r="A42" s="2001"/>
      <c r="B42" s="1769" t="s">
        <v>2294</v>
      </c>
      <c r="C42" s="2238" t="s">
        <v>277</v>
      </c>
      <c r="D42" s="2237"/>
      <c r="E42" s="2244">
        <v>5000</v>
      </c>
      <c r="F42" s="1768"/>
      <c r="G42" s="2244">
        <v>2266</v>
      </c>
      <c r="H42" s="1768"/>
      <c r="I42" s="2244">
        <v>0</v>
      </c>
      <c r="J42" s="1768"/>
      <c r="K42" s="2243">
        <f t="shared" si="7"/>
        <v>7266</v>
      </c>
    </row>
    <row r="43" spans="1:11">
      <c r="A43" s="2001"/>
      <c r="B43" s="1769" t="s">
        <v>2295</v>
      </c>
      <c r="C43" s="2238" t="s">
        <v>277</v>
      </c>
      <c r="D43" s="2238"/>
      <c r="E43" s="2244">
        <v>5000</v>
      </c>
      <c r="F43" s="2247"/>
      <c r="G43" s="2244">
        <v>0</v>
      </c>
      <c r="H43" s="2247"/>
      <c r="I43" s="2244">
        <v>0</v>
      </c>
      <c r="J43" s="2243"/>
      <c r="K43" s="2243">
        <f t="shared" si="7"/>
        <v>5000</v>
      </c>
    </row>
    <row r="44" spans="1:11">
      <c r="A44" s="2001"/>
      <c r="B44" s="1769" t="s">
        <v>2296</v>
      </c>
      <c r="C44" s="2238" t="s">
        <v>277</v>
      </c>
      <c r="D44" s="2238"/>
      <c r="E44" s="2244">
        <v>30000</v>
      </c>
      <c r="F44" s="2247"/>
      <c r="G44" s="2244">
        <v>0</v>
      </c>
      <c r="H44" s="2247"/>
      <c r="I44" s="2244">
        <v>0</v>
      </c>
      <c r="J44" s="2247"/>
      <c r="K44" s="2243">
        <f t="shared" si="7"/>
        <v>30000</v>
      </c>
    </row>
    <row r="45" spans="1:11">
      <c r="A45" s="2001"/>
      <c r="B45" s="1769" t="s">
        <v>2297</v>
      </c>
      <c r="C45" s="2238" t="s">
        <v>277</v>
      </c>
      <c r="D45" s="2237"/>
      <c r="E45" s="2244">
        <v>13000</v>
      </c>
      <c r="F45" s="1768"/>
      <c r="G45" s="2247">
        <v>3050</v>
      </c>
      <c r="H45" s="1768"/>
      <c r="I45" s="2243">
        <v>273500</v>
      </c>
      <c r="J45" s="1768"/>
      <c r="K45" s="2243">
        <f t="shared" si="7"/>
        <v>289550</v>
      </c>
    </row>
    <row r="46" spans="1:11">
      <c r="A46" s="2001"/>
      <c r="B46" s="1769" t="s">
        <v>2298</v>
      </c>
      <c r="C46" s="2238" t="s">
        <v>277</v>
      </c>
      <c r="D46" s="2238"/>
      <c r="E46" s="2244">
        <v>10500</v>
      </c>
      <c r="F46" s="2247"/>
      <c r="G46" s="2244">
        <v>1225</v>
      </c>
      <c r="H46" s="2247"/>
      <c r="I46" s="2244">
        <v>0</v>
      </c>
      <c r="J46" s="2243"/>
      <c r="K46" s="2243">
        <f t="shared" si="7"/>
        <v>11725</v>
      </c>
    </row>
    <row r="47" spans="1:11">
      <c r="A47" s="2002"/>
      <c r="B47" s="2000"/>
      <c r="C47" s="1769"/>
      <c r="D47" s="1769"/>
      <c r="E47" s="2243"/>
      <c r="F47" s="2243"/>
      <c r="G47" s="2243"/>
      <c r="H47" s="2243"/>
      <c r="I47" s="2243"/>
      <c r="J47" s="2243"/>
      <c r="K47" s="2243"/>
    </row>
    <row r="48" spans="1:11">
      <c r="A48" s="1769" t="s">
        <v>2299</v>
      </c>
      <c r="B48" s="1769"/>
      <c r="C48" s="2238" t="s">
        <v>277</v>
      </c>
      <c r="D48" s="2238"/>
      <c r="E48" s="2244">
        <v>0</v>
      </c>
      <c r="F48" s="2243"/>
      <c r="G48" s="2243">
        <v>3000</v>
      </c>
      <c r="H48" s="2243"/>
      <c r="I48" s="2244">
        <v>0</v>
      </c>
      <c r="J48" s="2243"/>
      <c r="K48" s="2243">
        <f t="shared" ref="K48" si="8">ROUND(SUM(E48:I48),0)</f>
        <v>3000</v>
      </c>
    </row>
    <row r="49" spans="1:11">
      <c r="A49" s="820" t="s">
        <v>0</v>
      </c>
      <c r="B49" s="1769"/>
      <c r="C49" s="1769"/>
      <c r="D49" s="1769"/>
      <c r="E49" s="1769"/>
      <c r="F49" s="1769"/>
      <c r="G49" s="1769"/>
      <c r="H49" s="1769"/>
      <c r="I49" s="1769"/>
      <c r="J49" s="1769"/>
      <c r="K49" s="1567" t="s">
        <v>2451</v>
      </c>
    </row>
    <row r="50" spans="1:11">
      <c r="A50" s="1991" t="s">
        <v>1187</v>
      </c>
      <c r="B50" s="1769"/>
      <c r="C50" s="851"/>
      <c r="D50" s="851"/>
      <c r="E50" s="851"/>
      <c r="F50" s="851"/>
      <c r="G50" s="851"/>
      <c r="H50" s="851"/>
      <c r="I50" s="851"/>
      <c r="J50" s="1769"/>
      <c r="K50" s="1567" t="s">
        <v>131</v>
      </c>
    </row>
    <row r="51" spans="1:11">
      <c r="A51" s="1992" t="s">
        <v>2641</v>
      </c>
      <c r="B51" s="1769"/>
      <c r="C51" s="1992"/>
      <c r="D51" s="1992"/>
      <c r="E51" s="1992"/>
      <c r="F51" s="1992"/>
      <c r="G51" s="1992"/>
      <c r="H51" s="1992"/>
      <c r="I51" s="1992"/>
      <c r="J51" s="1769"/>
      <c r="K51" s="1769"/>
    </row>
    <row r="52" spans="1:11">
      <c r="A52" s="1993"/>
      <c r="B52" s="818"/>
      <c r="C52" s="818"/>
      <c r="D52" s="818"/>
      <c r="E52" s="818"/>
      <c r="F52" s="818"/>
      <c r="G52" s="818"/>
      <c r="H52" s="818"/>
      <c r="I52" s="818"/>
      <c r="J52" s="818"/>
      <c r="K52" s="818"/>
    </row>
    <row r="53" spans="1:11">
      <c r="A53" s="1994"/>
      <c r="B53" s="1995"/>
      <c r="C53" s="818"/>
      <c r="D53" s="818"/>
      <c r="E53" s="818" t="s">
        <v>1189</v>
      </c>
      <c r="F53" s="818"/>
      <c r="G53" s="818"/>
      <c r="H53" s="818"/>
      <c r="I53" s="818"/>
      <c r="J53" s="818"/>
      <c r="K53" s="818" t="s">
        <v>276</v>
      </c>
    </row>
    <row r="54" spans="1:11">
      <c r="A54" s="1996" t="s">
        <v>1190</v>
      </c>
      <c r="B54" s="2236"/>
      <c r="C54" s="818"/>
      <c r="D54" s="818"/>
      <c r="E54" s="2235" t="s">
        <v>1191</v>
      </c>
      <c r="F54" s="818"/>
      <c r="G54" s="2235" t="s">
        <v>1192</v>
      </c>
      <c r="H54" s="818"/>
      <c r="I54" s="1998" t="s">
        <v>1193</v>
      </c>
      <c r="J54" s="1999"/>
      <c r="K54" s="2235" t="s">
        <v>530</v>
      </c>
    </row>
    <row r="55" spans="1:11">
      <c r="A55" s="2004"/>
      <c r="B55" s="2005"/>
      <c r="C55" s="818"/>
      <c r="D55" s="818"/>
      <c r="E55" s="819"/>
      <c r="F55" s="818"/>
      <c r="G55" s="819"/>
      <c r="H55" s="818"/>
      <c r="I55" s="1999"/>
      <c r="J55" s="1999"/>
      <c r="K55" s="819"/>
    </row>
    <row r="56" spans="1:11">
      <c r="A56" s="1769" t="s">
        <v>1198</v>
      </c>
      <c r="B56" s="1769"/>
      <c r="C56" s="2238"/>
      <c r="D56" s="2238"/>
      <c r="E56" s="2244"/>
      <c r="F56" s="2243"/>
      <c r="G56" s="2243"/>
      <c r="H56" s="2249"/>
      <c r="I56" s="2245"/>
      <c r="J56" s="2243"/>
      <c r="K56" s="2243"/>
    </row>
    <row r="57" spans="1:11">
      <c r="A57" s="2250"/>
      <c r="B57" s="1769" t="s">
        <v>1199</v>
      </c>
      <c r="C57" s="2238" t="s">
        <v>277</v>
      </c>
      <c r="D57" s="2239"/>
      <c r="E57" s="2251">
        <v>500</v>
      </c>
      <c r="F57" s="2251"/>
      <c r="G57" s="2251">
        <v>500</v>
      </c>
      <c r="H57" s="2251"/>
      <c r="I57" s="2251">
        <v>0</v>
      </c>
      <c r="J57" s="2251"/>
      <c r="K57" s="2243">
        <f t="shared" ref="K57:K65" si="9">ROUND(SUM(E57:I57),0)</f>
        <v>1000</v>
      </c>
    </row>
    <row r="58" spans="1:11">
      <c r="A58" s="2250"/>
      <c r="B58" s="1769" t="s">
        <v>2300</v>
      </c>
      <c r="C58" s="2238" t="s">
        <v>277</v>
      </c>
      <c r="D58" s="2239"/>
      <c r="E58" s="2243">
        <v>300</v>
      </c>
      <c r="F58" s="2248"/>
      <c r="G58" s="2243">
        <v>1000</v>
      </c>
      <c r="H58" s="2248"/>
      <c r="I58" s="2244">
        <v>0</v>
      </c>
      <c r="J58" s="2248"/>
      <c r="K58" s="2243">
        <f t="shared" si="9"/>
        <v>1300</v>
      </c>
    </row>
    <row r="59" spans="1:11">
      <c r="A59" s="2250"/>
      <c r="B59" s="1769" t="s">
        <v>2301</v>
      </c>
      <c r="C59" s="2238" t="s">
        <v>277</v>
      </c>
      <c r="D59" s="2238"/>
      <c r="E59" s="2243">
        <v>6500</v>
      </c>
      <c r="F59" s="2243"/>
      <c r="G59" s="2244">
        <v>0</v>
      </c>
      <c r="H59" s="2243"/>
      <c r="I59" s="2244">
        <v>0</v>
      </c>
      <c r="J59" s="2243"/>
      <c r="K59" s="2243">
        <f t="shared" si="9"/>
        <v>6500</v>
      </c>
    </row>
    <row r="60" spans="1:11">
      <c r="A60" s="2250"/>
      <c r="B60" s="1769" t="s">
        <v>2302</v>
      </c>
      <c r="C60" s="2238" t="s">
        <v>277</v>
      </c>
      <c r="D60" s="2238"/>
      <c r="E60" s="2243">
        <v>250</v>
      </c>
      <c r="F60" s="2243"/>
      <c r="G60" s="2243">
        <v>750</v>
      </c>
      <c r="H60" s="2243"/>
      <c r="I60" s="2244">
        <v>0</v>
      </c>
      <c r="J60" s="2243"/>
      <c r="K60" s="2243">
        <f t="shared" si="9"/>
        <v>1000</v>
      </c>
    </row>
    <row r="61" spans="1:11">
      <c r="A61" s="2250"/>
      <c r="B61" s="1769" t="s">
        <v>2303</v>
      </c>
      <c r="C61" s="2238" t="s">
        <v>277</v>
      </c>
      <c r="D61" s="2238"/>
      <c r="E61" s="2243">
        <v>500</v>
      </c>
      <c r="F61" s="2243"/>
      <c r="G61" s="2244">
        <v>0</v>
      </c>
      <c r="H61" s="2243"/>
      <c r="I61" s="2244">
        <v>0</v>
      </c>
      <c r="J61" s="2243"/>
      <c r="K61" s="2243">
        <f t="shared" si="9"/>
        <v>500</v>
      </c>
    </row>
    <row r="62" spans="1:11">
      <c r="A62" s="2250"/>
      <c r="B62" s="1769" t="s">
        <v>2304</v>
      </c>
      <c r="C62" s="2238" t="s">
        <v>277</v>
      </c>
      <c r="D62" s="2238"/>
      <c r="E62" s="2243">
        <v>1000</v>
      </c>
      <c r="F62" s="2243"/>
      <c r="G62" s="2244">
        <v>0</v>
      </c>
      <c r="H62" s="2243"/>
      <c r="I62" s="2244">
        <v>0</v>
      </c>
      <c r="J62" s="2243"/>
      <c r="K62" s="2243">
        <f t="shared" si="9"/>
        <v>1000</v>
      </c>
    </row>
    <row r="63" spans="1:11">
      <c r="A63" s="2250"/>
      <c r="B63" s="1769" t="s">
        <v>2305</v>
      </c>
      <c r="C63" s="2238" t="s">
        <v>277</v>
      </c>
      <c r="D63" s="2237"/>
      <c r="E63" s="2243">
        <v>750</v>
      </c>
      <c r="F63" s="1768"/>
      <c r="G63" s="2244">
        <v>0</v>
      </c>
      <c r="H63" s="1768"/>
      <c r="I63" s="2244">
        <v>0</v>
      </c>
      <c r="J63" s="1768"/>
      <c r="K63" s="2243">
        <f t="shared" si="9"/>
        <v>750</v>
      </c>
    </row>
    <row r="64" spans="1:11">
      <c r="A64" s="2250"/>
      <c r="B64" s="1769" t="s">
        <v>2306</v>
      </c>
      <c r="C64" s="2238" t="s">
        <v>277</v>
      </c>
      <c r="D64" s="2238"/>
      <c r="E64" s="2243">
        <v>1500</v>
      </c>
      <c r="F64" s="2243"/>
      <c r="G64" s="2243">
        <v>2000</v>
      </c>
      <c r="H64" s="2243"/>
      <c r="I64" s="2244">
        <v>0</v>
      </c>
      <c r="J64" s="2243"/>
      <c r="K64" s="2243">
        <f t="shared" si="9"/>
        <v>3500</v>
      </c>
    </row>
    <row r="65" spans="1:11">
      <c r="A65" s="2250"/>
      <c r="B65" s="1769" t="s">
        <v>2307</v>
      </c>
      <c r="C65" s="2238" t="s">
        <v>277</v>
      </c>
      <c r="D65" s="2238"/>
      <c r="E65" s="2243">
        <v>450</v>
      </c>
      <c r="F65" s="2243"/>
      <c r="G65" s="2244">
        <v>0</v>
      </c>
      <c r="H65" s="2243"/>
      <c r="I65" s="2244">
        <v>0</v>
      </c>
      <c r="J65" s="2243"/>
      <c r="K65" s="2243">
        <f t="shared" si="9"/>
        <v>450</v>
      </c>
    </row>
    <row r="66" spans="1:11">
      <c r="A66" s="2250"/>
      <c r="B66" s="1769"/>
      <c r="C66" s="2238" t="s">
        <v>277</v>
      </c>
      <c r="D66" s="2238"/>
      <c r="E66" s="2243"/>
      <c r="F66" s="2243"/>
      <c r="G66" s="2244"/>
      <c r="H66" s="2243"/>
      <c r="I66" s="2245"/>
      <c r="J66" s="2243"/>
      <c r="K66" s="2243"/>
    </row>
    <row r="67" spans="1:11">
      <c r="A67" s="1769" t="s">
        <v>2308</v>
      </c>
      <c r="B67" s="1769"/>
      <c r="C67" s="2238" t="s">
        <v>277</v>
      </c>
      <c r="D67" s="2238"/>
      <c r="E67" s="2244">
        <v>2000</v>
      </c>
      <c r="F67" s="2243"/>
      <c r="G67" s="2244">
        <v>0</v>
      </c>
      <c r="H67" s="2243"/>
      <c r="I67" s="2244">
        <v>0</v>
      </c>
      <c r="J67" s="2243"/>
      <c r="K67" s="2243">
        <f t="shared" ref="K67" si="10">ROUND(SUM(E67:I67),0)</f>
        <v>2000</v>
      </c>
    </row>
    <row r="68" spans="1:11">
      <c r="A68" s="1769"/>
      <c r="B68" s="1769"/>
      <c r="C68" s="2238" t="s">
        <v>277</v>
      </c>
      <c r="D68" s="2238"/>
      <c r="E68" s="2244"/>
      <c r="F68" s="2243"/>
      <c r="G68" s="2244"/>
      <c r="H68" s="2243"/>
      <c r="I68" s="2245"/>
      <c r="J68" s="2243"/>
      <c r="K68" s="2243"/>
    </row>
    <row r="69" spans="1:11">
      <c r="A69" s="1769" t="s">
        <v>1200</v>
      </c>
      <c r="B69" s="2000"/>
      <c r="C69" s="2238" t="s">
        <v>277</v>
      </c>
      <c r="D69" s="2238"/>
      <c r="E69" s="2243"/>
      <c r="F69" s="2243"/>
      <c r="G69" s="2243"/>
      <c r="H69" s="2243"/>
      <c r="I69" s="2243"/>
      <c r="J69" s="2243"/>
      <c r="K69" s="2243"/>
    </row>
    <row r="70" spans="1:11">
      <c r="A70" s="2250"/>
      <c r="B70" s="1769" t="s">
        <v>2309</v>
      </c>
      <c r="C70" s="2238" t="s">
        <v>277</v>
      </c>
      <c r="D70" s="2238"/>
      <c r="E70" s="2244">
        <v>1100</v>
      </c>
      <c r="F70" s="2243"/>
      <c r="G70" s="2243">
        <v>500</v>
      </c>
      <c r="H70" s="2243"/>
      <c r="I70" s="2243">
        <v>100</v>
      </c>
      <c r="J70" s="2243"/>
      <c r="K70" s="2243">
        <f t="shared" ref="K70:K95" si="11">ROUND(SUM(E70:I70),0)</f>
        <v>1700</v>
      </c>
    </row>
    <row r="71" spans="1:11">
      <c r="A71" s="2250"/>
      <c r="B71" s="1769" t="s">
        <v>2310</v>
      </c>
      <c r="C71" s="2238" t="s">
        <v>277</v>
      </c>
      <c r="D71" s="2238"/>
      <c r="E71" s="2243">
        <v>2000</v>
      </c>
      <c r="F71" s="2243"/>
      <c r="G71" s="2243">
        <v>1000</v>
      </c>
      <c r="H71" s="2243"/>
      <c r="I71" s="2243">
        <v>2700</v>
      </c>
      <c r="J71" s="2243"/>
      <c r="K71" s="2243">
        <f t="shared" si="11"/>
        <v>5700</v>
      </c>
    </row>
    <row r="72" spans="1:11">
      <c r="A72" s="2250"/>
      <c r="B72" s="1769" t="s">
        <v>2311</v>
      </c>
      <c r="C72" s="2238" t="s">
        <v>277</v>
      </c>
      <c r="D72" s="2237"/>
      <c r="E72" s="2244">
        <v>2500</v>
      </c>
      <c r="F72" s="1768"/>
      <c r="G72" s="2243">
        <v>2300</v>
      </c>
      <c r="H72" s="1768"/>
      <c r="I72" s="2243">
        <v>200</v>
      </c>
      <c r="J72" s="1768"/>
      <c r="K72" s="2243">
        <f t="shared" si="11"/>
        <v>5000</v>
      </c>
    </row>
    <row r="73" spans="1:11">
      <c r="A73" s="2250"/>
      <c r="B73" s="1769" t="s">
        <v>2312</v>
      </c>
      <c r="C73" s="2238" t="s">
        <v>277</v>
      </c>
      <c r="D73" s="2238"/>
      <c r="E73" s="2243">
        <v>1500</v>
      </c>
      <c r="F73" s="2243"/>
      <c r="G73" s="2243">
        <v>2500</v>
      </c>
      <c r="H73" s="2243"/>
      <c r="I73" s="2243">
        <v>200</v>
      </c>
      <c r="J73" s="2243"/>
      <c r="K73" s="2243">
        <f t="shared" si="11"/>
        <v>4200</v>
      </c>
    </row>
    <row r="74" spans="1:11">
      <c r="A74" s="2250"/>
      <c r="B74" s="1769" t="s">
        <v>2313</v>
      </c>
      <c r="C74" s="2238" t="s">
        <v>277</v>
      </c>
      <c r="D74" s="2239"/>
      <c r="E74" s="2244">
        <v>6000</v>
      </c>
      <c r="F74" s="2248"/>
      <c r="G74" s="2244">
        <v>2000</v>
      </c>
      <c r="H74" s="2248"/>
      <c r="I74" s="2244">
        <v>500</v>
      </c>
      <c r="J74" s="2248"/>
      <c r="K74" s="2243">
        <f t="shared" si="11"/>
        <v>8500</v>
      </c>
    </row>
    <row r="75" spans="1:11">
      <c r="A75" s="2250"/>
      <c r="B75" s="1769" t="s">
        <v>2314</v>
      </c>
      <c r="C75" s="2238" t="s">
        <v>277</v>
      </c>
      <c r="D75" s="1769"/>
      <c r="E75" s="2244">
        <v>1500</v>
      </c>
      <c r="F75" s="2243"/>
      <c r="G75" s="2243">
        <v>1000</v>
      </c>
      <c r="H75" s="2243"/>
      <c r="I75" s="2243">
        <v>1000</v>
      </c>
      <c r="J75" s="2243"/>
      <c r="K75" s="2243">
        <f t="shared" si="11"/>
        <v>3500</v>
      </c>
    </row>
    <row r="76" spans="1:11">
      <c r="A76" s="2250"/>
      <c r="B76" s="1769" t="s">
        <v>2315</v>
      </c>
      <c r="C76" s="2238" t="s">
        <v>277</v>
      </c>
      <c r="D76" s="2238"/>
      <c r="E76" s="2244">
        <v>7500</v>
      </c>
      <c r="F76" s="2243"/>
      <c r="G76" s="2243">
        <v>400</v>
      </c>
      <c r="H76" s="2243"/>
      <c r="I76" s="2243">
        <v>800</v>
      </c>
      <c r="J76" s="2243"/>
      <c r="K76" s="2243">
        <f t="shared" si="11"/>
        <v>8700</v>
      </c>
    </row>
    <row r="77" spans="1:11">
      <c r="A77" s="2250"/>
      <c r="B77" s="1769" t="s">
        <v>2316</v>
      </c>
      <c r="C77" s="2238" t="s">
        <v>277</v>
      </c>
      <c r="D77" s="2238"/>
      <c r="E77" s="2244">
        <v>2000</v>
      </c>
      <c r="F77" s="2243"/>
      <c r="G77" s="2243">
        <v>2000</v>
      </c>
      <c r="H77" s="2243"/>
      <c r="I77" s="2243">
        <v>1000</v>
      </c>
      <c r="J77" s="2243"/>
      <c r="K77" s="2243">
        <f t="shared" si="11"/>
        <v>5000</v>
      </c>
    </row>
    <row r="78" spans="1:11">
      <c r="A78" s="2250"/>
      <c r="B78" s="1769" t="s">
        <v>2317</v>
      </c>
      <c r="C78" s="2238" t="s">
        <v>277</v>
      </c>
      <c r="D78" s="2238"/>
      <c r="E78" s="2244">
        <v>5000</v>
      </c>
      <c r="F78" s="2243"/>
      <c r="G78" s="2243">
        <v>1000</v>
      </c>
      <c r="H78" s="2243"/>
      <c r="I78" s="2243">
        <v>500</v>
      </c>
      <c r="J78" s="2243"/>
      <c r="K78" s="2243">
        <f t="shared" si="11"/>
        <v>6500</v>
      </c>
    </row>
    <row r="79" spans="1:11">
      <c r="A79" s="2250"/>
      <c r="B79" s="1769" t="s">
        <v>2318</v>
      </c>
      <c r="C79" s="2238" t="s">
        <v>277</v>
      </c>
      <c r="D79" s="2238"/>
      <c r="E79" s="2244">
        <v>1000</v>
      </c>
      <c r="F79" s="2243"/>
      <c r="G79" s="2244">
        <v>0</v>
      </c>
      <c r="H79" s="2243"/>
      <c r="I79" s="2244">
        <v>0</v>
      </c>
      <c r="J79" s="2243"/>
      <c r="K79" s="2243">
        <f t="shared" si="11"/>
        <v>1000</v>
      </c>
    </row>
    <row r="80" spans="1:11">
      <c r="A80" s="2250"/>
      <c r="B80" s="1769" t="s">
        <v>2319</v>
      </c>
      <c r="C80" s="2238" t="s">
        <v>277</v>
      </c>
      <c r="D80" s="2238"/>
      <c r="E80" s="2243">
        <v>10500</v>
      </c>
      <c r="F80" s="2243"/>
      <c r="G80" s="2243">
        <v>5000</v>
      </c>
      <c r="H80" s="2243"/>
      <c r="I80" s="2243">
        <v>500</v>
      </c>
      <c r="J80" s="2243"/>
      <c r="K80" s="2243">
        <f t="shared" si="11"/>
        <v>16000</v>
      </c>
    </row>
    <row r="81" spans="1:11">
      <c r="A81" s="2250"/>
      <c r="B81" s="1769" t="s">
        <v>2320</v>
      </c>
      <c r="C81" s="2238" t="s">
        <v>277</v>
      </c>
      <c r="D81" s="2238"/>
      <c r="E81" s="2244">
        <v>5000</v>
      </c>
      <c r="F81" s="2243"/>
      <c r="G81" s="2243">
        <v>2000</v>
      </c>
      <c r="H81" s="2243"/>
      <c r="I81" s="2243">
        <v>1200</v>
      </c>
      <c r="J81" s="2243"/>
      <c r="K81" s="2243">
        <f t="shared" si="11"/>
        <v>8200</v>
      </c>
    </row>
    <row r="82" spans="1:11">
      <c r="A82" s="2250"/>
      <c r="B82" s="1769" t="s">
        <v>1201</v>
      </c>
      <c r="C82" s="2238" t="s">
        <v>277</v>
      </c>
      <c r="D82" s="2238"/>
      <c r="E82" s="2244">
        <v>10000</v>
      </c>
      <c r="F82" s="2243"/>
      <c r="G82" s="2243">
        <v>4000</v>
      </c>
      <c r="H82" s="2243"/>
      <c r="I82" s="2243">
        <v>10200</v>
      </c>
      <c r="J82" s="2243"/>
      <c r="K82" s="2243">
        <f t="shared" si="11"/>
        <v>24200</v>
      </c>
    </row>
    <row r="83" spans="1:11">
      <c r="A83" s="2250"/>
      <c r="B83" s="1769" t="s">
        <v>2321</v>
      </c>
      <c r="C83" s="2238" t="s">
        <v>277</v>
      </c>
      <c r="D83" s="2238"/>
      <c r="E83" s="2243">
        <v>2500</v>
      </c>
      <c r="F83" s="2243"/>
      <c r="G83" s="2244">
        <v>200</v>
      </c>
      <c r="H83" s="2243"/>
      <c r="I83" s="2243">
        <v>200</v>
      </c>
      <c r="J83" s="2243"/>
      <c r="K83" s="2243">
        <f t="shared" si="11"/>
        <v>2900</v>
      </c>
    </row>
    <row r="84" spans="1:11">
      <c r="A84" s="2250"/>
      <c r="B84" s="1769" t="s">
        <v>2322</v>
      </c>
      <c r="C84" s="2238" t="s">
        <v>277</v>
      </c>
      <c r="D84" s="2238"/>
      <c r="E84" s="2243">
        <v>1700</v>
      </c>
      <c r="F84" s="2243"/>
      <c r="G84" s="2244">
        <v>250</v>
      </c>
      <c r="H84" s="2243"/>
      <c r="I84" s="2243">
        <v>1000</v>
      </c>
      <c r="J84" s="2243"/>
      <c r="K84" s="2243">
        <f t="shared" si="11"/>
        <v>2950</v>
      </c>
    </row>
    <row r="85" spans="1:11">
      <c r="A85" s="2250"/>
      <c r="B85" s="1769" t="s">
        <v>2643</v>
      </c>
      <c r="C85" s="2238" t="s">
        <v>277</v>
      </c>
      <c r="D85" s="2238"/>
      <c r="E85" s="2244">
        <v>2500</v>
      </c>
      <c r="F85" s="2243"/>
      <c r="G85" s="2243">
        <v>300</v>
      </c>
      <c r="H85" s="2243"/>
      <c r="I85" s="2243">
        <v>50</v>
      </c>
      <c r="J85" s="2243"/>
      <c r="K85" s="2243">
        <f t="shared" si="11"/>
        <v>2850</v>
      </c>
    </row>
    <row r="86" spans="1:11">
      <c r="A86" s="2250"/>
      <c r="B86" s="1769" t="s">
        <v>2323</v>
      </c>
      <c r="C86" s="2238" t="s">
        <v>277</v>
      </c>
      <c r="D86" s="2238"/>
      <c r="E86" s="2244">
        <v>4000</v>
      </c>
      <c r="F86" s="2243"/>
      <c r="G86" s="2243">
        <v>250</v>
      </c>
      <c r="H86" s="2243"/>
      <c r="I86" s="2243">
        <v>1500</v>
      </c>
      <c r="J86" s="2243"/>
      <c r="K86" s="2243">
        <f t="shared" si="11"/>
        <v>5750</v>
      </c>
    </row>
    <row r="87" spans="1:11">
      <c r="A87" s="2250"/>
      <c r="B87" s="2252" t="s">
        <v>2324</v>
      </c>
      <c r="C87" s="2238" t="s">
        <v>277</v>
      </c>
      <c r="D87" s="2238"/>
      <c r="E87" s="2244">
        <v>4000</v>
      </c>
      <c r="F87" s="2243"/>
      <c r="G87" s="2243">
        <v>2000</v>
      </c>
      <c r="H87" s="2243"/>
      <c r="I87" s="2243">
        <v>1000</v>
      </c>
      <c r="J87" s="2243"/>
      <c r="K87" s="2243">
        <f t="shared" si="11"/>
        <v>7000</v>
      </c>
    </row>
    <row r="88" spans="1:11">
      <c r="A88" s="2250"/>
      <c r="B88" s="2252" t="s">
        <v>2325</v>
      </c>
      <c r="C88" s="2238" t="s">
        <v>277</v>
      </c>
      <c r="D88" s="2238"/>
      <c r="E88" s="2243">
        <v>4000</v>
      </c>
      <c r="F88" s="2243"/>
      <c r="G88" s="2243">
        <v>2000</v>
      </c>
      <c r="H88" s="2243"/>
      <c r="I88" s="2243">
        <v>3500</v>
      </c>
      <c r="J88" s="2243"/>
      <c r="K88" s="2243">
        <f t="shared" si="11"/>
        <v>9500</v>
      </c>
    </row>
    <row r="89" spans="1:11">
      <c r="A89" s="2250"/>
      <c r="B89" s="1769" t="s">
        <v>2326</v>
      </c>
      <c r="C89" s="2238" t="s">
        <v>277</v>
      </c>
      <c r="D89" s="2238"/>
      <c r="E89" s="2244">
        <v>1000</v>
      </c>
      <c r="F89" s="2243"/>
      <c r="G89" s="2243">
        <v>1500</v>
      </c>
      <c r="H89" s="2243"/>
      <c r="I89" s="2243">
        <v>500</v>
      </c>
      <c r="J89" s="2243"/>
      <c r="K89" s="2243">
        <f t="shared" si="11"/>
        <v>3000</v>
      </c>
    </row>
    <row r="90" spans="1:11">
      <c r="A90" s="2250"/>
      <c r="B90" s="2252" t="s">
        <v>2327</v>
      </c>
      <c r="C90" s="2238" t="s">
        <v>277</v>
      </c>
      <c r="D90" s="2238"/>
      <c r="E90" s="2244">
        <v>4500</v>
      </c>
      <c r="F90" s="2243"/>
      <c r="G90" s="2243">
        <v>1500</v>
      </c>
      <c r="H90" s="2243"/>
      <c r="I90" s="2243">
        <v>1000</v>
      </c>
      <c r="J90" s="2243"/>
      <c r="K90" s="2243">
        <f t="shared" si="11"/>
        <v>7000</v>
      </c>
    </row>
    <row r="91" spans="1:11">
      <c r="A91" s="2250"/>
      <c r="B91" s="1769" t="s">
        <v>1202</v>
      </c>
      <c r="C91" s="2238" t="s">
        <v>277</v>
      </c>
      <c r="D91" s="2238"/>
      <c r="E91" s="2243">
        <v>1500</v>
      </c>
      <c r="F91" s="2243"/>
      <c r="G91" s="2244">
        <v>1500</v>
      </c>
      <c r="H91" s="2243"/>
      <c r="I91" s="2243">
        <v>500</v>
      </c>
      <c r="J91" s="2243"/>
      <c r="K91" s="2243">
        <f t="shared" si="11"/>
        <v>3500</v>
      </c>
    </row>
    <row r="92" spans="1:11">
      <c r="A92" s="2250"/>
      <c r="B92" s="1769" t="s">
        <v>1203</v>
      </c>
      <c r="C92" s="2238" t="s">
        <v>277</v>
      </c>
      <c r="D92" s="2237"/>
      <c r="E92" s="2243">
        <v>2200</v>
      </c>
      <c r="F92" s="1768"/>
      <c r="G92" s="2243">
        <v>2000</v>
      </c>
      <c r="H92" s="1768"/>
      <c r="I92" s="2243">
        <v>200</v>
      </c>
      <c r="J92" s="1768"/>
      <c r="K92" s="2243">
        <f t="shared" si="11"/>
        <v>4400</v>
      </c>
    </row>
    <row r="93" spans="1:11">
      <c r="A93" s="2250"/>
      <c r="B93" s="1769" t="s">
        <v>1204</v>
      </c>
      <c r="C93" s="2238" t="s">
        <v>277</v>
      </c>
      <c r="D93" s="2238"/>
      <c r="E93" s="2243">
        <v>5500</v>
      </c>
      <c r="F93" s="2243"/>
      <c r="G93" s="2243">
        <v>3500</v>
      </c>
      <c r="H93" s="2243"/>
      <c r="I93" s="2243">
        <v>300</v>
      </c>
      <c r="J93" s="2243"/>
      <c r="K93" s="2243">
        <f t="shared" si="11"/>
        <v>9300</v>
      </c>
    </row>
    <row r="94" spans="1:11">
      <c r="A94" s="2250"/>
      <c r="B94" s="1769" t="s">
        <v>2328</v>
      </c>
      <c r="C94" s="2238" t="s">
        <v>277</v>
      </c>
      <c r="D94" s="2238"/>
      <c r="E94" s="2243">
        <v>4000</v>
      </c>
      <c r="F94" s="2243"/>
      <c r="G94" s="2244">
        <v>1000</v>
      </c>
      <c r="H94" s="2243"/>
      <c r="I94" s="2243">
        <v>1200</v>
      </c>
      <c r="J94" s="2243"/>
      <c r="K94" s="2243">
        <f t="shared" si="11"/>
        <v>6200</v>
      </c>
    </row>
    <row r="95" spans="1:11">
      <c r="A95" s="2250"/>
      <c r="B95" s="1769" t="s">
        <v>2329</v>
      </c>
      <c r="C95" s="2238" t="s">
        <v>277</v>
      </c>
      <c r="D95" s="2238"/>
      <c r="E95" s="2243">
        <v>3500</v>
      </c>
      <c r="F95" s="2243"/>
      <c r="G95" s="2243">
        <v>1200</v>
      </c>
      <c r="H95" s="2243"/>
      <c r="I95" s="2243">
        <v>300</v>
      </c>
      <c r="J95" s="2243"/>
      <c r="K95" s="2243">
        <f t="shared" si="11"/>
        <v>5000</v>
      </c>
    </row>
    <row r="96" spans="1:11">
      <c r="A96" s="820" t="s">
        <v>0</v>
      </c>
      <c r="B96" s="1769"/>
      <c r="C96" s="1769"/>
      <c r="D96" s="1769"/>
      <c r="E96" s="1769"/>
      <c r="F96" s="1769"/>
      <c r="G96" s="1769"/>
      <c r="H96" s="1769"/>
      <c r="I96" s="1769"/>
      <c r="J96" s="1769"/>
      <c r="K96" s="1567" t="s">
        <v>2451</v>
      </c>
    </row>
    <row r="97" spans="1:11">
      <c r="A97" s="1991" t="s">
        <v>1187</v>
      </c>
      <c r="B97" s="1769"/>
      <c r="C97" s="851"/>
      <c r="D97" s="851"/>
      <c r="E97" s="851"/>
      <c r="F97" s="851"/>
      <c r="G97" s="851"/>
      <c r="H97" s="851"/>
      <c r="I97" s="851"/>
      <c r="J97" s="1769"/>
      <c r="K97" s="1567" t="s">
        <v>131</v>
      </c>
    </row>
    <row r="98" spans="1:11">
      <c r="A98" s="1992" t="s">
        <v>2644</v>
      </c>
      <c r="B98" s="1769"/>
      <c r="C98" s="1992"/>
      <c r="D98" s="1992"/>
      <c r="E98" s="1992"/>
      <c r="F98" s="1992"/>
      <c r="G98" s="1992"/>
      <c r="H98" s="1992"/>
      <c r="I98" s="1992"/>
      <c r="J98" s="1769"/>
      <c r="K98" s="1769"/>
    </row>
    <row r="99" spans="1:11">
      <c r="A99" s="1993"/>
      <c r="B99" s="818"/>
      <c r="C99" s="818"/>
      <c r="D99" s="818"/>
      <c r="E99" s="818"/>
      <c r="F99" s="818"/>
      <c r="G99" s="818"/>
      <c r="H99" s="818"/>
      <c r="I99" s="818"/>
      <c r="J99" s="818"/>
      <c r="K99" s="818"/>
    </row>
    <row r="100" spans="1:11">
      <c r="A100" s="1994"/>
      <c r="B100" s="1995"/>
      <c r="C100" s="818"/>
      <c r="D100" s="818"/>
      <c r="E100" s="818" t="s">
        <v>1189</v>
      </c>
      <c r="F100" s="818"/>
      <c r="G100" s="818"/>
      <c r="H100" s="818"/>
      <c r="I100" s="818"/>
      <c r="J100" s="818"/>
      <c r="K100" s="818" t="s">
        <v>276</v>
      </c>
    </row>
    <row r="101" spans="1:11">
      <c r="A101" s="1996" t="s">
        <v>1190</v>
      </c>
      <c r="B101" s="2236"/>
      <c r="C101" s="818"/>
      <c r="D101" s="818"/>
      <c r="E101" s="2235" t="s">
        <v>1191</v>
      </c>
      <c r="F101" s="818"/>
      <c r="G101" s="2235" t="s">
        <v>1192</v>
      </c>
      <c r="H101" s="818"/>
      <c r="I101" s="1998" t="s">
        <v>1193</v>
      </c>
      <c r="J101" s="1999"/>
      <c r="K101" s="2235" t="s">
        <v>530</v>
      </c>
    </row>
    <row r="102" spans="1:11">
      <c r="A102" s="2004"/>
      <c r="B102" s="2005"/>
      <c r="C102" s="818"/>
      <c r="D102" s="818"/>
      <c r="E102" s="819"/>
      <c r="F102" s="818"/>
      <c r="G102" s="819"/>
      <c r="H102" s="818"/>
      <c r="I102" s="1999"/>
      <c r="J102" s="1999"/>
      <c r="K102" s="819"/>
    </row>
    <row r="103" spans="1:11">
      <c r="A103" s="2250"/>
      <c r="B103" s="1769" t="s">
        <v>2330</v>
      </c>
      <c r="C103" s="2238" t="s">
        <v>277</v>
      </c>
      <c r="D103" s="2239"/>
      <c r="E103" s="2251">
        <v>2000</v>
      </c>
      <c r="F103" s="2251"/>
      <c r="G103" s="2251">
        <v>1000</v>
      </c>
      <c r="H103" s="2251"/>
      <c r="I103" s="2251">
        <v>400</v>
      </c>
      <c r="J103" s="2251"/>
      <c r="K103" s="2243">
        <f t="shared" ref="K103:K134" si="12">ROUND(SUM(E103:I103),0)</f>
        <v>3400</v>
      </c>
    </row>
    <row r="104" spans="1:11">
      <c r="A104" s="2250"/>
      <c r="B104" s="1769" t="s">
        <v>2331</v>
      </c>
      <c r="C104" s="2238" t="s">
        <v>277</v>
      </c>
      <c r="D104" s="2239"/>
      <c r="E104" s="2243">
        <v>1000</v>
      </c>
      <c r="F104" s="2248"/>
      <c r="G104" s="2244">
        <v>500</v>
      </c>
      <c r="H104" s="2248"/>
      <c r="I104" s="2243">
        <v>25</v>
      </c>
      <c r="J104" s="2248"/>
      <c r="K104" s="2243">
        <f t="shared" si="12"/>
        <v>1525</v>
      </c>
    </row>
    <row r="105" spans="1:11">
      <c r="A105" s="2250"/>
      <c r="B105" s="1769" t="s">
        <v>2332</v>
      </c>
      <c r="C105" s="2238" t="s">
        <v>277</v>
      </c>
      <c r="D105" s="2238"/>
      <c r="E105" s="2244">
        <v>3000</v>
      </c>
      <c r="F105" s="2243"/>
      <c r="G105" s="2243">
        <v>500</v>
      </c>
      <c r="H105" s="2243"/>
      <c r="I105" s="2243">
        <v>1550</v>
      </c>
      <c r="J105" s="2243"/>
      <c r="K105" s="2243">
        <f t="shared" si="12"/>
        <v>5050</v>
      </c>
    </row>
    <row r="106" spans="1:11">
      <c r="A106" s="2250"/>
      <c r="B106" s="1769" t="s">
        <v>2333</v>
      </c>
      <c r="C106" s="2238" t="s">
        <v>277</v>
      </c>
      <c r="D106" s="2239"/>
      <c r="E106" s="2244">
        <v>3000</v>
      </c>
      <c r="F106" s="2248"/>
      <c r="G106" s="2243">
        <v>1000</v>
      </c>
      <c r="H106" s="2248"/>
      <c r="I106" s="2243">
        <v>200</v>
      </c>
      <c r="J106" s="2248"/>
      <c r="K106" s="2243">
        <f t="shared" si="12"/>
        <v>4200</v>
      </c>
    </row>
    <row r="107" spans="1:11">
      <c r="A107" s="2250"/>
      <c r="B107" s="1769" t="s">
        <v>2334</v>
      </c>
      <c r="C107" s="2238" t="s">
        <v>277</v>
      </c>
      <c r="D107" s="2239"/>
      <c r="E107" s="2244">
        <v>2700</v>
      </c>
      <c r="F107" s="2248"/>
      <c r="G107" s="2244">
        <v>0</v>
      </c>
      <c r="H107" s="2248"/>
      <c r="I107" s="2243">
        <v>5100</v>
      </c>
      <c r="J107" s="2248"/>
      <c r="K107" s="2243">
        <f t="shared" si="12"/>
        <v>7800</v>
      </c>
    </row>
    <row r="108" spans="1:11">
      <c r="A108" s="2250"/>
      <c r="B108" s="1769" t="s">
        <v>2335</v>
      </c>
      <c r="C108" s="2238" t="s">
        <v>277</v>
      </c>
      <c r="D108" s="2238"/>
      <c r="E108" s="2243">
        <v>4450</v>
      </c>
      <c r="F108" s="2243"/>
      <c r="G108" s="2244">
        <v>0</v>
      </c>
      <c r="H108" s="2243"/>
      <c r="I108" s="2244">
        <v>0</v>
      </c>
      <c r="J108" s="2243"/>
      <c r="K108" s="2243">
        <f t="shared" si="12"/>
        <v>4450</v>
      </c>
    </row>
    <row r="109" spans="1:11">
      <c r="A109" s="2250"/>
      <c r="B109" s="1769" t="s">
        <v>2336</v>
      </c>
      <c r="C109" s="2238" t="s">
        <v>277</v>
      </c>
      <c r="D109" s="2237"/>
      <c r="E109" s="2244">
        <v>4500</v>
      </c>
      <c r="F109" s="1768"/>
      <c r="G109" s="2243">
        <v>500</v>
      </c>
      <c r="H109" s="1768"/>
      <c r="I109" s="2243">
        <v>500</v>
      </c>
      <c r="J109" s="1768"/>
      <c r="K109" s="2243">
        <f t="shared" si="12"/>
        <v>5500</v>
      </c>
    </row>
    <row r="110" spans="1:11">
      <c r="A110" s="2250"/>
      <c r="B110" s="1769" t="s">
        <v>2337</v>
      </c>
      <c r="C110" s="2238" t="s">
        <v>277</v>
      </c>
      <c r="D110" s="2238"/>
      <c r="E110" s="2244">
        <v>1000</v>
      </c>
      <c r="F110" s="2243"/>
      <c r="G110" s="2243">
        <v>2000</v>
      </c>
      <c r="H110" s="2243"/>
      <c r="I110" s="2243">
        <v>300</v>
      </c>
      <c r="J110" s="2243"/>
      <c r="K110" s="2243">
        <f t="shared" si="12"/>
        <v>3300</v>
      </c>
    </row>
    <row r="111" spans="1:11">
      <c r="A111" s="2250"/>
      <c r="B111" s="1769" t="s">
        <v>2338</v>
      </c>
      <c r="C111" s="2238" t="s">
        <v>277</v>
      </c>
      <c r="D111" s="1769"/>
      <c r="E111" s="2244">
        <v>2500</v>
      </c>
      <c r="F111" s="2243"/>
      <c r="G111" s="2243">
        <v>200</v>
      </c>
      <c r="H111" s="2243"/>
      <c r="I111" s="2243">
        <v>250</v>
      </c>
      <c r="J111" s="2243"/>
      <c r="K111" s="2243">
        <f t="shared" si="12"/>
        <v>2950</v>
      </c>
    </row>
    <row r="112" spans="1:11">
      <c r="A112" s="2250"/>
      <c r="B112" s="1769" t="s">
        <v>2564</v>
      </c>
      <c r="C112" s="2238" t="s">
        <v>277</v>
      </c>
      <c r="D112" s="2238"/>
      <c r="E112" s="2244">
        <v>2000</v>
      </c>
      <c r="F112" s="2243"/>
      <c r="G112" s="2244">
        <v>0</v>
      </c>
      <c r="H112" s="2243"/>
      <c r="I112" s="2244">
        <v>0</v>
      </c>
      <c r="J112" s="2243"/>
      <c r="K112" s="2243">
        <f t="shared" si="12"/>
        <v>2000</v>
      </c>
    </row>
    <row r="113" spans="1:11">
      <c r="A113" s="2250"/>
      <c r="B113" s="1769" t="s">
        <v>2339</v>
      </c>
      <c r="C113" s="2238" t="s">
        <v>277</v>
      </c>
      <c r="D113" s="2238"/>
      <c r="E113" s="2244">
        <v>5000</v>
      </c>
      <c r="F113" s="2243"/>
      <c r="G113" s="2243">
        <v>750</v>
      </c>
      <c r="H113" s="2243"/>
      <c r="I113" s="2244">
        <v>0</v>
      </c>
      <c r="J113" s="2243"/>
      <c r="K113" s="2243">
        <f t="shared" si="12"/>
        <v>5750</v>
      </c>
    </row>
    <row r="114" spans="1:11">
      <c r="A114" s="2250"/>
      <c r="B114" s="1769" t="s">
        <v>2340</v>
      </c>
      <c r="C114" s="2238" t="s">
        <v>277</v>
      </c>
      <c r="D114" s="2238"/>
      <c r="E114" s="2244">
        <v>2500</v>
      </c>
      <c r="F114" s="2243"/>
      <c r="G114" s="2243">
        <v>2000</v>
      </c>
      <c r="H114" s="2243"/>
      <c r="I114" s="2243">
        <v>250</v>
      </c>
      <c r="J114" s="2243"/>
      <c r="K114" s="2243">
        <f t="shared" si="12"/>
        <v>4750</v>
      </c>
    </row>
    <row r="115" spans="1:11">
      <c r="A115" s="1769"/>
      <c r="B115" s="1769" t="s">
        <v>2341</v>
      </c>
      <c r="C115" s="2238" t="s">
        <v>277</v>
      </c>
      <c r="D115" s="2238"/>
      <c r="E115" s="2243">
        <v>10000</v>
      </c>
      <c r="F115" s="2243"/>
      <c r="G115" s="2244">
        <v>15000</v>
      </c>
      <c r="H115" s="2243"/>
      <c r="I115" s="2243">
        <v>2500</v>
      </c>
      <c r="J115" s="2243"/>
      <c r="K115" s="2243">
        <f t="shared" si="12"/>
        <v>27500</v>
      </c>
    </row>
    <row r="116" spans="1:11">
      <c r="A116" s="2250"/>
      <c r="B116" s="1769" t="s">
        <v>2342</v>
      </c>
      <c r="C116" s="2238" t="s">
        <v>277</v>
      </c>
      <c r="D116" s="2238"/>
      <c r="E116" s="2244">
        <v>2500</v>
      </c>
      <c r="F116" s="1768"/>
      <c r="G116" s="2243">
        <v>1000</v>
      </c>
      <c r="H116" s="1768"/>
      <c r="I116" s="2243">
        <v>1500</v>
      </c>
      <c r="J116" s="1768"/>
      <c r="K116" s="2243">
        <f t="shared" si="12"/>
        <v>5000</v>
      </c>
    </row>
    <row r="117" spans="1:11">
      <c r="A117" s="2250"/>
      <c r="B117" s="1769" t="s">
        <v>2343</v>
      </c>
      <c r="C117" s="2238" t="s">
        <v>277</v>
      </c>
      <c r="D117" s="2237"/>
      <c r="E117" s="2244">
        <v>1000</v>
      </c>
      <c r="F117" s="1768"/>
      <c r="G117" s="2244">
        <v>0</v>
      </c>
      <c r="H117" s="1768"/>
      <c r="I117" s="2243">
        <v>50</v>
      </c>
      <c r="J117" s="1768"/>
      <c r="K117" s="2243">
        <f t="shared" si="12"/>
        <v>1050</v>
      </c>
    </row>
    <row r="118" spans="1:11">
      <c r="A118" s="2250"/>
      <c r="B118" s="1769" t="s">
        <v>2344</v>
      </c>
      <c r="C118" s="2238" t="s">
        <v>277</v>
      </c>
      <c r="D118" s="2237"/>
      <c r="E118" s="2244">
        <v>2000</v>
      </c>
      <c r="F118" s="2243"/>
      <c r="G118" s="2243">
        <v>1000</v>
      </c>
      <c r="H118" s="2243"/>
      <c r="I118" s="2243">
        <v>5000</v>
      </c>
      <c r="J118" s="2243"/>
      <c r="K118" s="2243">
        <f t="shared" si="12"/>
        <v>8000</v>
      </c>
    </row>
    <row r="119" spans="1:11">
      <c r="A119" s="2250"/>
      <c r="B119" s="1769" t="s">
        <v>2345</v>
      </c>
      <c r="C119" s="2238" t="s">
        <v>277</v>
      </c>
      <c r="D119" s="2238"/>
      <c r="E119" s="2244">
        <v>1000</v>
      </c>
      <c r="F119" s="2243"/>
      <c r="G119" s="2243">
        <v>1000</v>
      </c>
      <c r="H119" s="2243"/>
      <c r="I119" s="2244">
        <v>0</v>
      </c>
      <c r="J119" s="2243"/>
      <c r="K119" s="2243">
        <f t="shared" si="12"/>
        <v>2000</v>
      </c>
    </row>
    <row r="120" spans="1:11">
      <c r="A120" s="2250"/>
      <c r="B120" s="1769" t="s">
        <v>2346</v>
      </c>
      <c r="C120" s="2238" t="s">
        <v>277</v>
      </c>
      <c r="D120" s="2238"/>
      <c r="E120" s="2244">
        <v>1600</v>
      </c>
      <c r="F120" s="2243"/>
      <c r="G120" s="2244">
        <v>0</v>
      </c>
      <c r="H120" s="2243"/>
      <c r="I120" s="2243">
        <v>7000</v>
      </c>
      <c r="J120" s="2243"/>
      <c r="K120" s="2243">
        <f t="shared" si="12"/>
        <v>8600</v>
      </c>
    </row>
    <row r="121" spans="1:11">
      <c r="A121" s="2250"/>
      <c r="B121" s="1769" t="s">
        <v>2347</v>
      </c>
      <c r="C121" s="2238" t="s">
        <v>277</v>
      </c>
      <c r="D121" s="2238"/>
      <c r="E121" s="2243">
        <v>1200</v>
      </c>
      <c r="F121" s="2243"/>
      <c r="G121" s="2244">
        <v>0</v>
      </c>
      <c r="H121" s="2243"/>
      <c r="I121" s="2243">
        <v>100</v>
      </c>
      <c r="J121" s="2243"/>
      <c r="K121" s="2243">
        <f t="shared" si="12"/>
        <v>1300</v>
      </c>
    </row>
    <row r="122" spans="1:11">
      <c r="A122" s="2250"/>
      <c r="B122" s="1769" t="s">
        <v>2348</v>
      </c>
      <c r="C122" s="2238" t="s">
        <v>277</v>
      </c>
      <c r="D122" s="2238"/>
      <c r="E122" s="2243">
        <v>7000</v>
      </c>
      <c r="F122" s="2243"/>
      <c r="G122" s="2243">
        <v>750</v>
      </c>
      <c r="H122" s="2243"/>
      <c r="I122" s="2243">
        <v>4000</v>
      </c>
      <c r="J122" s="2243"/>
      <c r="K122" s="2243">
        <f t="shared" si="12"/>
        <v>11750</v>
      </c>
    </row>
    <row r="123" spans="1:11">
      <c r="A123" s="2250"/>
      <c r="B123" s="1769" t="s">
        <v>2349</v>
      </c>
      <c r="C123" s="2238" t="s">
        <v>277</v>
      </c>
      <c r="D123" s="2238"/>
      <c r="E123" s="2244">
        <v>1500</v>
      </c>
      <c r="F123" s="2243"/>
      <c r="G123" s="2243">
        <v>200</v>
      </c>
      <c r="H123" s="2243"/>
      <c r="I123" s="2243">
        <v>200</v>
      </c>
      <c r="J123" s="2243"/>
      <c r="K123" s="2243">
        <f t="shared" si="12"/>
        <v>1900</v>
      </c>
    </row>
    <row r="124" spans="1:11">
      <c r="A124" s="2250"/>
      <c r="B124" s="1769" t="s">
        <v>2350</v>
      </c>
      <c r="C124" s="2238" t="s">
        <v>277</v>
      </c>
      <c r="D124" s="2238"/>
      <c r="E124" s="2243">
        <v>2000</v>
      </c>
      <c r="F124" s="2243"/>
      <c r="G124" s="2244">
        <v>300</v>
      </c>
      <c r="H124" s="2243"/>
      <c r="I124" s="2243">
        <v>250</v>
      </c>
      <c r="J124" s="2243"/>
      <c r="K124" s="2243">
        <f t="shared" si="12"/>
        <v>2550</v>
      </c>
    </row>
    <row r="125" spans="1:11">
      <c r="A125" s="2250"/>
      <c r="B125" s="1769" t="s">
        <v>2351</v>
      </c>
      <c r="C125" s="2238" t="s">
        <v>277</v>
      </c>
      <c r="D125" s="2238"/>
      <c r="E125" s="2244">
        <v>5000</v>
      </c>
      <c r="F125" s="2243"/>
      <c r="G125" s="2243">
        <v>700</v>
      </c>
      <c r="H125" s="2243"/>
      <c r="I125" s="2243">
        <v>300</v>
      </c>
      <c r="J125" s="2243"/>
      <c r="K125" s="2243">
        <f t="shared" si="12"/>
        <v>6000</v>
      </c>
    </row>
    <row r="126" spans="1:11">
      <c r="A126" s="2250"/>
      <c r="B126" s="1769" t="s">
        <v>2352</v>
      </c>
      <c r="C126" s="2238" t="s">
        <v>277</v>
      </c>
      <c r="D126" s="2238"/>
      <c r="E126" s="2244">
        <v>1000</v>
      </c>
      <c r="F126" s="2243"/>
      <c r="G126" s="2244">
        <v>0</v>
      </c>
      <c r="H126" s="2243"/>
      <c r="I126" s="2243">
        <v>3500</v>
      </c>
      <c r="J126" s="2243"/>
      <c r="K126" s="2243">
        <f t="shared" si="12"/>
        <v>4500</v>
      </c>
    </row>
    <row r="127" spans="1:11">
      <c r="A127" s="2250"/>
      <c r="B127" s="1769" t="s">
        <v>2353</v>
      </c>
      <c r="C127" s="2238" t="s">
        <v>277</v>
      </c>
      <c r="D127" s="2238"/>
      <c r="E127" s="2243">
        <v>1600</v>
      </c>
      <c r="F127" s="2243"/>
      <c r="G127" s="2244">
        <v>2700</v>
      </c>
      <c r="H127" s="2243"/>
      <c r="I127" s="2244">
        <v>500</v>
      </c>
      <c r="J127" s="2243"/>
      <c r="K127" s="2243">
        <f t="shared" si="12"/>
        <v>4800</v>
      </c>
    </row>
    <row r="128" spans="1:11">
      <c r="A128" s="2250"/>
      <c r="B128" s="1769" t="s">
        <v>2354</v>
      </c>
      <c r="C128" s="2238" t="s">
        <v>277</v>
      </c>
      <c r="D128" s="2238"/>
      <c r="E128" s="2243">
        <v>2000</v>
      </c>
      <c r="F128" s="1768"/>
      <c r="G128" s="2243">
        <v>500</v>
      </c>
      <c r="H128" s="1768"/>
      <c r="I128" s="2243">
        <v>300</v>
      </c>
      <c r="J128" s="1768"/>
      <c r="K128" s="2243">
        <f t="shared" si="12"/>
        <v>2800</v>
      </c>
    </row>
    <row r="129" spans="1:11">
      <c r="A129" s="2004"/>
      <c r="B129" s="1769" t="s">
        <v>2355</v>
      </c>
      <c r="C129" s="2238" t="s">
        <v>277</v>
      </c>
      <c r="D129" s="2237"/>
      <c r="E129" s="2243">
        <v>2000</v>
      </c>
      <c r="F129" s="1768"/>
      <c r="G129" s="2244">
        <v>600</v>
      </c>
      <c r="H129" s="1768"/>
      <c r="I129" s="2243">
        <v>200</v>
      </c>
      <c r="J129" s="1768"/>
      <c r="K129" s="2243">
        <f t="shared" si="12"/>
        <v>2800</v>
      </c>
    </row>
    <row r="130" spans="1:11">
      <c r="A130" s="2250"/>
      <c r="B130" s="1769" t="s">
        <v>2356</v>
      </c>
      <c r="C130" s="2238" t="s">
        <v>277</v>
      </c>
      <c r="D130" s="2237"/>
      <c r="E130" s="2243">
        <v>1000</v>
      </c>
      <c r="F130" s="1768"/>
      <c r="G130" s="2243">
        <v>1500</v>
      </c>
      <c r="H130" s="1768"/>
      <c r="I130" s="2243">
        <v>500</v>
      </c>
      <c r="J130" s="1768"/>
      <c r="K130" s="2243">
        <f t="shared" si="12"/>
        <v>3000</v>
      </c>
    </row>
    <row r="131" spans="1:11">
      <c r="A131" s="2250"/>
      <c r="B131" s="1769" t="s">
        <v>2357</v>
      </c>
      <c r="C131" s="2238" t="s">
        <v>277</v>
      </c>
      <c r="D131" s="2238"/>
      <c r="E131" s="2244">
        <v>2500</v>
      </c>
      <c r="F131" s="2243"/>
      <c r="G131" s="2243">
        <v>1000</v>
      </c>
      <c r="H131" s="2243"/>
      <c r="I131" s="2243">
        <v>250</v>
      </c>
      <c r="J131" s="2243"/>
      <c r="K131" s="2243">
        <f t="shared" si="12"/>
        <v>3750</v>
      </c>
    </row>
    <row r="132" spans="1:11">
      <c r="A132" s="2250"/>
      <c r="B132" s="1769" t="s">
        <v>2358</v>
      </c>
      <c r="C132" s="2238" t="s">
        <v>277</v>
      </c>
      <c r="D132" s="2238"/>
      <c r="E132" s="2243">
        <v>1500</v>
      </c>
      <c r="F132" s="2243"/>
      <c r="G132" s="2244">
        <v>1000</v>
      </c>
      <c r="H132" s="2243"/>
      <c r="I132" s="2243">
        <v>300</v>
      </c>
      <c r="J132" s="2243"/>
      <c r="K132" s="2243">
        <f t="shared" si="12"/>
        <v>2800</v>
      </c>
    </row>
    <row r="133" spans="1:11">
      <c r="A133" s="2250"/>
      <c r="B133" s="1769" t="s">
        <v>2359</v>
      </c>
      <c r="C133" s="2238" t="s">
        <v>277</v>
      </c>
      <c r="D133" s="2238"/>
      <c r="E133" s="2244">
        <v>0</v>
      </c>
      <c r="F133" s="2243"/>
      <c r="G133" s="2244">
        <v>1500</v>
      </c>
      <c r="H133" s="2243"/>
      <c r="I133" s="2243">
        <v>100</v>
      </c>
      <c r="J133" s="2243"/>
      <c r="K133" s="2243">
        <f t="shared" si="12"/>
        <v>1600</v>
      </c>
    </row>
    <row r="134" spans="1:11">
      <c r="A134" s="2250"/>
      <c r="B134" s="1769" t="s">
        <v>2360</v>
      </c>
      <c r="C134" s="2238" t="s">
        <v>277</v>
      </c>
      <c r="D134" s="2238"/>
      <c r="E134" s="2243">
        <v>4300</v>
      </c>
      <c r="F134" s="2243"/>
      <c r="G134" s="2244">
        <v>4300</v>
      </c>
      <c r="H134" s="2243"/>
      <c r="I134" s="2243">
        <v>1000</v>
      </c>
      <c r="J134" s="2243"/>
      <c r="K134" s="2243">
        <f t="shared" si="12"/>
        <v>9600</v>
      </c>
    </row>
    <row r="135" spans="1:11">
      <c r="A135" s="2250"/>
      <c r="B135" s="1769"/>
      <c r="C135" s="2238" t="s">
        <v>277</v>
      </c>
      <c r="D135" s="2238"/>
      <c r="E135" s="2243"/>
      <c r="F135" s="2243"/>
      <c r="G135" s="2244"/>
      <c r="H135" s="2243"/>
      <c r="I135" s="2243"/>
      <c r="J135" s="2243"/>
      <c r="K135" s="2243"/>
    </row>
    <row r="136" spans="1:11">
      <c r="A136" s="1769" t="s">
        <v>2361</v>
      </c>
      <c r="B136" s="1769"/>
      <c r="C136" s="2238" t="s">
        <v>277</v>
      </c>
      <c r="D136" s="2238"/>
      <c r="E136" s="2243">
        <v>3000</v>
      </c>
      <c r="F136" s="2243"/>
      <c r="G136" s="2244">
        <v>0</v>
      </c>
      <c r="H136" s="2243"/>
      <c r="I136" s="2244">
        <v>0</v>
      </c>
      <c r="J136" s="2243"/>
      <c r="K136" s="2243">
        <f t="shared" ref="K136" si="13">ROUND(SUM(E136:I136),0)</f>
        <v>3000</v>
      </c>
    </row>
    <row r="137" spans="1:11">
      <c r="A137" s="1769"/>
      <c r="B137" s="1769"/>
      <c r="C137" s="2238" t="s">
        <v>277</v>
      </c>
      <c r="D137" s="2238"/>
      <c r="E137" s="2243"/>
      <c r="F137" s="2243"/>
      <c r="G137" s="2244"/>
      <c r="H137" s="2243"/>
      <c r="I137" s="2244"/>
      <c r="J137" s="2243"/>
      <c r="K137" s="2243"/>
    </row>
    <row r="138" spans="1:11">
      <c r="A138" s="1769" t="s">
        <v>1205</v>
      </c>
      <c r="B138" s="1769"/>
      <c r="C138" s="2238" t="s">
        <v>277</v>
      </c>
      <c r="D138" s="2238"/>
      <c r="E138" s="2243"/>
      <c r="F138" s="2243"/>
      <c r="G138" s="2244"/>
      <c r="H138" s="2243"/>
      <c r="I138" s="2243"/>
      <c r="J138" s="2243"/>
      <c r="K138" s="2243"/>
    </row>
    <row r="139" spans="1:11">
      <c r="A139" s="2250"/>
      <c r="B139" s="1769" t="s">
        <v>2362</v>
      </c>
      <c r="C139" s="2238" t="s">
        <v>277</v>
      </c>
      <c r="D139" s="2239"/>
      <c r="E139" s="2243">
        <v>4000</v>
      </c>
      <c r="F139" s="2248"/>
      <c r="G139" s="2244">
        <v>0</v>
      </c>
      <c r="H139" s="2248"/>
      <c r="I139" s="2244">
        <v>0</v>
      </c>
      <c r="J139" s="2248"/>
      <c r="K139" s="2243">
        <f t="shared" ref="K139:K141" si="14">ROUND(SUM(E139:I139),0)</f>
        <v>4000</v>
      </c>
    </row>
    <row r="140" spans="1:11">
      <c r="A140" s="2250"/>
      <c r="B140" s="1769" t="s">
        <v>2363</v>
      </c>
      <c r="C140" s="2238" t="s">
        <v>277</v>
      </c>
      <c r="D140" s="2238"/>
      <c r="E140" s="2243">
        <v>3000</v>
      </c>
      <c r="F140" s="2243"/>
      <c r="G140" s="2243">
        <v>2000</v>
      </c>
      <c r="H140" s="2243"/>
      <c r="I140" s="2243">
        <v>295000</v>
      </c>
      <c r="J140" s="2243"/>
      <c r="K140" s="2243">
        <f t="shared" si="14"/>
        <v>300000</v>
      </c>
    </row>
    <row r="141" spans="1:11">
      <c r="A141" s="2250"/>
      <c r="B141" s="1769" t="s">
        <v>2364</v>
      </c>
      <c r="C141" s="2238" t="s">
        <v>277</v>
      </c>
      <c r="D141" s="2238"/>
      <c r="E141" s="2243">
        <v>2000</v>
      </c>
      <c r="F141" s="2243"/>
      <c r="G141" s="2244">
        <v>0</v>
      </c>
      <c r="H141" s="2243"/>
      <c r="I141" s="2244">
        <v>0</v>
      </c>
      <c r="J141" s="2243"/>
      <c r="K141" s="2243">
        <f t="shared" si="14"/>
        <v>2000</v>
      </c>
    </row>
    <row r="142" spans="1:11">
      <c r="A142" s="2250"/>
      <c r="B142" s="1769"/>
      <c r="C142" s="2238" t="s">
        <v>277</v>
      </c>
      <c r="D142" s="2238"/>
      <c r="E142" s="2243"/>
      <c r="F142" s="2243"/>
      <c r="G142" s="2244"/>
      <c r="H142" s="2243"/>
      <c r="I142" s="2243"/>
      <c r="J142" s="2243"/>
      <c r="K142" s="2243"/>
    </row>
    <row r="143" spans="1:11">
      <c r="A143" s="1769" t="s">
        <v>2365</v>
      </c>
      <c r="B143" s="1769"/>
      <c r="C143" s="2238" t="s">
        <v>277</v>
      </c>
      <c r="D143" s="2238"/>
      <c r="E143" s="2244">
        <v>2000</v>
      </c>
      <c r="F143" s="2243"/>
      <c r="G143" s="2244">
        <v>0</v>
      </c>
      <c r="H143" s="2243"/>
      <c r="I143" s="2244">
        <v>0</v>
      </c>
      <c r="J143" s="2243"/>
      <c r="K143" s="2243">
        <f t="shared" ref="K143" si="15">ROUND(SUM(E143:I143),0)</f>
        <v>2000</v>
      </c>
    </row>
    <row r="144" spans="1:11">
      <c r="A144" s="2237"/>
      <c r="B144" s="1769"/>
      <c r="C144" s="1769"/>
      <c r="D144" s="1769"/>
      <c r="E144" s="2243"/>
      <c r="F144" s="2243"/>
      <c r="G144" s="2243"/>
      <c r="H144" s="2243"/>
      <c r="I144" s="2243"/>
      <c r="J144" s="2243"/>
      <c r="K144" s="2243"/>
    </row>
    <row r="145" spans="1:11">
      <c r="A145" s="820" t="s">
        <v>0</v>
      </c>
      <c r="B145" s="1769"/>
      <c r="C145" s="1769"/>
      <c r="D145" s="1769"/>
      <c r="E145" s="1769"/>
      <c r="F145" s="1769"/>
      <c r="G145" s="1769"/>
      <c r="H145" s="1769"/>
      <c r="I145" s="1769"/>
      <c r="J145" s="1769"/>
      <c r="K145" s="1567" t="s">
        <v>2451</v>
      </c>
    </row>
    <row r="146" spans="1:11">
      <c r="A146" s="1991" t="s">
        <v>1187</v>
      </c>
      <c r="B146" s="1769"/>
      <c r="C146" s="851"/>
      <c r="D146" s="851"/>
      <c r="E146" s="851"/>
      <c r="F146" s="851"/>
      <c r="G146" s="851"/>
      <c r="H146" s="851"/>
      <c r="I146" s="851"/>
      <c r="J146" s="1769"/>
      <c r="K146" s="1567" t="s">
        <v>131</v>
      </c>
    </row>
    <row r="147" spans="1:11">
      <c r="A147" s="1992" t="s">
        <v>2644</v>
      </c>
      <c r="B147" s="1769"/>
      <c r="C147" s="1992"/>
      <c r="D147" s="1992"/>
      <c r="E147" s="1992"/>
      <c r="F147" s="1992"/>
      <c r="G147" s="1992"/>
      <c r="H147" s="1992"/>
      <c r="I147" s="1992"/>
      <c r="J147" s="1769"/>
      <c r="K147" s="1769"/>
    </row>
    <row r="148" spans="1:11">
      <c r="A148" s="1993"/>
      <c r="B148" s="818"/>
      <c r="C148" s="818"/>
      <c r="D148" s="818"/>
      <c r="E148" s="818"/>
      <c r="F148" s="818"/>
      <c r="G148" s="818"/>
      <c r="H148" s="818"/>
      <c r="I148" s="818"/>
      <c r="J148" s="818"/>
      <c r="K148" s="818"/>
    </row>
    <row r="149" spans="1:11">
      <c r="A149" s="1994"/>
      <c r="B149" s="1995"/>
      <c r="C149" s="818"/>
      <c r="D149" s="818"/>
      <c r="E149" s="818" t="s">
        <v>1189</v>
      </c>
      <c r="F149" s="818"/>
      <c r="G149" s="818"/>
      <c r="H149" s="818"/>
      <c r="I149" s="818"/>
      <c r="J149" s="818"/>
      <c r="K149" s="818" t="s">
        <v>276</v>
      </c>
    </row>
    <row r="150" spans="1:11">
      <c r="A150" s="1996" t="s">
        <v>1190</v>
      </c>
      <c r="B150" s="2236"/>
      <c r="C150" s="818"/>
      <c r="D150" s="818"/>
      <c r="E150" s="2235" t="s">
        <v>1191</v>
      </c>
      <c r="F150" s="818"/>
      <c r="G150" s="2235" t="s">
        <v>1192</v>
      </c>
      <c r="H150" s="818"/>
      <c r="I150" s="1998" t="s">
        <v>1193</v>
      </c>
      <c r="J150" s="1999"/>
      <c r="K150" s="2235" t="s">
        <v>530</v>
      </c>
    </row>
    <row r="151" spans="1:11">
      <c r="A151" s="2253"/>
      <c r="B151" s="2254"/>
      <c r="C151" s="2006"/>
      <c r="D151" s="2006"/>
      <c r="E151" s="2006"/>
      <c r="F151" s="2006"/>
      <c r="G151" s="2006"/>
      <c r="H151" s="2006"/>
      <c r="I151" s="2006"/>
      <c r="J151" s="2006"/>
      <c r="K151" s="2006"/>
    </row>
    <row r="152" spans="1:11">
      <c r="A152" s="1769" t="s">
        <v>2366</v>
      </c>
      <c r="B152" s="1769"/>
      <c r="C152" s="2238" t="s">
        <v>277</v>
      </c>
      <c r="D152" s="2239"/>
      <c r="E152" s="2251">
        <v>30000</v>
      </c>
      <c r="F152" s="2251"/>
      <c r="G152" s="2244">
        <v>0</v>
      </c>
      <c r="H152" s="2251"/>
      <c r="I152" s="2251">
        <v>37000</v>
      </c>
      <c r="J152" s="2251"/>
      <c r="K152" s="2243">
        <f t="shared" ref="K152" si="16">ROUND(SUM(E152:I152),0)</f>
        <v>67000</v>
      </c>
    </row>
    <row r="153" spans="1:11">
      <c r="A153" s="1769"/>
      <c r="B153" s="1769"/>
      <c r="C153" s="2238" t="s">
        <v>277</v>
      </c>
      <c r="D153" s="1769"/>
      <c r="E153" s="2244"/>
      <c r="F153" s="2243"/>
      <c r="G153" s="2244"/>
      <c r="H153" s="2243"/>
      <c r="I153" s="2244"/>
      <c r="J153" s="2243"/>
      <c r="K153" s="2243"/>
    </row>
    <row r="154" spans="1:11">
      <c r="A154" s="1769" t="s">
        <v>2367</v>
      </c>
      <c r="B154" s="1769"/>
      <c r="C154" s="2238" t="s">
        <v>277</v>
      </c>
      <c r="D154" s="2238"/>
      <c r="E154" s="2244">
        <v>750</v>
      </c>
      <c r="F154" s="2243"/>
      <c r="G154" s="2243">
        <v>500</v>
      </c>
      <c r="H154" s="2243"/>
      <c r="I154" s="2244">
        <v>0</v>
      </c>
      <c r="J154" s="2243"/>
      <c r="K154" s="2243">
        <f t="shared" ref="K154" si="17">ROUND(SUM(E154:I154),0)</f>
        <v>1250</v>
      </c>
    </row>
    <row r="155" spans="1:11">
      <c r="A155" s="1769"/>
      <c r="B155" s="1769"/>
      <c r="C155" s="2238" t="s">
        <v>277</v>
      </c>
      <c r="D155" s="2238"/>
      <c r="E155" s="2244"/>
      <c r="F155" s="2243"/>
      <c r="G155" s="2243"/>
      <c r="H155" s="2243"/>
      <c r="I155" s="2245"/>
      <c r="J155" s="2243"/>
      <c r="K155" s="2243"/>
    </row>
    <row r="156" spans="1:11">
      <c r="A156" s="1769" t="s">
        <v>2368</v>
      </c>
      <c r="B156" s="1769"/>
      <c r="C156" s="2238" t="s">
        <v>277</v>
      </c>
      <c r="D156" s="1769"/>
      <c r="E156" s="2243">
        <v>6000</v>
      </c>
      <c r="F156" s="2243"/>
      <c r="G156" s="2243">
        <v>500</v>
      </c>
      <c r="H156" s="2243"/>
      <c r="I156" s="2243">
        <v>10000</v>
      </c>
      <c r="J156" s="2243"/>
      <c r="K156" s="2243">
        <f t="shared" ref="K156" si="18">ROUND(SUM(E156:I156),0)</f>
        <v>16500</v>
      </c>
    </row>
    <row r="157" spans="1:11">
      <c r="A157" s="1769"/>
      <c r="B157" s="1769"/>
      <c r="C157" s="2238"/>
      <c r="D157" s="2238"/>
      <c r="E157" s="2244"/>
      <c r="F157" s="2243"/>
      <c r="G157" s="2243"/>
      <c r="H157" s="2243"/>
      <c r="I157" s="2245"/>
      <c r="J157" s="2243"/>
      <c r="K157" s="2243"/>
    </row>
    <row r="158" spans="1:11">
      <c r="A158" s="1769" t="s">
        <v>1206</v>
      </c>
      <c r="B158" s="1769"/>
      <c r="C158" s="2238" t="s">
        <v>277</v>
      </c>
      <c r="D158" s="1769"/>
      <c r="E158" s="2243"/>
      <c r="F158" s="2243"/>
      <c r="G158" s="2243"/>
      <c r="H158" s="2243"/>
      <c r="I158" s="2243"/>
      <c r="J158" s="2243"/>
      <c r="K158" s="2243"/>
    </row>
    <row r="159" spans="1:11">
      <c r="A159" s="2250"/>
      <c r="B159" s="1769" t="s">
        <v>2369</v>
      </c>
      <c r="C159" s="2238" t="s">
        <v>277</v>
      </c>
      <c r="D159" s="2238"/>
      <c r="E159" s="2244">
        <v>20000</v>
      </c>
      <c r="F159" s="2243"/>
      <c r="G159" s="2244">
        <v>0</v>
      </c>
      <c r="H159" s="2243"/>
      <c r="I159" s="2243">
        <v>6300000</v>
      </c>
      <c r="J159" s="2243"/>
      <c r="K159" s="2243">
        <f t="shared" ref="K159:K160" si="19">ROUND(SUM(E159:I159),0)</f>
        <v>6320000</v>
      </c>
    </row>
    <row r="160" spans="1:11">
      <c r="A160" s="2250"/>
      <c r="B160" s="1769" t="s">
        <v>1207</v>
      </c>
      <c r="C160" s="2238" t="s">
        <v>277</v>
      </c>
      <c r="D160" s="2238"/>
      <c r="E160" s="2244">
        <v>0</v>
      </c>
      <c r="F160" s="2243"/>
      <c r="G160" s="2244">
        <v>0</v>
      </c>
      <c r="H160" s="2243"/>
      <c r="I160" s="2243">
        <v>6000000</v>
      </c>
      <c r="J160" s="2243"/>
      <c r="K160" s="2243">
        <f t="shared" si="19"/>
        <v>6000000</v>
      </c>
    </row>
    <row r="161" spans="1:12">
      <c r="A161" s="2237"/>
      <c r="B161" s="1769"/>
      <c r="C161" s="2238" t="s">
        <v>277</v>
      </c>
      <c r="D161" s="1769"/>
      <c r="E161" s="2243"/>
      <c r="F161" s="2243"/>
      <c r="G161" s="2243"/>
      <c r="H161" s="2243"/>
      <c r="I161" s="2243"/>
      <c r="J161" s="2243"/>
      <c r="K161" s="2243"/>
      <c r="L161" s="1267"/>
    </row>
    <row r="162" spans="1:12">
      <c r="A162" s="1769" t="s">
        <v>1208</v>
      </c>
      <c r="B162" s="1769"/>
      <c r="C162" s="2238" t="s">
        <v>277</v>
      </c>
      <c r="D162" s="2238"/>
      <c r="E162" s="2243"/>
      <c r="F162" s="2243"/>
      <c r="G162" s="2243"/>
      <c r="H162" s="2243"/>
      <c r="I162" s="2243"/>
      <c r="J162" s="2243"/>
      <c r="K162" s="2243"/>
    </row>
    <row r="163" spans="1:12">
      <c r="A163" s="2250"/>
      <c r="B163" s="1769" t="s">
        <v>2370</v>
      </c>
      <c r="C163" s="2238" t="s">
        <v>277</v>
      </c>
      <c r="D163" s="2239"/>
      <c r="E163" s="2243">
        <v>14950</v>
      </c>
      <c r="F163" s="2248"/>
      <c r="G163" s="2244">
        <v>0</v>
      </c>
      <c r="H163" s="2248"/>
      <c r="I163" s="2244">
        <v>7000</v>
      </c>
      <c r="J163" s="2248"/>
      <c r="K163" s="2243">
        <f t="shared" ref="K163:K169" si="20">ROUND(SUM(E163:I163),0)</f>
        <v>21950</v>
      </c>
    </row>
    <row r="164" spans="1:12">
      <c r="A164" s="2250"/>
      <c r="B164" s="1769" t="s">
        <v>2371</v>
      </c>
      <c r="C164" s="2238" t="s">
        <v>277</v>
      </c>
      <c r="D164" s="2238"/>
      <c r="E164" s="2243">
        <v>25000</v>
      </c>
      <c r="F164" s="2243"/>
      <c r="G164" s="2243">
        <v>2500</v>
      </c>
      <c r="H164" s="2243"/>
      <c r="I164" s="2244">
        <v>0</v>
      </c>
      <c r="J164" s="2243"/>
      <c r="K164" s="2243">
        <f t="shared" si="20"/>
        <v>27500</v>
      </c>
    </row>
    <row r="165" spans="1:12">
      <c r="A165" s="2250"/>
      <c r="B165" s="1769" t="s">
        <v>2372</v>
      </c>
      <c r="C165" s="2238" t="s">
        <v>277</v>
      </c>
      <c r="D165" s="2237"/>
      <c r="E165" s="2244">
        <v>500</v>
      </c>
      <c r="F165" s="1768"/>
      <c r="G165" s="2244">
        <v>0</v>
      </c>
      <c r="H165" s="1768"/>
      <c r="I165" s="2244">
        <v>1000</v>
      </c>
      <c r="J165" s="1768"/>
      <c r="K165" s="2243">
        <f t="shared" si="20"/>
        <v>1500</v>
      </c>
    </row>
    <row r="166" spans="1:12">
      <c r="A166" s="2250"/>
      <c r="B166" s="1769" t="s">
        <v>2373</v>
      </c>
      <c r="C166" s="2238" t="s">
        <v>277</v>
      </c>
      <c r="D166" s="2238"/>
      <c r="E166" s="2244">
        <v>15000</v>
      </c>
      <c r="F166" s="2243"/>
      <c r="G166" s="2244">
        <v>0</v>
      </c>
      <c r="H166" s="2243"/>
      <c r="I166" s="2244">
        <v>0</v>
      </c>
      <c r="J166" s="2243"/>
      <c r="K166" s="2243">
        <f t="shared" si="20"/>
        <v>15000</v>
      </c>
    </row>
    <row r="167" spans="1:12">
      <c r="A167" s="2250"/>
      <c r="B167" s="1769" t="s">
        <v>2374</v>
      </c>
      <c r="C167" s="2238" t="s">
        <v>277</v>
      </c>
      <c r="D167" s="2238"/>
      <c r="E167" s="2244">
        <v>13000</v>
      </c>
      <c r="F167" s="2243"/>
      <c r="G167" s="2243">
        <v>2000</v>
      </c>
      <c r="H167" s="2243"/>
      <c r="I167" s="2243">
        <v>1200</v>
      </c>
      <c r="J167" s="2243"/>
      <c r="K167" s="2243">
        <f t="shared" si="20"/>
        <v>16200</v>
      </c>
    </row>
    <row r="168" spans="1:12">
      <c r="A168" s="2250"/>
      <c r="B168" s="1769" t="s">
        <v>2375</v>
      </c>
      <c r="C168" s="2238" t="s">
        <v>277</v>
      </c>
      <c r="D168" s="2237"/>
      <c r="E168" s="2244">
        <v>10000</v>
      </c>
      <c r="F168" s="2243"/>
      <c r="G168" s="2243">
        <v>2000</v>
      </c>
      <c r="H168" s="2243"/>
      <c r="I168" s="2245">
        <v>3000</v>
      </c>
      <c r="J168" s="2243"/>
      <c r="K168" s="2243">
        <f t="shared" si="20"/>
        <v>15000</v>
      </c>
    </row>
    <row r="169" spans="1:12">
      <c r="A169" s="2250"/>
      <c r="B169" s="1769" t="s">
        <v>2376</v>
      </c>
      <c r="C169" s="2238" t="s">
        <v>277</v>
      </c>
      <c r="D169" s="2238"/>
      <c r="E169" s="2244">
        <v>4000</v>
      </c>
      <c r="F169" s="1768"/>
      <c r="G169" s="2244">
        <v>0</v>
      </c>
      <c r="H169" s="1768"/>
      <c r="I169" s="2245">
        <v>1500</v>
      </c>
      <c r="J169" s="1768"/>
      <c r="K169" s="2243">
        <f t="shared" si="20"/>
        <v>5500</v>
      </c>
    </row>
    <row r="170" spans="1:12">
      <c r="A170" s="2250"/>
      <c r="B170" s="1769"/>
      <c r="C170" s="2238" t="s">
        <v>277</v>
      </c>
      <c r="D170" s="2238"/>
      <c r="E170" s="2244"/>
      <c r="F170" s="2243"/>
      <c r="G170" s="2244"/>
      <c r="H170" s="2243"/>
      <c r="I170" s="2243"/>
      <c r="J170" s="2243"/>
      <c r="K170" s="2243"/>
    </row>
    <row r="171" spans="1:12">
      <c r="A171" s="1769" t="s">
        <v>2377</v>
      </c>
      <c r="B171" s="1769"/>
      <c r="C171" s="2238" t="s">
        <v>277</v>
      </c>
      <c r="D171" s="2238"/>
      <c r="E171" s="2244">
        <v>4500</v>
      </c>
      <c r="F171" s="2243"/>
      <c r="G171" s="2244">
        <v>0</v>
      </c>
      <c r="H171" s="2243"/>
      <c r="I171" s="2244">
        <v>0</v>
      </c>
      <c r="J171" s="2243"/>
      <c r="K171" s="2243">
        <f t="shared" ref="K171" si="21">ROUND(SUM(E171:I171),0)</f>
        <v>4500</v>
      </c>
    </row>
    <row r="172" spans="1:12">
      <c r="A172" s="1769"/>
      <c r="B172" s="1769"/>
      <c r="C172" s="2238" t="s">
        <v>277</v>
      </c>
      <c r="D172" s="2238"/>
      <c r="E172" s="2244"/>
      <c r="F172" s="2243"/>
      <c r="G172" s="2244"/>
      <c r="H172" s="2243"/>
      <c r="I172" s="2245"/>
      <c r="J172" s="2243"/>
      <c r="K172" s="2243"/>
      <c r="L172" s="1267"/>
    </row>
    <row r="173" spans="1:12">
      <c r="A173" s="1769" t="s">
        <v>2378</v>
      </c>
      <c r="B173" s="1769"/>
      <c r="C173" s="2238" t="s">
        <v>277</v>
      </c>
      <c r="D173" s="2238"/>
      <c r="E173" s="2244">
        <v>500</v>
      </c>
      <c r="F173" s="2243"/>
      <c r="G173" s="2244">
        <v>0</v>
      </c>
      <c r="H173" s="2243"/>
      <c r="I173" s="2244">
        <v>15000</v>
      </c>
      <c r="J173" s="2243"/>
      <c r="K173" s="2243">
        <f t="shared" ref="K173" si="22">ROUND(SUM(E173:I173),0)</f>
        <v>15500</v>
      </c>
    </row>
    <row r="174" spans="1:12">
      <c r="A174" s="1769"/>
      <c r="B174" s="1769"/>
      <c r="C174" s="2238" t="s">
        <v>277</v>
      </c>
      <c r="D174" s="2238"/>
      <c r="E174" s="2244"/>
      <c r="F174" s="2243"/>
      <c r="G174" s="2244"/>
      <c r="H174" s="2243"/>
      <c r="I174" s="2244"/>
      <c r="J174" s="2243"/>
      <c r="K174" s="2243"/>
    </row>
    <row r="175" spans="1:12">
      <c r="A175" s="1769" t="s">
        <v>2379</v>
      </c>
      <c r="B175" s="1769"/>
      <c r="C175" s="2238" t="s">
        <v>277</v>
      </c>
      <c r="D175" s="2238"/>
      <c r="E175" s="2244">
        <v>520</v>
      </c>
      <c r="F175" s="2243"/>
      <c r="G175" s="2243">
        <v>980</v>
      </c>
      <c r="H175" s="2243"/>
      <c r="I175" s="2244">
        <v>0</v>
      </c>
      <c r="J175" s="2243"/>
      <c r="K175" s="2243">
        <f t="shared" ref="K175" si="23">ROUND(SUM(E175:I175),0)</f>
        <v>1500</v>
      </c>
    </row>
    <row r="176" spans="1:12">
      <c r="A176" s="2237"/>
      <c r="B176" s="1769"/>
      <c r="C176" s="2238" t="s">
        <v>277</v>
      </c>
      <c r="D176" s="1769"/>
      <c r="E176" s="2243"/>
      <c r="F176" s="2243"/>
      <c r="G176" s="2243"/>
      <c r="H176" s="2243"/>
      <c r="I176" s="2243"/>
      <c r="J176" s="2243"/>
      <c r="K176" s="2243"/>
    </row>
    <row r="177" spans="1:11">
      <c r="A177" s="1769" t="s">
        <v>2380</v>
      </c>
      <c r="B177" s="1769"/>
      <c r="C177" s="2238" t="s">
        <v>277</v>
      </c>
      <c r="D177" s="1769"/>
      <c r="E177" s="2243">
        <v>2000</v>
      </c>
      <c r="F177" s="2243"/>
      <c r="G177" s="2243">
        <v>2000</v>
      </c>
      <c r="H177" s="2243"/>
      <c r="I177" s="2244">
        <v>0</v>
      </c>
      <c r="J177" s="2243"/>
      <c r="K177" s="2243">
        <f t="shared" ref="K177" si="24">ROUND(SUM(E177:I177),0)</f>
        <v>4000</v>
      </c>
    </row>
    <row r="178" spans="1:11">
      <c r="A178" s="2237"/>
      <c r="B178" s="1769"/>
      <c r="C178" s="2238" t="s">
        <v>277</v>
      </c>
      <c r="D178" s="1769"/>
      <c r="E178" s="2243"/>
      <c r="F178" s="2243"/>
      <c r="G178" s="2243"/>
      <c r="H178" s="2243"/>
      <c r="I178" s="2243"/>
      <c r="J178" s="2243"/>
      <c r="K178" s="2243"/>
    </row>
    <row r="179" spans="1:11">
      <c r="A179" s="1769" t="s">
        <v>2381</v>
      </c>
      <c r="B179" s="1769"/>
      <c r="C179" s="2238" t="s">
        <v>277</v>
      </c>
      <c r="D179" s="2238"/>
      <c r="E179" s="2243">
        <v>3000</v>
      </c>
      <c r="F179" s="2243"/>
      <c r="G179" s="2243">
        <v>1000</v>
      </c>
      <c r="H179" s="2243"/>
      <c r="I179" s="2244">
        <v>0</v>
      </c>
      <c r="J179" s="2243"/>
      <c r="K179" s="2243">
        <f t="shared" ref="K179" si="25">ROUND(SUM(E179:I179),0)</f>
        <v>4000</v>
      </c>
    </row>
    <row r="180" spans="1:11">
      <c r="A180" s="1769"/>
      <c r="B180" s="1769"/>
      <c r="C180" s="2238" t="s">
        <v>277</v>
      </c>
      <c r="D180" s="2238"/>
      <c r="E180" s="2243"/>
      <c r="F180" s="2243"/>
      <c r="G180" s="2243"/>
      <c r="H180" s="2243"/>
      <c r="I180" s="2244"/>
      <c r="J180" s="2243"/>
      <c r="K180" s="2243"/>
    </row>
    <row r="181" spans="1:11">
      <c r="A181" s="2246" t="s">
        <v>2382</v>
      </c>
      <c r="B181" s="1769"/>
      <c r="C181" s="2238" t="s">
        <v>277</v>
      </c>
      <c r="D181" s="1769"/>
      <c r="E181" s="2243">
        <v>2000</v>
      </c>
      <c r="F181" s="2243"/>
      <c r="G181" s="2244">
        <v>0</v>
      </c>
      <c r="H181" s="2243"/>
      <c r="I181" s="2244">
        <v>0</v>
      </c>
      <c r="J181" s="2243"/>
      <c r="K181" s="2243">
        <f t="shared" ref="K181" si="26">ROUND(SUM(E181:I181),0)</f>
        <v>2000</v>
      </c>
    </row>
    <row r="182" spans="1:11">
      <c r="A182" s="2250"/>
      <c r="B182" s="1769"/>
      <c r="C182" s="2238" t="s">
        <v>277</v>
      </c>
      <c r="D182" s="2238"/>
      <c r="E182" s="2244"/>
      <c r="F182" s="2243"/>
      <c r="G182" s="2244"/>
      <c r="H182" s="2243"/>
      <c r="I182" s="2243"/>
      <c r="J182" s="2243"/>
      <c r="K182" s="2243"/>
    </row>
    <row r="183" spans="1:11">
      <c r="A183" s="1769" t="s">
        <v>2383</v>
      </c>
      <c r="B183" s="1769"/>
      <c r="C183" s="2238" t="s">
        <v>277</v>
      </c>
      <c r="D183" s="2238"/>
      <c r="E183" s="2243">
        <v>28000</v>
      </c>
      <c r="F183" s="2243"/>
      <c r="G183" s="2244">
        <v>0</v>
      </c>
      <c r="H183" s="2243"/>
      <c r="I183" s="2244">
        <v>0</v>
      </c>
      <c r="J183" s="2243"/>
      <c r="K183" s="2243">
        <f t="shared" ref="K183" si="27">ROUND(SUM(E183:I183),0)</f>
        <v>28000</v>
      </c>
    </row>
    <row r="184" spans="1:11">
      <c r="A184" s="2250"/>
      <c r="B184" s="1769"/>
      <c r="C184" s="2238" t="s">
        <v>277</v>
      </c>
      <c r="D184" s="2238"/>
      <c r="E184" s="2244"/>
      <c r="F184" s="2243"/>
      <c r="G184" s="2244"/>
      <c r="H184" s="2243"/>
      <c r="I184" s="2243"/>
      <c r="J184" s="2243"/>
      <c r="K184" s="2243"/>
    </row>
    <row r="185" spans="1:11">
      <c r="A185" s="1769" t="s">
        <v>2384</v>
      </c>
      <c r="B185" s="1769"/>
      <c r="C185" s="2238" t="s">
        <v>277</v>
      </c>
      <c r="D185" s="2239"/>
      <c r="E185" s="2244">
        <v>2000</v>
      </c>
      <c r="F185" s="2248"/>
      <c r="G185" s="2244">
        <v>0</v>
      </c>
      <c r="H185" s="2248"/>
      <c r="I185" s="2244">
        <v>0</v>
      </c>
      <c r="J185" s="2248"/>
      <c r="K185" s="2243">
        <f t="shared" ref="K185" si="28">ROUND(SUM(E185:I185),0)</f>
        <v>2000</v>
      </c>
    </row>
    <row r="186" spans="1:11" ht="15" customHeight="1">
      <c r="A186" s="2250"/>
      <c r="B186" s="1769"/>
      <c r="C186" s="2238"/>
      <c r="D186" s="2238"/>
      <c r="E186" s="2244"/>
      <c r="F186" s="2243"/>
      <c r="G186" s="2244"/>
      <c r="H186" s="2243"/>
      <c r="I186" s="2243"/>
      <c r="J186" s="2243"/>
      <c r="K186" s="2243"/>
    </row>
    <row r="187" spans="1:11" ht="15" customHeight="1">
      <c r="A187" s="820" t="s">
        <v>0</v>
      </c>
      <c r="B187" s="1769"/>
      <c r="C187" s="1769"/>
      <c r="D187" s="1769"/>
      <c r="E187" s="1769"/>
      <c r="F187" s="1769"/>
      <c r="G187" s="1769"/>
      <c r="H187" s="1769"/>
      <c r="I187" s="1769"/>
      <c r="J187" s="1769"/>
      <c r="K187" s="1567" t="s">
        <v>2451</v>
      </c>
    </row>
    <row r="188" spans="1:11">
      <c r="A188" s="1991" t="s">
        <v>1187</v>
      </c>
      <c r="B188" s="1769"/>
      <c r="C188" s="851"/>
      <c r="D188" s="851"/>
      <c r="E188" s="851"/>
      <c r="F188" s="851"/>
      <c r="G188" s="851"/>
      <c r="H188" s="851"/>
      <c r="I188" s="851"/>
      <c r="J188" s="1769"/>
      <c r="K188" s="1567" t="s">
        <v>131</v>
      </c>
    </row>
    <row r="189" spans="1:11">
      <c r="A189" s="1992" t="s">
        <v>2588</v>
      </c>
      <c r="B189" s="1769"/>
      <c r="C189" s="1992"/>
      <c r="D189" s="1992"/>
      <c r="E189" s="1992"/>
      <c r="F189" s="1992"/>
      <c r="G189" s="1992"/>
      <c r="H189" s="1992"/>
      <c r="I189" s="1992"/>
      <c r="J189" s="1769"/>
      <c r="K189" s="1769"/>
    </row>
    <row r="190" spans="1:11">
      <c r="A190" s="1993"/>
      <c r="B190" s="818"/>
      <c r="C190" s="818"/>
      <c r="D190" s="818"/>
      <c r="E190" s="818"/>
      <c r="F190" s="818"/>
      <c r="G190" s="818"/>
      <c r="H190" s="818"/>
      <c r="I190" s="818"/>
      <c r="J190" s="818"/>
      <c r="K190" s="818"/>
    </row>
    <row r="191" spans="1:11">
      <c r="A191" s="1994"/>
      <c r="B191" s="1995"/>
      <c r="C191" s="818"/>
      <c r="D191" s="818"/>
      <c r="E191" s="818" t="s">
        <v>1189</v>
      </c>
      <c r="F191" s="818"/>
      <c r="G191" s="818"/>
      <c r="H191" s="818"/>
      <c r="I191" s="818"/>
      <c r="J191" s="818"/>
      <c r="K191" s="818" t="s">
        <v>276</v>
      </c>
    </row>
    <row r="192" spans="1:11">
      <c r="A192" s="1996" t="s">
        <v>1190</v>
      </c>
      <c r="B192" s="1997"/>
      <c r="C192" s="818"/>
      <c r="D192" s="818"/>
      <c r="E192" s="2235" t="s">
        <v>1191</v>
      </c>
      <c r="F192" s="818"/>
      <c r="G192" s="2235" t="s">
        <v>1192</v>
      </c>
      <c r="H192" s="818"/>
      <c r="I192" s="1998" t="s">
        <v>1193</v>
      </c>
      <c r="J192" s="1999"/>
      <c r="K192" s="2235" t="s">
        <v>530</v>
      </c>
    </row>
    <row r="193" spans="1:12">
      <c r="A193" s="2237"/>
      <c r="B193" s="1769"/>
      <c r="C193" s="1769"/>
      <c r="D193" s="1769"/>
      <c r="E193" s="1769"/>
      <c r="F193" s="1769"/>
      <c r="G193" s="1769"/>
      <c r="H193" s="1769"/>
      <c r="I193" s="1769"/>
      <c r="J193" s="1769"/>
      <c r="K193" s="1769"/>
    </row>
    <row r="194" spans="1:12">
      <c r="A194" s="2246" t="s">
        <v>1209</v>
      </c>
      <c r="B194" s="1769"/>
      <c r="C194" s="2238"/>
      <c r="D194" s="2238"/>
      <c r="E194" s="2243"/>
      <c r="F194" s="2243"/>
      <c r="G194" s="2243"/>
      <c r="H194" s="2249"/>
      <c r="I194" s="2245"/>
      <c r="J194" s="2243"/>
      <c r="K194" s="2243"/>
    </row>
    <row r="195" spans="1:12">
      <c r="A195" s="2237"/>
      <c r="B195" s="1769" t="s">
        <v>2385</v>
      </c>
      <c r="C195" s="2238" t="s">
        <v>277</v>
      </c>
      <c r="D195" s="2239"/>
      <c r="E195" s="2251">
        <v>30050</v>
      </c>
      <c r="F195" s="2251"/>
      <c r="G195" s="2251">
        <v>0</v>
      </c>
      <c r="H195" s="2251"/>
      <c r="I195" s="2251">
        <v>214500</v>
      </c>
      <c r="J195" s="2251"/>
      <c r="K195" s="2243">
        <f t="shared" ref="K195:K196" si="29">ROUND(SUM(E195:I195),0)</f>
        <v>244550</v>
      </c>
    </row>
    <row r="196" spans="1:12">
      <c r="A196" s="2237"/>
      <c r="B196" s="1769" t="s">
        <v>2386</v>
      </c>
      <c r="C196" s="2238" t="s">
        <v>277</v>
      </c>
      <c r="D196" s="2238"/>
      <c r="E196" s="2243">
        <v>8000</v>
      </c>
      <c r="F196" s="2243"/>
      <c r="G196" s="2244">
        <v>0</v>
      </c>
      <c r="H196" s="2243"/>
      <c r="I196" s="2244">
        <v>40000</v>
      </c>
      <c r="J196" s="2243"/>
      <c r="K196" s="2243">
        <f t="shared" si="29"/>
        <v>48000</v>
      </c>
    </row>
    <row r="197" spans="1:12">
      <c r="A197" s="2237"/>
      <c r="B197" s="1769"/>
      <c r="C197" s="2238" t="s">
        <v>277</v>
      </c>
      <c r="D197" s="1769"/>
      <c r="E197" s="2243"/>
      <c r="F197" s="2243"/>
      <c r="G197" s="2243"/>
      <c r="H197" s="2243"/>
      <c r="I197" s="2243"/>
      <c r="J197" s="2243"/>
      <c r="K197" s="2243"/>
    </row>
    <row r="198" spans="1:12">
      <c r="A198" s="1769" t="s">
        <v>1210</v>
      </c>
      <c r="B198" s="1769"/>
      <c r="C198" s="2238" t="s">
        <v>277</v>
      </c>
      <c r="D198" s="2238"/>
      <c r="E198" s="2243"/>
      <c r="F198" s="2243"/>
      <c r="G198" s="2243"/>
      <c r="H198" s="2243"/>
      <c r="I198" s="2243"/>
      <c r="J198" s="2243"/>
      <c r="K198" s="2243"/>
      <c r="L198" s="1267"/>
    </row>
    <row r="199" spans="1:12">
      <c r="A199" s="2001"/>
      <c r="B199" s="1769" t="s">
        <v>2387</v>
      </c>
      <c r="C199" s="2238" t="s">
        <v>277</v>
      </c>
      <c r="D199" s="2239"/>
      <c r="E199" s="2244">
        <v>5000</v>
      </c>
      <c r="F199" s="2248"/>
      <c r="G199" s="2244">
        <v>0</v>
      </c>
      <c r="H199" s="2248"/>
      <c r="I199" s="2243">
        <v>2100</v>
      </c>
      <c r="J199" s="2248"/>
      <c r="K199" s="2243">
        <f t="shared" ref="K199:K225" si="30">ROUND(SUM(E199:I199),0)</f>
        <v>7100</v>
      </c>
    </row>
    <row r="200" spans="1:12">
      <c r="A200" s="2001"/>
      <c r="B200" s="1769" t="s">
        <v>2388</v>
      </c>
      <c r="C200" s="2238" t="s">
        <v>277</v>
      </c>
      <c r="D200" s="2237"/>
      <c r="E200" s="2244">
        <v>8000</v>
      </c>
      <c r="F200" s="1768"/>
      <c r="G200" s="2244">
        <v>0</v>
      </c>
      <c r="H200" s="1768"/>
      <c r="I200" s="2243">
        <v>3025</v>
      </c>
      <c r="J200" s="1768"/>
      <c r="K200" s="2243">
        <f t="shared" si="30"/>
        <v>11025</v>
      </c>
    </row>
    <row r="201" spans="1:12">
      <c r="A201" s="2001"/>
      <c r="B201" s="1769" t="s">
        <v>2389</v>
      </c>
      <c r="C201" s="2238" t="s">
        <v>277</v>
      </c>
      <c r="D201" s="2238"/>
      <c r="E201" s="2243">
        <v>5000</v>
      </c>
      <c r="F201" s="2243"/>
      <c r="G201" s="2243">
        <v>1000</v>
      </c>
      <c r="H201" s="2243"/>
      <c r="I201" s="2243">
        <v>19020</v>
      </c>
      <c r="J201" s="2243"/>
      <c r="K201" s="2243">
        <f t="shared" si="30"/>
        <v>25020</v>
      </c>
    </row>
    <row r="202" spans="1:12">
      <c r="A202" s="2001"/>
      <c r="B202" s="1769" t="s">
        <v>2390</v>
      </c>
      <c r="C202" s="2238" t="s">
        <v>277</v>
      </c>
      <c r="D202" s="2238"/>
      <c r="E202" s="2243">
        <v>30500</v>
      </c>
      <c r="F202" s="2243"/>
      <c r="G202" s="2244">
        <v>2000</v>
      </c>
      <c r="H202" s="2243"/>
      <c r="I202" s="2243">
        <v>45020</v>
      </c>
      <c r="J202" s="2243"/>
      <c r="K202" s="2243">
        <f t="shared" si="30"/>
        <v>77520</v>
      </c>
    </row>
    <row r="203" spans="1:12">
      <c r="A203" s="2001"/>
      <c r="B203" s="1769" t="s">
        <v>2391</v>
      </c>
      <c r="C203" s="2238" t="s">
        <v>277</v>
      </c>
      <c r="D203" s="2238"/>
      <c r="E203" s="2244">
        <v>5100</v>
      </c>
      <c r="F203" s="2243"/>
      <c r="G203" s="2244">
        <v>500</v>
      </c>
      <c r="H203" s="2243"/>
      <c r="I203" s="2243">
        <v>7410</v>
      </c>
      <c r="J203" s="2243"/>
      <c r="K203" s="2243">
        <f t="shared" si="30"/>
        <v>13010</v>
      </c>
    </row>
    <row r="204" spans="1:12">
      <c r="A204" s="2001"/>
      <c r="B204" s="1769" t="s">
        <v>2392</v>
      </c>
      <c r="C204" s="2238" t="s">
        <v>277</v>
      </c>
      <c r="D204" s="2237"/>
      <c r="E204" s="2244">
        <v>5550</v>
      </c>
      <c r="F204" s="1768"/>
      <c r="G204" s="2244">
        <v>0</v>
      </c>
      <c r="H204" s="1768"/>
      <c r="I204" s="2243">
        <v>5225</v>
      </c>
      <c r="J204" s="1768"/>
      <c r="K204" s="2243">
        <f t="shared" si="30"/>
        <v>10775</v>
      </c>
    </row>
    <row r="205" spans="1:12">
      <c r="A205" s="2001"/>
      <c r="B205" s="1769" t="s">
        <v>2393</v>
      </c>
      <c r="C205" s="2238" t="s">
        <v>277</v>
      </c>
      <c r="D205" s="1769"/>
      <c r="E205" s="2243">
        <v>16500</v>
      </c>
      <c r="F205" s="2243"/>
      <c r="G205" s="2243">
        <v>1000</v>
      </c>
      <c r="H205" s="2243"/>
      <c r="I205" s="2243">
        <v>69522</v>
      </c>
      <c r="J205" s="2243"/>
      <c r="K205" s="2243">
        <f t="shared" si="30"/>
        <v>87022</v>
      </c>
    </row>
    <row r="206" spans="1:12">
      <c r="A206" s="2001"/>
      <c r="B206" s="1769" t="s">
        <v>2394</v>
      </c>
      <c r="C206" s="2238" t="s">
        <v>277</v>
      </c>
      <c r="D206" s="2238"/>
      <c r="E206" s="2244">
        <v>11000</v>
      </c>
      <c r="F206" s="2243"/>
      <c r="G206" s="2243">
        <v>1200</v>
      </c>
      <c r="H206" s="2243"/>
      <c r="I206" s="2243">
        <v>6350</v>
      </c>
      <c r="J206" s="2243"/>
      <c r="K206" s="2243">
        <f t="shared" si="30"/>
        <v>18550</v>
      </c>
    </row>
    <row r="207" spans="1:12">
      <c r="A207" s="2001"/>
      <c r="B207" s="1769" t="s">
        <v>2395</v>
      </c>
      <c r="C207" s="2238" t="s">
        <v>277</v>
      </c>
      <c r="D207" s="2238"/>
      <c r="E207" s="2243">
        <v>3500</v>
      </c>
      <c r="F207" s="2243"/>
      <c r="G207" s="2244">
        <v>0</v>
      </c>
      <c r="H207" s="2243"/>
      <c r="I207" s="2243">
        <v>24900</v>
      </c>
      <c r="J207" s="2243"/>
      <c r="K207" s="2243">
        <f t="shared" si="30"/>
        <v>28400</v>
      </c>
    </row>
    <row r="208" spans="1:12">
      <c r="A208" s="2001"/>
      <c r="B208" s="1769" t="s">
        <v>2396</v>
      </c>
      <c r="C208" s="2238" t="s">
        <v>277</v>
      </c>
      <c r="D208" s="2238"/>
      <c r="E208" s="2243">
        <v>21793</v>
      </c>
      <c r="F208" s="2243"/>
      <c r="G208" s="2244">
        <v>0</v>
      </c>
      <c r="H208" s="2243"/>
      <c r="I208" s="2243">
        <v>27545</v>
      </c>
      <c r="J208" s="2243"/>
      <c r="K208" s="2243">
        <f t="shared" si="30"/>
        <v>49338</v>
      </c>
    </row>
    <row r="209" spans="1:11">
      <c r="A209" s="2001"/>
      <c r="B209" s="1769" t="s">
        <v>2397</v>
      </c>
      <c r="C209" s="2238" t="s">
        <v>277</v>
      </c>
      <c r="D209" s="2238"/>
      <c r="E209" s="2243">
        <v>28600</v>
      </c>
      <c r="F209" s="2243"/>
      <c r="G209" s="2244">
        <v>0</v>
      </c>
      <c r="H209" s="2243"/>
      <c r="I209" s="2244">
        <v>0</v>
      </c>
      <c r="J209" s="2243"/>
      <c r="K209" s="2243">
        <f t="shared" si="30"/>
        <v>28600</v>
      </c>
    </row>
    <row r="210" spans="1:11">
      <c r="A210" s="2001"/>
      <c r="B210" s="1769" t="s">
        <v>2398</v>
      </c>
      <c r="C210" s="2238" t="s">
        <v>277</v>
      </c>
      <c r="D210" s="2238"/>
      <c r="E210" s="2243">
        <v>52420</v>
      </c>
      <c r="F210" s="2243"/>
      <c r="G210" s="2244">
        <v>0</v>
      </c>
      <c r="H210" s="2243"/>
      <c r="I210" s="2244">
        <v>0</v>
      </c>
      <c r="J210" s="2243"/>
      <c r="K210" s="2243">
        <f t="shared" si="30"/>
        <v>52420</v>
      </c>
    </row>
    <row r="211" spans="1:11">
      <c r="A211" s="2001"/>
      <c r="B211" s="1769" t="s">
        <v>2399</v>
      </c>
      <c r="C211" s="2238" t="s">
        <v>277</v>
      </c>
      <c r="D211" s="2238"/>
      <c r="E211" s="2243">
        <v>2300</v>
      </c>
      <c r="F211" s="2243"/>
      <c r="G211" s="2244">
        <v>2500</v>
      </c>
      <c r="H211" s="2243"/>
      <c r="I211" s="2244">
        <v>0</v>
      </c>
      <c r="J211" s="2243"/>
      <c r="K211" s="2243">
        <f t="shared" si="30"/>
        <v>4800</v>
      </c>
    </row>
    <row r="212" spans="1:11">
      <c r="A212" s="2001"/>
      <c r="B212" s="1769" t="s">
        <v>2400</v>
      </c>
      <c r="C212" s="2238" t="s">
        <v>277</v>
      </c>
      <c r="D212" s="2238"/>
      <c r="E212" s="2244">
        <v>16925</v>
      </c>
      <c r="F212" s="2243"/>
      <c r="G212" s="2244">
        <v>0</v>
      </c>
      <c r="H212" s="2243"/>
      <c r="I212" s="2244">
        <v>0</v>
      </c>
      <c r="J212" s="2243"/>
      <c r="K212" s="2243">
        <f t="shared" si="30"/>
        <v>16925</v>
      </c>
    </row>
    <row r="213" spans="1:11">
      <c r="A213" s="2001"/>
      <c r="B213" s="1769" t="s">
        <v>2401</v>
      </c>
      <c r="C213" s="2238" t="s">
        <v>277</v>
      </c>
      <c r="D213" s="2238"/>
      <c r="E213" s="2243">
        <v>8000</v>
      </c>
      <c r="F213" s="2243"/>
      <c r="G213" s="2244">
        <v>0</v>
      </c>
      <c r="H213" s="2243"/>
      <c r="I213" s="2243">
        <v>11000</v>
      </c>
      <c r="J213" s="2243"/>
      <c r="K213" s="2243">
        <f t="shared" si="30"/>
        <v>19000</v>
      </c>
    </row>
    <row r="214" spans="1:11">
      <c r="A214" s="2001"/>
      <c r="B214" s="1769" t="s">
        <v>2402</v>
      </c>
      <c r="C214" s="2238" t="s">
        <v>277</v>
      </c>
      <c r="D214" s="2238"/>
      <c r="E214" s="2243">
        <v>1300</v>
      </c>
      <c r="F214" s="2243"/>
      <c r="G214" s="2244">
        <v>0</v>
      </c>
      <c r="H214" s="2243"/>
      <c r="I214" s="2244">
        <v>0</v>
      </c>
      <c r="J214" s="2243"/>
      <c r="K214" s="2243">
        <f t="shared" si="30"/>
        <v>1300</v>
      </c>
    </row>
    <row r="215" spans="1:11">
      <c r="A215" s="2001"/>
      <c r="B215" s="1769" t="s">
        <v>2403</v>
      </c>
      <c r="C215" s="2238" t="s">
        <v>277</v>
      </c>
      <c r="D215" s="2238"/>
      <c r="E215" s="2244">
        <v>2000</v>
      </c>
      <c r="F215" s="2243"/>
      <c r="G215" s="2244">
        <v>0</v>
      </c>
      <c r="H215" s="2243"/>
      <c r="I215" s="2244">
        <v>0</v>
      </c>
      <c r="J215" s="2243"/>
      <c r="K215" s="2243">
        <f t="shared" si="30"/>
        <v>2000</v>
      </c>
    </row>
    <row r="216" spans="1:11">
      <c r="A216" s="2001"/>
      <c r="B216" s="1769" t="s">
        <v>1211</v>
      </c>
      <c r="C216" s="2238" t="s">
        <v>277</v>
      </c>
      <c r="D216" s="2239"/>
      <c r="E216" s="2243">
        <v>7100</v>
      </c>
      <c r="F216" s="2248"/>
      <c r="G216" s="2244">
        <v>0</v>
      </c>
      <c r="H216" s="2248"/>
      <c r="I216" s="2243">
        <v>167918</v>
      </c>
      <c r="J216" s="2248"/>
      <c r="K216" s="2243">
        <f t="shared" si="30"/>
        <v>175018</v>
      </c>
    </row>
    <row r="217" spans="1:11">
      <c r="A217" s="2001"/>
      <c r="B217" s="1769" t="s">
        <v>2577</v>
      </c>
      <c r="C217" s="2238" t="s">
        <v>277</v>
      </c>
      <c r="D217" s="2239"/>
      <c r="E217" s="2243">
        <v>8000</v>
      </c>
      <c r="F217" s="2248"/>
      <c r="G217" s="2244">
        <v>0</v>
      </c>
      <c r="H217" s="2248"/>
      <c r="I217" s="2243">
        <v>3000</v>
      </c>
      <c r="J217" s="2248"/>
      <c r="K217" s="2243">
        <f t="shared" si="30"/>
        <v>11000</v>
      </c>
    </row>
    <row r="218" spans="1:11">
      <c r="A218" s="2001"/>
      <c r="B218" s="1769" t="s">
        <v>1212</v>
      </c>
      <c r="C218" s="2238" t="s">
        <v>277</v>
      </c>
      <c r="D218" s="2238"/>
      <c r="E218" s="2244">
        <v>17000</v>
      </c>
      <c r="F218" s="2243"/>
      <c r="G218" s="2244">
        <v>0</v>
      </c>
      <c r="H218" s="2243"/>
      <c r="I218" s="2243">
        <v>17500</v>
      </c>
      <c r="J218" s="2243"/>
      <c r="K218" s="2243">
        <f t="shared" si="30"/>
        <v>34500</v>
      </c>
    </row>
    <row r="219" spans="1:11">
      <c r="A219" s="2001"/>
      <c r="B219" s="1769" t="s">
        <v>1213</v>
      </c>
      <c r="C219" s="2238" t="s">
        <v>277</v>
      </c>
      <c r="D219" s="2237"/>
      <c r="E219" s="2243">
        <v>17000</v>
      </c>
      <c r="F219" s="2243"/>
      <c r="G219" s="2244">
        <v>0</v>
      </c>
      <c r="H219" s="2243"/>
      <c r="I219" s="2243">
        <v>24093</v>
      </c>
      <c r="J219" s="2243"/>
      <c r="K219" s="2243">
        <f t="shared" si="30"/>
        <v>41093</v>
      </c>
    </row>
    <row r="220" spans="1:11">
      <c r="A220" s="2001"/>
      <c r="B220" s="1769" t="s">
        <v>1214</v>
      </c>
      <c r="C220" s="2238" t="s">
        <v>277</v>
      </c>
      <c r="D220" s="2000"/>
      <c r="E220" s="2244">
        <v>19200</v>
      </c>
      <c r="F220" s="2007"/>
      <c r="G220" s="2244">
        <v>0</v>
      </c>
      <c r="H220" s="2007"/>
      <c r="I220" s="2243">
        <v>800</v>
      </c>
      <c r="J220" s="2007"/>
      <c r="K220" s="2243">
        <f t="shared" si="30"/>
        <v>20000</v>
      </c>
    </row>
    <row r="221" spans="1:11">
      <c r="A221" s="2001"/>
      <c r="B221" s="1769" t="s">
        <v>1215</v>
      </c>
      <c r="C221" s="2238" t="s">
        <v>277</v>
      </c>
      <c r="D221" s="2237"/>
      <c r="E221" s="2244">
        <v>35000</v>
      </c>
      <c r="F221" s="1768"/>
      <c r="G221" s="2244">
        <v>2000</v>
      </c>
      <c r="H221" s="1768"/>
      <c r="I221" s="2243">
        <v>41500</v>
      </c>
      <c r="J221" s="1768"/>
      <c r="K221" s="2243">
        <f t="shared" si="30"/>
        <v>78500</v>
      </c>
    </row>
    <row r="222" spans="1:11">
      <c r="A222" s="2001"/>
      <c r="B222" s="1769" t="s">
        <v>2404</v>
      </c>
      <c r="C222" s="2238" t="s">
        <v>277</v>
      </c>
      <c r="D222" s="2237"/>
      <c r="E222" s="2244">
        <v>9500</v>
      </c>
      <c r="F222" s="1768"/>
      <c r="G222" s="2244">
        <v>0</v>
      </c>
      <c r="H222" s="1768"/>
      <c r="I222" s="2243">
        <v>6075</v>
      </c>
      <c r="J222" s="1768"/>
      <c r="K222" s="2243">
        <f t="shared" si="30"/>
        <v>15575</v>
      </c>
    </row>
    <row r="223" spans="1:11">
      <c r="A223" s="2001"/>
      <c r="B223" s="1769" t="s">
        <v>2405</v>
      </c>
      <c r="C223" s="2238" t="s">
        <v>277</v>
      </c>
      <c r="D223" s="2237"/>
      <c r="E223" s="2244">
        <v>14000</v>
      </c>
      <c r="F223" s="1768"/>
      <c r="G223" s="2244">
        <v>500</v>
      </c>
      <c r="H223" s="1768"/>
      <c r="I223" s="2243">
        <v>13000</v>
      </c>
      <c r="J223" s="1768"/>
      <c r="K223" s="2243">
        <f t="shared" si="30"/>
        <v>27500</v>
      </c>
    </row>
    <row r="224" spans="1:11">
      <c r="A224" s="2001"/>
      <c r="B224" s="1769" t="s">
        <v>1216</v>
      </c>
      <c r="C224" s="2238" t="s">
        <v>277</v>
      </c>
      <c r="D224" s="2238"/>
      <c r="E224" s="2244">
        <v>0</v>
      </c>
      <c r="F224" s="1768"/>
      <c r="G224" s="2244">
        <v>0</v>
      </c>
      <c r="H224" s="1768"/>
      <c r="I224" s="2243">
        <v>24884</v>
      </c>
      <c r="J224" s="1768"/>
      <c r="K224" s="2243">
        <f t="shared" si="30"/>
        <v>24884</v>
      </c>
    </row>
    <row r="225" spans="1:11">
      <c r="A225" s="2001"/>
      <c r="B225" s="1769" t="s">
        <v>2406</v>
      </c>
      <c r="C225" s="2238" t="s">
        <v>277</v>
      </c>
      <c r="D225" s="2238"/>
      <c r="E225" s="2244">
        <v>2000</v>
      </c>
      <c r="F225" s="2243"/>
      <c r="G225" s="2244">
        <v>500</v>
      </c>
      <c r="H225" s="2243"/>
      <c r="I225" s="2243">
        <v>1325</v>
      </c>
      <c r="J225" s="2243"/>
      <c r="K225" s="2243">
        <f t="shared" si="30"/>
        <v>3825</v>
      </c>
    </row>
    <row r="226" spans="1:11">
      <c r="A226" s="2237"/>
      <c r="B226" s="1769"/>
      <c r="C226" s="2238" t="s">
        <v>277</v>
      </c>
      <c r="D226" s="1769"/>
      <c r="E226" s="2243"/>
      <c r="F226" s="2243"/>
      <c r="G226" s="2243"/>
      <c r="H226" s="2243"/>
      <c r="I226" s="2243"/>
      <c r="J226" s="2243"/>
      <c r="K226" s="2243"/>
    </row>
    <row r="227" spans="1:11">
      <c r="A227" s="1769" t="s">
        <v>1217</v>
      </c>
      <c r="B227" s="1769"/>
      <c r="C227" s="2238" t="s">
        <v>277</v>
      </c>
      <c r="D227" s="2238"/>
      <c r="E227" s="2243">
        <v>5000</v>
      </c>
      <c r="F227" s="2243"/>
      <c r="G227" s="2243">
        <v>15000</v>
      </c>
      <c r="H227" s="2243"/>
      <c r="I227" s="2244">
        <v>0</v>
      </c>
      <c r="J227" s="2243"/>
      <c r="K227" s="2243">
        <f t="shared" ref="K227" si="31">ROUND(SUM(E227:I227),0)</f>
        <v>20000</v>
      </c>
    </row>
    <row r="228" spans="1:11">
      <c r="A228" s="1769"/>
      <c r="B228" s="1769"/>
      <c r="C228" s="2238" t="s">
        <v>277</v>
      </c>
      <c r="D228" s="2238"/>
      <c r="E228" s="2243"/>
      <c r="F228" s="2243"/>
      <c r="G228" s="2243"/>
      <c r="H228" s="2243"/>
      <c r="I228" s="2245"/>
      <c r="J228" s="2243"/>
      <c r="K228" s="2243"/>
    </row>
    <row r="229" spans="1:11">
      <c r="A229" s="1769" t="s">
        <v>2407</v>
      </c>
      <c r="B229" s="1769"/>
      <c r="C229" s="2238" t="s">
        <v>277</v>
      </c>
      <c r="D229" s="2238"/>
      <c r="E229" s="2243">
        <v>248475</v>
      </c>
      <c r="F229" s="2243"/>
      <c r="G229" s="2243">
        <v>5000</v>
      </c>
      <c r="H229" s="2243"/>
      <c r="I229" s="2244">
        <v>28000</v>
      </c>
      <c r="J229" s="2243"/>
      <c r="K229" s="2243">
        <f t="shared" ref="K229" si="32">ROUND(SUM(E229:I229),0)</f>
        <v>281475</v>
      </c>
    </row>
    <row r="230" spans="1:11">
      <c r="A230" s="1769"/>
      <c r="B230" s="1769"/>
      <c r="C230" s="2238" t="s">
        <v>277</v>
      </c>
      <c r="D230" s="2238"/>
      <c r="E230" s="2243"/>
      <c r="F230" s="2243"/>
      <c r="G230" s="2243"/>
      <c r="H230" s="2243"/>
      <c r="I230" s="2244"/>
      <c r="J230" s="2243"/>
      <c r="K230" s="2243"/>
    </row>
    <row r="231" spans="1:11">
      <c r="A231" s="1769" t="s">
        <v>1218</v>
      </c>
      <c r="B231" s="1769"/>
      <c r="C231" s="2238" t="s">
        <v>277</v>
      </c>
      <c r="D231" s="2238"/>
      <c r="E231" s="2244">
        <v>1000</v>
      </c>
      <c r="F231" s="2243"/>
      <c r="G231" s="2243">
        <v>10000</v>
      </c>
      <c r="H231" s="2243"/>
      <c r="I231" s="2244">
        <v>0</v>
      </c>
      <c r="J231" s="2243"/>
      <c r="K231" s="2243">
        <f t="shared" ref="K231" si="33">ROUND(SUM(E231:I231),0)</f>
        <v>11000</v>
      </c>
    </row>
    <row r="232" spans="1:11">
      <c r="A232" s="2237"/>
      <c r="B232" s="1769"/>
      <c r="C232" s="2238" t="s">
        <v>277</v>
      </c>
      <c r="D232" s="1769"/>
      <c r="E232" s="2243"/>
      <c r="F232" s="2243"/>
      <c r="G232" s="2243"/>
      <c r="H232" s="2243"/>
      <c r="I232" s="2243"/>
      <c r="J232" s="2243"/>
      <c r="K232" s="2243"/>
    </row>
    <row r="233" spans="1:11">
      <c r="A233" s="1769" t="s">
        <v>1219</v>
      </c>
      <c r="B233" s="1769"/>
      <c r="C233" s="2238" t="s">
        <v>277</v>
      </c>
      <c r="D233" s="2238"/>
      <c r="E233" s="2243">
        <v>40000</v>
      </c>
      <c r="F233" s="2243"/>
      <c r="G233" s="2244">
        <v>0</v>
      </c>
      <c r="H233" s="2243"/>
      <c r="I233" s="2243">
        <v>273090</v>
      </c>
      <c r="J233" s="2243"/>
      <c r="K233" s="2243">
        <f t="shared" ref="K233" si="34">ROUND(SUM(E233:I233),0)</f>
        <v>313090</v>
      </c>
    </row>
    <row r="234" spans="1:11">
      <c r="A234" s="2237"/>
      <c r="B234" s="1769"/>
      <c r="C234" s="1769"/>
      <c r="D234" s="1769"/>
      <c r="E234" s="2243"/>
      <c r="F234" s="2243"/>
      <c r="G234" s="2243"/>
      <c r="H234" s="2243"/>
      <c r="I234" s="2243"/>
      <c r="J234" s="2243"/>
      <c r="K234" s="2243"/>
    </row>
    <row r="235" spans="1:11">
      <c r="A235" s="2237"/>
      <c r="B235" s="1769"/>
      <c r="C235" s="1769"/>
      <c r="D235" s="1769"/>
      <c r="E235" s="2243"/>
      <c r="F235" s="2243"/>
      <c r="G235" s="2243"/>
      <c r="H235" s="2243"/>
      <c r="I235" s="2243"/>
      <c r="J235" s="2243"/>
      <c r="K235" s="2243"/>
    </row>
    <row r="236" spans="1:11">
      <c r="A236" s="2250"/>
      <c r="B236" s="1769"/>
      <c r="C236" s="2238"/>
      <c r="D236" s="2237"/>
      <c r="E236" s="2243"/>
      <c r="F236" s="1768"/>
      <c r="G236" s="2243"/>
      <c r="H236" s="1768"/>
      <c r="I236" s="2245"/>
      <c r="J236" s="1768"/>
      <c r="K236" s="2243"/>
    </row>
    <row r="237" spans="1:11">
      <c r="A237" s="820" t="s">
        <v>0</v>
      </c>
      <c r="B237" s="1769"/>
      <c r="C237" s="1769"/>
      <c r="D237" s="1769"/>
      <c r="E237" s="1769"/>
      <c r="F237" s="1769"/>
      <c r="G237" s="1769"/>
      <c r="H237" s="1769"/>
      <c r="I237" s="1769"/>
      <c r="J237" s="1769"/>
      <c r="K237" s="1567" t="s">
        <v>2451</v>
      </c>
    </row>
    <row r="238" spans="1:11">
      <c r="A238" s="1991" t="s">
        <v>1187</v>
      </c>
      <c r="B238" s="1769"/>
      <c r="C238" s="851"/>
      <c r="D238" s="851"/>
      <c r="E238" s="851"/>
      <c r="F238" s="851"/>
      <c r="G238" s="851"/>
      <c r="H238" s="851"/>
      <c r="I238" s="851"/>
      <c r="J238" s="1769"/>
      <c r="K238" s="1567" t="s">
        <v>131</v>
      </c>
    </row>
    <row r="239" spans="1:11">
      <c r="A239" s="1992" t="s">
        <v>2644</v>
      </c>
      <c r="B239" s="1769"/>
      <c r="C239" s="1992"/>
      <c r="D239" s="1992"/>
      <c r="E239" s="1992"/>
      <c r="F239" s="1992"/>
      <c r="G239" s="1992"/>
      <c r="H239" s="1992"/>
      <c r="I239" s="1992"/>
      <c r="J239" s="1769"/>
      <c r="K239" s="1769"/>
    </row>
    <row r="240" spans="1:11">
      <c r="A240" s="1993"/>
      <c r="B240" s="818"/>
      <c r="C240" s="818"/>
      <c r="D240" s="818"/>
      <c r="E240" s="818"/>
      <c r="F240" s="818"/>
      <c r="G240" s="818"/>
      <c r="H240" s="818"/>
      <c r="I240" s="818"/>
      <c r="J240" s="818"/>
      <c r="K240" s="818"/>
    </row>
    <row r="241" spans="1:11">
      <c r="A241" s="1994"/>
      <c r="B241" s="1995"/>
      <c r="C241" s="818"/>
      <c r="D241" s="818"/>
      <c r="E241" s="818" t="s">
        <v>1189</v>
      </c>
      <c r="F241" s="818"/>
      <c r="G241" s="818"/>
      <c r="H241" s="818"/>
      <c r="I241" s="818"/>
      <c r="J241" s="818"/>
      <c r="K241" s="818" t="s">
        <v>276</v>
      </c>
    </row>
    <row r="242" spans="1:11">
      <c r="A242" s="1996" t="s">
        <v>1190</v>
      </c>
      <c r="B242" s="2236"/>
      <c r="C242" s="818"/>
      <c r="D242" s="818"/>
      <c r="E242" s="2235" t="s">
        <v>1191</v>
      </c>
      <c r="F242" s="818"/>
      <c r="G242" s="2235" t="s">
        <v>1192</v>
      </c>
      <c r="H242" s="818"/>
      <c r="I242" s="1998" t="s">
        <v>1193</v>
      </c>
      <c r="J242" s="1999"/>
      <c r="K242" s="2235" t="s">
        <v>530</v>
      </c>
    </row>
    <row r="243" spans="1:11">
      <c r="A243" s="2237"/>
      <c r="B243" s="1769"/>
      <c r="C243" s="1769"/>
      <c r="D243" s="1769"/>
      <c r="E243" s="1769"/>
      <c r="F243" s="1769"/>
      <c r="G243" s="1769"/>
      <c r="H243" s="1769"/>
      <c r="I243" s="1769"/>
      <c r="J243" s="1769"/>
      <c r="K243" s="1769"/>
    </row>
    <row r="244" spans="1:11">
      <c r="A244" s="1769" t="s">
        <v>1220</v>
      </c>
      <c r="B244" s="1769"/>
      <c r="C244" s="2238"/>
      <c r="D244" s="2238"/>
      <c r="E244" s="2244"/>
      <c r="F244" s="2243"/>
      <c r="G244" s="2243"/>
      <c r="H244" s="2249"/>
      <c r="I244" s="2243"/>
      <c r="J244" s="2243"/>
      <c r="K244" s="2243"/>
    </row>
    <row r="245" spans="1:11">
      <c r="A245" s="2250"/>
      <c r="B245" s="1769" t="s">
        <v>1221</v>
      </c>
      <c r="C245" s="2238" t="s">
        <v>277</v>
      </c>
      <c r="D245" s="2239"/>
      <c r="E245" s="2251">
        <v>34000</v>
      </c>
      <c r="F245" s="2251"/>
      <c r="G245" s="2244">
        <v>0</v>
      </c>
      <c r="H245" s="2251"/>
      <c r="I245" s="2244">
        <v>0</v>
      </c>
      <c r="J245" s="2251"/>
      <c r="K245" s="2243">
        <f t="shared" ref="K245:K259" si="35">ROUND(SUM(E245:I245),0)</f>
        <v>34000</v>
      </c>
    </row>
    <row r="246" spans="1:11">
      <c r="A246" s="2250"/>
      <c r="B246" s="1769" t="s">
        <v>2408</v>
      </c>
      <c r="C246" s="2238" t="s">
        <v>277</v>
      </c>
      <c r="D246" s="2238"/>
      <c r="E246" s="1768">
        <v>34000</v>
      </c>
      <c r="F246" s="2243"/>
      <c r="G246" s="2244">
        <v>0</v>
      </c>
      <c r="H246" s="2243"/>
      <c r="I246" s="2244">
        <v>0</v>
      </c>
      <c r="J246" s="2243"/>
      <c r="K246" s="2243">
        <f t="shared" si="35"/>
        <v>34000</v>
      </c>
    </row>
    <row r="247" spans="1:11">
      <c r="A247" s="2250"/>
      <c r="B247" s="1769" t="s">
        <v>1222</v>
      </c>
      <c r="C247" s="2238" t="s">
        <v>277</v>
      </c>
      <c r="D247" s="2237"/>
      <c r="E247" s="2244">
        <v>45675</v>
      </c>
      <c r="F247" s="2243"/>
      <c r="G247" s="2244">
        <v>0</v>
      </c>
      <c r="H247" s="2243"/>
      <c r="I247" s="2243">
        <v>1450</v>
      </c>
      <c r="J247" s="2243"/>
      <c r="K247" s="2243">
        <f t="shared" si="35"/>
        <v>47125</v>
      </c>
    </row>
    <row r="248" spans="1:11">
      <c r="A248" s="2250"/>
      <c r="B248" s="1769" t="s">
        <v>1223</v>
      </c>
      <c r="C248" s="2238" t="s">
        <v>277</v>
      </c>
      <c r="D248" s="2238"/>
      <c r="E248" s="2244">
        <v>50000</v>
      </c>
      <c r="F248" s="2243"/>
      <c r="G248" s="2244">
        <v>0</v>
      </c>
      <c r="H248" s="2243"/>
      <c r="I248" s="2244">
        <v>0</v>
      </c>
      <c r="J248" s="2243"/>
      <c r="K248" s="2243">
        <f t="shared" si="35"/>
        <v>50000</v>
      </c>
    </row>
    <row r="249" spans="1:11">
      <c r="A249" s="2250"/>
      <c r="B249" s="1769" t="s">
        <v>1224</v>
      </c>
      <c r="C249" s="2238" t="s">
        <v>277</v>
      </c>
      <c r="D249" s="2238"/>
      <c r="E249" s="1768">
        <v>40000</v>
      </c>
      <c r="F249" s="2243"/>
      <c r="G249" s="2244">
        <v>0</v>
      </c>
      <c r="H249" s="2243"/>
      <c r="I249" s="2244">
        <v>0</v>
      </c>
      <c r="J249" s="2243"/>
      <c r="K249" s="2243">
        <f t="shared" si="35"/>
        <v>40000</v>
      </c>
    </row>
    <row r="250" spans="1:11">
      <c r="A250" s="2250"/>
      <c r="B250" s="1769" t="s">
        <v>1225</v>
      </c>
      <c r="C250" s="2238" t="s">
        <v>277</v>
      </c>
      <c r="D250" s="2238"/>
      <c r="E250" s="2244">
        <v>108100</v>
      </c>
      <c r="F250" s="2243"/>
      <c r="G250" s="2243">
        <v>2400</v>
      </c>
      <c r="H250" s="2243"/>
      <c r="I250" s="2243">
        <v>4500</v>
      </c>
      <c r="J250" s="2243"/>
      <c r="K250" s="2243">
        <f t="shared" si="35"/>
        <v>115000</v>
      </c>
    </row>
    <row r="251" spans="1:11">
      <c r="A251" s="2250"/>
      <c r="B251" s="1769" t="s">
        <v>1226</v>
      </c>
      <c r="C251" s="2238" t="s">
        <v>277</v>
      </c>
      <c r="D251" s="1769"/>
      <c r="E251" s="2244">
        <v>37802</v>
      </c>
      <c r="F251" s="2243"/>
      <c r="G251" s="2243">
        <v>2500</v>
      </c>
      <c r="H251" s="2243"/>
      <c r="I251" s="2244">
        <v>0</v>
      </c>
      <c r="J251" s="2243"/>
      <c r="K251" s="2243">
        <f t="shared" si="35"/>
        <v>40302</v>
      </c>
    </row>
    <row r="252" spans="1:11">
      <c r="A252" s="2250"/>
      <c r="B252" s="1769" t="s">
        <v>1227</v>
      </c>
      <c r="C252" s="2238" t="s">
        <v>277</v>
      </c>
      <c r="D252" s="2238"/>
      <c r="E252" s="2244">
        <v>12000</v>
      </c>
      <c r="F252" s="2243"/>
      <c r="G252" s="2244">
        <v>0</v>
      </c>
      <c r="H252" s="2243"/>
      <c r="I252" s="2244">
        <v>0</v>
      </c>
      <c r="J252" s="2243"/>
      <c r="K252" s="2243">
        <f t="shared" si="35"/>
        <v>12000</v>
      </c>
    </row>
    <row r="253" spans="1:11">
      <c r="A253" s="2250"/>
      <c r="B253" s="1769" t="s">
        <v>1228</v>
      </c>
      <c r="C253" s="2238" t="s">
        <v>277</v>
      </c>
      <c r="D253" s="2238"/>
      <c r="E253" s="1768">
        <v>25000</v>
      </c>
      <c r="F253" s="2243"/>
      <c r="G253" s="2244">
        <v>0</v>
      </c>
      <c r="H253" s="2243"/>
      <c r="I253" s="2244">
        <v>0</v>
      </c>
      <c r="J253" s="2243"/>
      <c r="K253" s="2243">
        <f t="shared" si="35"/>
        <v>25000</v>
      </c>
    </row>
    <row r="254" spans="1:11">
      <c r="A254" s="2250"/>
      <c r="B254" s="1769" t="s">
        <v>2409</v>
      </c>
      <c r="C254" s="2238" t="s">
        <v>277</v>
      </c>
      <c r="D254" s="2238"/>
      <c r="E254" s="2244">
        <v>38505</v>
      </c>
      <c r="F254" s="2243"/>
      <c r="G254" s="2244">
        <v>0</v>
      </c>
      <c r="H254" s="2243"/>
      <c r="I254" s="2244">
        <v>0</v>
      </c>
      <c r="J254" s="2243"/>
      <c r="K254" s="2243">
        <f t="shared" si="35"/>
        <v>38505</v>
      </c>
    </row>
    <row r="255" spans="1:11">
      <c r="A255" s="2250"/>
      <c r="B255" s="1769" t="s">
        <v>1229</v>
      </c>
      <c r="C255" s="2238" t="s">
        <v>277</v>
      </c>
      <c r="D255" s="2238"/>
      <c r="E255" s="2244">
        <v>2000</v>
      </c>
      <c r="F255" s="2243"/>
      <c r="G255" s="2244">
        <v>0</v>
      </c>
      <c r="H255" s="2243"/>
      <c r="I255" s="2244">
        <v>0</v>
      </c>
      <c r="J255" s="2243"/>
      <c r="K255" s="2243">
        <f t="shared" si="35"/>
        <v>2000</v>
      </c>
    </row>
    <row r="256" spans="1:11">
      <c r="A256" s="2250"/>
      <c r="B256" s="1769" t="s">
        <v>1230</v>
      </c>
      <c r="C256" s="2238" t="s">
        <v>277</v>
      </c>
      <c r="D256" s="2238"/>
      <c r="E256" s="1768">
        <v>19000</v>
      </c>
      <c r="F256" s="2243"/>
      <c r="G256" s="2244">
        <v>0</v>
      </c>
      <c r="H256" s="2243"/>
      <c r="I256" s="2244">
        <v>0</v>
      </c>
      <c r="J256" s="2243"/>
      <c r="K256" s="2243">
        <f t="shared" si="35"/>
        <v>19000</v>
      </c>
    </row>
    <row r="257" spans="1:11">
      <c r="A257" s="2250"/>
      <c r="B257" s="1769" t="s">
        <v>1231</v>
      </c>
      <c r="C257" s="2238" t="s">
        <v>277</v>
      </c>
      <c r="D257" s="2239"/>
      <c r="E257" s="2244">
        <v>25000</v>
      </c>
      <c r="F257" s="2248"/>
      <c r="G257" s="2243">
        <v>1000</v>
      </c>
      <c r="H257" s="2248"/>
      <c r="I257" s="2244">
        <v>0</v>
      </c>
      <c r="J257" s="2248"/>
      <c r="K257" s="2243">
        <f t="shared" si="35"/>
        <v>26000</v>
      </c>
    </row>
    <row r="258" spans="1:11">
      <c r="A258" s="2250"/>
      <c r="B258" s="1769" t="s">
        <v>1232</v>
      </c>
      <c r="C258" s="2238" t="s">
        <v>277</v>
      </c>
      <c r="D258" s="2238"/>
      <c r="E258" s="2244">
        <v>67000</v>
      </c>
      <c r="F258" s="2243"/>
      <c r="G258" s="2244">
        <v>0</v>
      </c>
      <c r="H258" s="2243"/>
      <c r="I258" s="2244">
        <v>0</v>
      </c>
      <c r="J258" s="2243"/>
      <c r="K258" s="2243">
        <f t="shared" si="35"/>
        <v>67000</v>
      </c>
    </row>
    <row r="259" spans="1:11">
      <c r="A259" s="2250"/>
      <c r="B259" s="1769" t="s">
        <v>1233</v>
      </c>
      <c r="C259" s="2238" t="s">
        <v>277</v>
      </c>
      <c r="D259" s="2238"/>
      <c r="E259" s="2244">
        <v>60000</v>
      </c>
      <c r="F259" s="2243"/>
      <c r="G259" s="2244">
        <v>0</v>
      </c>
      <c r="H259" s="2243"/>
      <c r="I259" s="2243">
        <v>50000</v>
      </c>
      <c r="J259" s="2243"/>
      <c r="K259" s="2243">
        <f t="shared" si="35"/>
        <v>110000</v>
      </c>
    </row>
    <row r="260" spans="1:11">
      <c r="A260" s="2250"/>
      <c r="B260" s="1769"/>
      <c r="C260" s="2238" t="s">
        <v>277</v>
      </c>
      <c r="D260" s="2238"/>
      <c r="E260" s="2243"/>
      <c r="F260" s="2243"/>
      <c r="G260" s="2243"/>
      <c r="H260" s="2243"/>
      <c r="I260" s="2243"/>
      <c r="J260" s="2243"/>
      <c r="K260" s="2243"/>
    </row>
    <row r="261" spans="1:11">
      <c r="A261" s="1769" t="s">
        <v>1234</v>
      </c>
      <c r="B261" s="1769"/>
      <c r="C261" s="2238" t="s">
        <v>277</v>
      </c>
      <c r="D261" s="2238"/>
      <c r="E261" s="2244">
        <v>1500</v>
      </c>
      <c r="F261" s="2243"/>
      <c r="G261" s="2243">
        <v>1000</v>
      </c>
      <c r="H261" s="2243"/>
      <c r="I261" s="2244">
        <v>0</v>
      </c>
      <c r="J261" s="2243"/>
      <c r="K261" s="2243">
        <f t="shared" ref="K261" si="36">ROUND(SUM(E261:I261),0)</f>
        <v>2500</v>
      </c>
    </row>
    <row r="262" spans="1:11" ht="16.5" customHeight="1">
      <c r="A262" s="1769"/>
      <c r="B262" s="1769"/>
      <c r="C262" s="2238" t="s">
        <v>277</v>
      </c>
      <c r="D262" s="2238"/>
      <c r="E262" s="2244"/>
      <c r="F262" s="2243"/>
      <c r="G262" s="2243"/>
      <c r="H262" s="2243"/>
      <c r="I262" s="2245"/>
      <c r="J262" s="2243"/>
      <c r="K262" s="2243"/>
    </row>
    <row r="263" spans="1:11">
      <c r="A263" s="1769" t="s">
        <v>1235</v>
      </c>
      <c r="B263" s="1769"/>
      <c r="C263" s="2238" t="s">
        <v>277</v>
      </c>
      <c r="D263" s="2238"/>
      <c r="E263" s="2244">
        <v>500</v>
      </c>
      <c r="F263" s="2243"/>
      <c r="G263" s="2244">
        <v>0</v>
      </c>
      <c r="H263" s="2243"/>
      <c r="I263" s="2244">
        <v>0</v>
      </c>
      <c r="J263" s="2243"/>
      <c r="K263" s="2243">
        <f t="shared" ref="K263" si="37">ROUND(SUM(E263:I263),0)</f>
        <v>500</v>
      </c>
    </row>
    <row r="264" spans="1:11">
      <c r="A264" s="1769"/>
      <c r="B264" s="1769"/>
      <c r="C264" s="2238" t="s">
        <v>277</v>
      </c>
      <c r="D264" s="2238"/>
      <c r="E264" s="2244"/>
      <c r="F264" s="2243"/>
      <c r="G264" s="2244"/>
      <c r="H264" s="2243"/>
      <c r="I264" s="2245"/>
      <c r="J264" s="2243"/>
      <c r="K264" s="2243"/>
    </row>
    <row r="265" spans="1:11">
      <c r="A265" s="1769" t="s">
        <v>2410</v>
      </c>
      <c r="B265" s="1769"/>
      <c r="C265" s="2238" t="s">
        <v>277</v>
      </c>
      <c r="D265" s="2238"/>
      <c r="E265" s="2243">
        <v>13400</v>
      </c>
      <c r="F265" s="2243"/>
      <c r="G265" s="2243">
        <v>15000</v>
      </c>
      <c r="H265" s="2243"/>
      <c r="I265" s="2244">
        <v>0</v>
      </c>
      <c r="J265" s="2243"/>
      <c r="K265" s="2243">
        <f t="shared" ref="K265" si="38">ROUND(SUM(E265:I265),0)</f>
        <v>28400</v>
      </c>
    </row>
    <row r="266" spans="1:11">
      <c r="A266" s="1769"/>
      <c r="B266" s="1769"/>
      <c r="C266" s="2238" t="s">
        <v>277</v>
      </c>
      <c r="D266" s="2238"/>
      <c r="E266" s="2243"/>
      <c r="F266" s="2243"/>
      <c r="G266" s="2243"/>
      <c r="H266" s="2243"/>
      <c r="I266" s="2245"/>
      <c r="J266" s="2243"/>
      <c r="K266" s="2243"/>
    </row>
    <row r="267" spans="1:11">
      <c r="A267" s="2246" t="s">
        <v>1236</v>
      </c>
      <c r="B267" s="1769"/>
      <c r="C267" s="2238" t="s">
        <v>277</v>
      </c>
      <c r="D267" s="2238"/>
      <c r="E267" s="2244"/>
      <c r="F267" s="2243"/>
      <c r="G267" s="2244"/>
      <c r="H267" s="2243"/>
      <c r="I267" s="2245"/>
      <c r="J267" s="2243"/>
      <c r="K267" s="2243"/>
    </row>
    <row r="268" spans="1:11">
      <c r="A268" s="2237"/>
      <c r="B268" s="1769" t="s">
        <v>1237</v>
      </c>
      <c r="C268" s="2238" t="s">
        <v>277</v>
      </c>
      <c r="D268" s="2237"/>
      <c r="E268" s="2243">
        <v>17000</v>
      </c>
      <c r="F268" s="1768"/>
      <c r="G268" s="2244">
        <v>0</v>
      </c>
      <c r="H268" s="1768"/>
      <c r="I268" s="2244">
        <v>0</v>
      </c>
      <c r="J268" s="1768"/>
      <c r="K268" s="2243">
        <f t="shared" ref="K268:K269" si="39">ROUND(SUM(E268:I268),0)</f>
        <v>17000</v>
      </c>
    </row>
    <row r="269" spans="1:11">
      <c r="A269" s="2237"/>
      <c r="B269" s="1769" t="s">
        <v>1238</v>
      </c>
      <c r="C269" s="2238" t="s">
        <v>277</v>
      </c>
      <c r="D269" s="2238"/>
      <c r="E269" s="2243">
        <v>1750</v>
      </c>
      <c r="F269" s="2243"/>
      <c r="G269" s="2244">
        <v>0</v>
      </c>
      <c r="H269" s="2243"/>
      <c r="I269" s="2244">
        <v>0</v>
      </c>
      <c r="J269" s="2243"/>
      <c r="K269" s="2243">
        <f t="shared" si="39"/>
        <v>1750</v>
      </c>
    </row>
    <row r="270" spans="1:11">
      <c r="A270" s="2237"/>
      <c r="B270" s="1769"/>
      <c r="C270" s="2238" t="s">
        <v>277</v>
      </c>
      <c r="D270" s="2238"/>
      <c r="E270" s="2243"/>
      <c r="F270" s="2243"/>
      <c r="G270" s="2244"/>
      <c r="H270" s="2243"/>
      <c r="I270" s="2245"/>
      <c r="J270" s="2243"/>
      <c r="K270" s="2243"/>
    </row>
    <row r="271" spans="1:11">
      <c r="A271" s="1769" t="s">
        <v>1239</v>
      </c>
      <c r="B271" s="1769"/>
      <c r="C271" s="2238" t="s">
        <v>277</v>
      </c>
      <c r="D271" s="2238"/>
      <c r="E271" s="2243">
        <v>9600</v>
      </c>
      <c r="F271" s="2243"/>
      <c r="G271" s="2243">
        <v>40000</v>
      </c>
      <c r="H271" s="2243"/>
      <c r="I271" s="2244">
        <v>0</v>
      </c>
      <c r="J271" s="2243"/>
      <c r="K271" s="2243">
        <f t="shared" ref="K271" si="40">ROUND(SUM(E271:I271),0)</f>
        <v>49600</v>
      </c>
    </row>
    <row r="272" spans="1:11">
      <c r="A272" s="823"/>
      <c r="B272" s="2008"/>
      <c r="C272" s="2238" t="s">
        <v>277</v>
      </c>
      <c r="D272" s="2238"/>
      <c r="E272" s="2243"/>
      <c r="F272" s="2243"/>
      <c r="G272" s="2243"/>
      <c r="H272" s="2243"/>
      <c r="I272" s="2245"/>
      <c r="J272" s="2243"/>
      <c r="K272" s="2243"/>
    </row>
    <row r="273" spans="1:11">
      <c r="A273" s="1769" t="s">
        <v>1240</v>
      </c>
      <c r="B273" s="2008"/>
      <c r="C273" s="2238" t="s">
        <v>277</v>
      </c>
      <c r="D273" s="2238"/>
      <c r="E273" s="2243"/>
      <c r="F273" s="2243"/>
      <c r="G273" s="2243"/>
      <c r="H273" s="2243"/>
      <c r="I273" s="2245"/>
      <c r="J273" s="2243"/>
      <c r="K273" s="2243"/>
    </row>
    <row r="274" spans="1:11">
      <c r="A274" s="2250"/>
      <c r="B274" s="1769" t="s">
        <v>1241</v>
      </c>
      <c r="C274" s="2238" t="s">
        <v>277</v>
      </c>
      <c r="D274" s="2238"/>
      <c r="E274" s="2243">
        <v>2000</v>
      </c>
      <c r="F274" s="2243"/>
      <c r="G274" s="2244">
        <v>0</v>
      </c>
      <c r="H274" s="2243"/>
      <c r="I274" s="2245">
        <v>201000</v>
      </c>
      <c r="J274" s="2243"/>
      <c r="K274" s="2243">
        <f t="shared" ref="K274:K284" si="41">ROUND(SUM(E274:I274),0)</f>
        <v>203000</v>
      </c>
    </row>
    <row r="275" spans="1:11">
      <c r="A275" s="2250"/>
      <c r="B275" s="1769" t="s">
        <v>1242</v>
      </c>
      <c r="C275" s="2238" t="s">
        <v>277</v>
      </c>
      <c r="D275" s="2238"/>
      <c r="E275" s="2243">
        <v>1000</v>
      </c>
      <c r="F275" s="2243"/>
      <c r="G275" s="2244">
        <v>0</v>
      </c>
      <c r="H275" s="2243"/>
      <c r="I275" s="2245">
        <v>2000</v>
      </c>
      <c r="J275" s="2243"/>
      <c r="K275" s="2243">
        <f t="shared" si="41"/>
        <v>3000</v>
      </c>
    </row>
    <row r="276" spans="1:11">
      <c r="A276" s="2250"/>
      <c r="B276" s="1769" t="s">
        <v>1243</v>
      </c>
      <c r="C276" s="2238" t="s">
        <v>277</v>
      </c>
      <c r="D276" s="2238"/>
      <c r="E276" s="2243">
        <v>1000</v>
      </c>
      <c r="F276" s="2243"/>
      <c r="G276" s="2244">
        <v>0</v>
      </c>
      <c r="H276" s="2243"/>
      <c r="I276" s="2245">
        <v>12000</v>
      </c>
      <c r="J276" s="2243"/>
      <c r="K276" s="2243">
        <f t="shared" si="41"/>
        <v>13000</v>
      </c>
    </row>
    <row r="277" spans="1:11">
      <c r="A277" s="2250"/>
      <c r="B277" s="1769" t="s">
        <v>1244</v>
      </c>
      <c r="C277" s="2238" t="s">
        <v>277</v>
      </c>
      <c r="D277" s="2238"/>
      <c r="E277" s="2243">
        <v>1000</v>
      </c>
      <c r="F277" s="2243"/>
      <c r="G277" s="2244">
        <v>0</v>
      </c>
      <c r="H277" s="2243"/>
      <c r="I277" s="2245">
        <v>2000</v>
      </c>
      <c r="J277" s="2243"/>
      <c r="K277" s="2243">
        <f t="shared" si="41"/>
        <v>3000</v>
      </c>
    </row>
    <row r="278" spans="1:11">
      <c r="A278" s="2250"/>
      <c r="B278" s="1769" t="s">
        <v>1245</v>
      </c>
      <c r="C278" s="2238" t="s">
        <v>277</v>
      </c>
      <c r="D278" s="2238"/>
      <c r="E278" s="2243">
        <v>1000</v>
      </c>
      <c r="F278" s="2243"/>
      <c r="G278" s="2244">
        <v>0</v>
      </c>
      <c r="H278" s="2243"/>
      <c r="I278" s="2245">
        <v>2000</v>
      </c>
      <c r="J278" s="2243"/>
      <c r="K278" s="2243">
        <f t="shared" si="41"/>
        <v>3000</v>
      </c>
    </row>
    <row r="279" spans="1:11">
      <c r="A279" s="2250"/>
      <c r="B279" s="1769" t="s">
        <v>1246</v>
      </c>
      <c r="C279" s="2238" t="s">
        <v>277</v>
      </c>
      <c r="D279" s="2238"/>
      <c r="E279" s="2243">
        <v>1000</v>
      </c>
      <c r="F279" s="2243"/>
      <c r="G279" s="2244">
        <v>0</v>
      </c>
      <c r="H279" s="2243"/>
      <c r="I279" s="2245">
        <v>2000</v>
      </c>
      <c r="J279" s="2243"/>
      <c r="K279" s="2243">
        <f t="shared" si="41"/>
        <v>3000</v>
      </c>
    </row>
    <row r="280" spans="1:11">
      <c r="A280" s="2250"/>
      <c r="B280" s="1769" t="s">
        <v>1247</v>
      </c>
      <c r="C280" s="2238" t="s">
        <v>277</v>
      </c>
      <c r="D280" s="2238"/>
      <c r="E280" s="2243">
        <v>1000</v>
      </c>
      <c r="F280" s="2243"/>
      <c r="G280" s="2244">
        <v>0</v>
      </c>
      <c r="H280" s="2243"/>
      <c r="I280" s="2245">
        <v>2000</v>
      </c>
      <c r="J280" s="2243"/>
      <c r="K280" s="2243">
        <f t="shared" si="41"/>
        <v>3000</v>
      </c>
    </row>
    <row r="281" spans="1:11">
      <c r="A281" s="2250"/>
      <c r="B281" s="1769" t="s">
        <v>1248</v>
      </c>
      <c r="C281" s="2238" t="s">
        <v>277</v>
      </c>
      <c r="D281" s="2238"/>
      <c r="E281" s="2243">
        <v>1000</v>
      </c>
      <c r="F281" s="2243"/>
      <c r="G281" s="2244">
        <v>0</v>
      </c>
      <c r="H281" s="2243"/>
      <c r="I281" s="2245">
        <v>2000</v>
      </c>
      <c r="J281" s="2243"/>
      <c r="K281" s="2243">
        <f t="shared" si="41"/>
        <v>3000</v>
      </c>
    </row>
    <row r="282" spans="1:11">
      <c r="A282" s="2250"/>
      <c r="B282" s="1769" t="s">
        <v>1249</v>
      </c>
      <c r="C282" s="2238" t="s">
        <v>277</v>
      </c>
      <c r="D282" s="2238"/>
      <c r="E282" s="2243">
        <v>1000</v>
      </c>
      <c r="F282" s="2243"/>
      <c r="G282" s="2244">
        <v>0</v>
      </c>
      <c r="H282" s="2243"/>
      <c r="I282" s="2245">
        <v>2000</v>
      </c>
      <c r="J282" s="2243"/>
      <c r="K282" s="2243">
        <f t="shared" si="41"/>
        <v>3000</v>
      </c>
    </row>
    <row r="283" spans="1:11">
      <c r="A283" s="2250"/>
      <c r="B283" s="1769" t="s">
        <v>2411</v>
      </c>
      <c r="C283" s="2238" t="s">
        <v>277</v>
      </c>
      <c r="D283" s="2238"/>
      <c r="E283" s="2243">
        <v>1000</v>
      </c>
      <c r="F283" s="2243"/>
      <c r="G283" s="2244">
        <v>0</v>
      </c>
      <c r="H283" s="2243"/>
      <c r="I283" s="2245">
        <v>8000</v>
      </c>
      <c r="J283" s="2243"/>
      <c r="K283" s="2243">
        <f t="shared" si="41"/>
        <v>9000</v>
      </c>
    </row>
    <row r="284" spans="1:11">
      <c r="A284" s="2250"/>
      <c r="B284" s="1769" t="s">
        <v>1250</v>
      </c>
      <c r="C284" s="2238" t="s">
        <v>277</v>
      </c>
      <c r="D284" s="2238"/>
      <c r="E284" s="2244">
        <v>0</v>
      </c>
      <c r="F284" s="2243"/>
      <c r="G284" s="2244">
        <v>0</v>
      </c>
      <c r="H284" s="2243"/>
      <c r="I284" s="2244">
        <v>500</v>
      </c>
      <c r="J284" s="2243"/>
      <c r="K284" s="2243">
        <f t="shared" si="41"/>
        <v>500</v>
      </c>
    </row>
    <row r="285" spans="1:11">
      <c r="A285" s="1769"/>
      <c r="B285" s="1769"/>
      <c r="C285" s="2238"/>
      <c r="D285" s="2238"/>
      <c r="E285" s="2243"/>
      <c r="F285" s="2243"/>
      <c r="G285" s="2243"/>
      <c r="H285" s="2243"/>
      <c r="I285" s="2255"/>
      <c r="J285" s="2243"/>
      <c r="K285" s="2243"/>
    </row>
    <row r="286" spans="1:11">
      <c r="A286" s="1769"/>
      <c r="B286" s="1769"/>
      <c r="C286" s="2238"/>
      <c r="D286" s="2238"/>
      <c r="E286" s="2243"/>
      <c r="F286" s="2243"/>
      <c r="G286" s="2243"/>
      <c r="H286" s="2243"/>
      <c r="I286" s="2255"/>
      <c r="J286" s="2243"/>
      <c r="K286" s="2243"/>
    </row>
    <row r="287" spans="1:11">
      <c r="A287" s="820" t="s">
        <v>0</v>
      </c>
      <c r="B287" s="1769"/>
      <c r="C287" s="1769"/>
      <c r="D287" s="1769"/>
      <c r="E287" s="1769"/>
      <c r="F287" s="1769"/>
      <c r="G287" s="1769"/>
      <c r="H287" s="1769"/>
      <c r="I287" s="1769"/>
      <c r="J287" s="1769"/>
      <c r="K287" s="1567" t="s">
        <v>2451</v>
      </c>
    </row>
    <row r="288" spans="1:11">
      <c r="A288" s="1991" t="s">
        <v>1187</v>
      </c>
      <c r="B288" s="1769"/>
      <c r="C288" s="851"/>
      <c r="D288" s="851"/>
      <c r="E288" s="851"/>
      <c r="F288" s="851"/>
      <c r="G288" s="851"/>
      <c r="H288" s="851"/>
      <c r="I288" s="851"/>
      <c r="J288" s="1769"/>
      <c r="K288" s="1567" t="s">
        <v>131</v>
      </c>
    </row>
    <row r="289" spans="1:11">
      <c r="A289" s="1992" t="s">
        <v>2641</v>
      </c>
      <c r="B289" s="1769"/>
      <c r="C289" s="1992"/>
      <c r="D289" s="1992"/>
      <c r="E289" s="1992"/>
      <c r="F289" s="1992"/>
      <c r="G289" s="1992"/>
      <c r="H289" s="1992"/>
      <c r="I289" s="1992"/>
      <c r="J289" s="1769"/>
      <c r="K289" s="1769"/>
    </row>
    <row r="290" spans="1:11">
      <c r="A290" s="1769"/>
      <c r="B290" s="1769"/>
      <c r="C290" s="2238"/>
      <c r="D290" s="2238"/>
      <c r="E290" s="2243"/>
      <c r="F290" s="2243"/>
      <c r="G290" s="2243"/>
      <c r="H290" s="2249"/>
      <c r="I290" s="2255"/>
      <c r="J290" s="2243"/>
      <c r="K290" s="2243"/>
    </row>
    <row r="291" spans="1:11">
      <c r="A291" s="1994"/>
      <c r="B291" s="1995"/>
      <c r="C291" s="818"/>
      <c r="D291" s="818"/>
      <c r="E291" s="818" t="s">
        <v>1189</v>
      </c>
      <c r="F291" s="818"/>
      <c r="G291" s="818"/>
      <c r="H291" s="818"/>
      <c r="I291" s="818"/>
      <c r="J291" s="818"/>
      <c r="K291" s="818" t="s">
        <v>276</v>
      </c>
    </row>
    <row r="292" spans="1:11">
      <c r="A292" s="1996" t="s">
        <v>1190</v>
      </c>
      <c r="B292" s="2236"/>
      <c r="C292" s="818"/>
      <c r="D292" s="818"/>
      <c r="E292" s="2235" t="s">
        <v>1191</v>
      </c>
      <c r="F292" s="818"/>
      <c r="G292" s="2235" t="s">
        <v>1192</v>
      </c>
      <c r="H292" s="818"/>
      <c r="I292" s="1998" t="s">
        <v>1193</v>
      </c>
      <c r="J292" s="1999"/>
      <c r="K292" s="2235" t="s">
        <v>530</v>
      </c>
    </row>
    <row r="293" spans="1:11">
      <c r="A293" s="1769"/>
      <c r="B293" s="1769"/>
      <c r="C293" s="2238"/>
      <c r="D293" s="2238"/>
      <c r="E293" s="2243"/>
      <c r="F293" s="2243"/>
      <c r="G293" s="2243"/>
      <c r="H293" s="2249"/>
      <c r="I293" s="2255"/>
      <c r="J293" s="2243"/>
      <c r="K293" s="2243"/>
    </row>
    <row r="294" spans="1:11">
      <c r="A294" s="1769" t="s">
        <v>1251</v>
      </c>
      <c r="B294" s="1769"/>
      <c r="C294" s="2238"/>
      <c r="D294" s="2238"/>
      <c r="E294" s="2244"/>
      <c r="F294" s="2237"/>
      <c r="G294" s="2243"/>
      <c r="H294" s="2237"/>
      <c r="I294" s="2245"/>
      <c r="J294" s="2237"/>
      <c r="K294" s="2243"/>
    </row>
    <row r="295" spans="1:11">
      <c r="A295" s="2250"/>
      <c r="B295" s="1769" t="s">
        <v>1252</v>
      </c>
      <c r="C295" s="2238" t="s">
        <v>277</v>
      </c>
      <c r="D295" s="2239"/>
      <c r="E295" s="2251">
        <v>1100</v>
      </c>
      <c r="F295" s="2251"/>
      <c r="G295" s="2251">
        <v>3900</v>
      </c>
      <c r="H295" s="2251"/>
      <c r="I295" s="2251">
        <v>3700000</v>
      </c>
      <c r="J295" s="2251"/>
      <c r="K295" s="2243">
        <f t="shared" ref="K295:K327" si="42">ROUND(SUM(E295:I295),0)</f>
        <v>3705000</v>
      </c>
    </row>
    <row r="296" spans="1:11">
      <c r="A296" s="2250"/>
      <c r="B296" s="1769" t="s">
        <v>2412</v>
      </c>
      <c r="C296" s="2238" t="s">
        <v>277</v>
      </c>
      <c r="D296" s="1769"/>
      <c r="E296" s="2244">
        <v>7000</v>
      </c>
      <c r="F296" s="2243"/>
      <c r="G296" s="2244">
        <v>0</v>
      </c>
      <c r="H296" s="2243"/>
      <c r="I296" s="2244">
        <v>21000</v>
      </c>
      <c r="J296" s="2243"/>
      <c r="K296" s="2243">
        <f t="shared" si="42"/>
        <v>28000</v>
      </c>
    </row>
    <row r="297" spans="1:11">
      <c r="A297" s="2250"/>
      <c r="B297" s="1769" t="s">
        <v>1253</v>
      </c>
      <c r="C297" s="2238" t="s">
        <v>277</v>
      </c>
      <c r="D297" s="2238"/>
      <c r="E297" s="2244">
        <v>15000</v>
      </c>
      <c r="F297" s="2243"/>
      <c r="G297" s="2244">
        <v>85000</v>
      </c>
      <c r="H297" s="2243"/>
      <c r="I297" s="2244">
        <v>0</v>
      </c>
      <c r="J297" s="2243"/>
      <c r="K297" s="2243">
        <f t="shared" si="42"/>
        <v>100000</v>
      </c>
    </row>
    <row r="298" spans="1:11">
      <c r="A298" s="2250"/>
      <c r="B298" s="1769" t="s">
        <v>1254</v>
      </c>
      <c r="C298" s="2238" t="s">
        <v>277</v>
      </c>
      <c r="D298" s="2238"/>
      <c r="E298" s="2244">
        <v>1350</v>
      </c>
      <c r="F298" s="2243"/>
      <c r="G298" s="2244">
        <v>35000</v>
      </c>
      <c r="H298" s="2243"/>
      <c r="I298" s="2244">
        <v>0</v>
      </c>
      <c r="J298" s="2243"/>
      <c r="K298" s="2243">
        <f t="shared" si="42"/>
        <v>36350</v>
      </c>
    </row>
    <row r="299" spans="1:11">
      <c r="A299" s="2250"/>
      <c r="B299" s="1769" t="s">
        <v>1255</v>
      </c>
      <c r="C299" s="2238" t="s">
        <v>277</v>
      </c>
      <c r="D299" s="2238"/>
      <c r="E299" s="2244">
        <v>1000</v>
      </c>
      <c r="F299" s="2243"/>
      <c r="G299" s="2244">
        <v>0</v>
      </c>
      <c r="H299" s="2243"/>
      <c r="I299" s="2244">
        <v>27500</v>
      </c>
      <c r="J299" s="2243"/>
      <c r="K299" s="2243">
        <f t="shared" si="42"/>
        <v>28500</v>
      </c>
    </row>
    <row r="300" spans="1:11">
      <c r="A300" s="2250"/>
      <c r="B300" s="1769" t="s">
        <v>1256</v>
      </c>
      <c r="C300" s="2238" t="s">
        <v>277</v>
      </c>
      <c r="D300" s="2238"/>
      <c r="E300" s="2244">
        <v>9800</v>
      </c>
      <c r="F300" s="2243"/>
      <c r="G300" s="2244">
        <v>37200</v>
      </c>
      <c r="H300" s="2243"/>
      <c r="I300" s="2244">
        <v>0</v>
      </c>
      <c r="J300" s="2243"/>
      <c r="K300" s="2243">
        <f t="shared" si="42"/>
        <v>47000</v>
      </c>
    </row>
    <row r="301" spans="1:11">
      <c r="A301" s="2250"/>
      <c r="B301" s="1769" t="s">
        <v>1257</v>
      </c>
      <c r="C301" s="2238" t="s">
        <v>277</v>
      </c>
      <c r="D301" s="2238"/>
      <c r="E301" s="2244">
        <v>30000</v>
      </c>
      <c r="F301" s="2243"/>
      <c r="G301" s="2244">
        <v>33000</v>
      </c>
      <c r="H301" s="2243"/>
      <c r="I301" s="2244">
        <v>3500</v>
      </c>
      <c r="J301" s="2243"/>
      <c r="K301" s="2243">
        <f t="shared" si="42"/>
        <v>66500</v>
      </c>
    </row>
    <row r="302" spans="1:11">
      <c r="A302" s="2250"/>
      <c r="B302" s="1769" t="s">
        <v>1258</v>
      </c>
      <c r="C302" s="2238" t="s">
        <v>277</v>
      </c>
      <c r="D302" s="1769"/>
      <c r="E302" s="2244">
        <v>14000</v>
      </c>
      <c r="F302" s="2243"/>
      <c r="G302" s="2244">
        <v>3000</v>
      </c>
      <c r="H302" s="2243"/>
      <c r="I302" s="2244">
        <v>0</v>
      </c>
      <c r="J302" s="2243"/>
      <c r="K302" s="2243">
        <f t="shared" si="42"/>
        <v>17000</v>
      </c>
    </row>
    <row r="303" spans="1:11">
      <c r="A303" s="2250"/>
      <c r="B303" s="1769" t="s">
        <v>1259</v>
      </c>
      <c r="C303" s="2238" t="s">
        <v>277</v>
      </c>
      <c r="D303" s="2238"/>
      <c r="E303" s="2244">
        <v>30330</v>
      </c>
      <c r="F303" s="2243"/>
      <c r="G303" s="2244">
        <v>11950</v>
      </c>
      <c r="H303" s="2243"/>
      <c r="I303" s="2244">
        <v>23000</v>
      </c>
      <c r="J303" s="2243"/>
      <c r="K303" s="2243">
        <f t="shared" si="42"/>
        <v>65280</v>
      </c>
    </row>
    <row r="304" spans="1:11">
      <c r="A304" s="2250"/>
      <c r="B304" s="1769" t="s">
        <v>1260</v>
      </c>
      <c r="C304" s="2238" t="s">
        <v>277</v>
      </c>
      <c r="D304" s="2238"/>
      <c r="E304" s="2244">
        <v>6000</v>
      </c>
      <c r="F304" s="2243"/>
      <c r="G304" s="2244">
        <v>30000</v>
      </c>
      <c r="H304" s="2243"/>
      <c r="I304" s="2244">
        <v>10000</v>
      </c>
      <c r="J304" s="2243"/>
      <c r="K304" s="2243">
        <f t="shared" si="42"/>
        <v>46000</v>
      </c>
    </row>
    <row r="305" spans="1:11">
      <c r="A305" s="2250"/>
      <c r="B305" s="1769" t="s">
        <v>1261</v>
      </c>
      <c r="C305" s="2238" t="s">
        <v>277</v>
      </c>
      <c r="D305" s="2238"/>
      <c r="E305" s="2244">
        <v>4500</v>
      </c>
      <c r="F305" s="2243"/>
      <c r="G305" s="2244">
        <v>6000</v>
      </c>
      <c r="H305" s="2243"/>
      <c r="I305" s="2244">
        <v>17000</v>
      </c>
      <c r="J305" s="2243"/>
      <c r="K305" s="2243">
        <f t="shared" si="42"/>
        <v>27500</v>
      </c>
    </row>
    <row r="306" spans="1:11">
      <c r="A306" s="2250"/>
      <c r="B306" s="1769" t="s">
        <v>1262</v>
      </c>
      <c r="C306" s="2238" t="s">
        <v>277</v>
      </c>
      <c r="D306" s="2238"/>
      <c r="E306" s="2244">
        <v>7000</v>
      </c>
      <c r="F306" s="2243"/>
      <c r="G306" s="2243">
        <v>25000</v>
      </c>
      <c r="H306" s="2243"/>
      <c r="I306" s="2243">
        <v>16000</v>
      </c>
      <c r="J306" s="2243"/>
      <c r="K306" s="2243">
        <f t="shared" si="42"/>
        <v>48000</v>
      </c>
    </row>
    <row r="307" spans="1:11">
      <c r="A307" s="2250"/>
      <c r="B307" s="1769" t="s">
        <v>1263</v>
      </c>
      <c r="C307" s="2238" t="s">
        <v>277</v>
      </c>
      <c r="D307" s="2238"/>
      <c r="E307" s="2244">
        <v>500</v>
      </c>
      <c r="F307" s="2247"/>
      <c r="G307" s="2244">
        <v>500</v>
      </c>
      <c r="H307" s="2247"/>
      <c r="I307" s="2244">
        <v>0</v>
      </c>
      <c r="J307" s="2247"/>
      <c r="K307" s="2243">
        <f t="shared" si="42"/>
        <v>1000</v>
      </c>
    </row>
    <row r="308" spans="1:11">
      <c r="A308" s="2250"/>
      <c r="B308" s="1769" t="s">
        <v>1264</v>
      </c>
      <c r="C308" s="2238" t="s">
        <v>277</v>
      </c>
      <c r="D308" s="2238"/>
      <c r="E308" s="2244">
        <v>8000</v>
      </c>
      <c r="F308" s="2243"/>
      <c r="G308" s="2244">
        <v>20000</v>
      </c>
      <c r="H308" s="2243"/>
      <c r="I308" s="2244">
        <v>15000</v>
      </c>
      <c r="J308" s="2243"/>
      <c r="K308" s="2243">
        <f t="shared" si="42"/>
        <v>43000</v>
      </c>
    </row>
    <row r="309" spans="1:11">
      <c r="A309" s="2250"/>
      <c r="B309" s="1769" t="s">
        <v>1265</v>
      </c>
      <c r="C309" s="2238" t="s">
        <v>277</v>
      </c>
      <c r="D309" s="2238"/>
      <c r="E309" s="2244">
        <v>10000</v>
      </c>
      <c r="F309" s="2243"/>
      <c r="G309" s="2244">
        <v>10000</v>
      </c>
      <c r="H309" s="2243"/>
      <c r="I309" s="2244">
        <v>0</v>
      </c>
      <c r="J309" s="2243"/>
      <c r="K309" s="2243">
        <f t="shared" si="42"/>
        <v>20000</v>
      </c>
    </row>
    <row r="310" spans="1:11">
      <c r="A310" s="2250"/>
      <c r="B310" s="1769" t="s">
        <v>1266</v>
      </c>
      <c r="C310" s="2238" t="s">
        <v>277</v>
      </c>
      <c r="D310" s="2238"/>
      <c r="E310" s="2244">
        <v>4000</v>
      </c>
      <c r="F310" s="2243"/>
      <c r="G310" s="2244">
        <v>0</v>
      </c>
      <c r="H310" s="2243"/>
      <c r="I310" s="2244">
        <v>0</v>
      </c>
      <c r="J310" s="2243"/>
      <c r="K310" s="2243">
        <f t="shared" si="42"/>
        <v>4000</v>
      </c>
    </row>
    <row r="311" spans="1:11">
      <c r="A311" s="2250"/>
      <c r="B311" s="1769" t="s">
        <v>1267</v>
      </c>
      <c r="C311" s="2238" t="s">
        <v>277</v>
      </c>
      <c r="D311" s="2238"/>
      <c r="E311" s="2244">
        <v>3000</v>
      </c>
      <c r="F311" s="2243"/>
      <c r="G311" s="2244">
        <v>30000</v>
      </c>
      <c r="H311" s="2243"/>
      <c r="I311" s="2244">
        <v>0</v>
      </c>
      <c r="J311" s="2243"/>
      <c r="K311" s="2243">
        <f t="shared" si="42"/>
        <v>33000</v>
      </c>
    </row>
    <row r="312" spans="1:11">
      <c r="A312" s="2250"/>
      <c r="B312" s="1769" t="s">
        <v>1268</v>
      </c>
      <c r="C312" s="2238" t="s">
        <v>277</v>
      </c>
      <c r="D312" s="2238"/>
      <c r="E312" s="2244">
        <v>10000</v>
      </c>
      <c r="F312" s="2243"/>
      <c r="G312" s="2244">
        <v>10000</v>
      </c>
      <c r="H312" s="2243"/>
      <c r="I312" s="2244">
        <v>10000</v>
      </c>
      <c r="J312" s="2243"/>
      <c r="K312" s="2243">
        <f t="shared" si="42"/>
        <v>30000</v>
      </c>
    </row>
    <row r="313" spans="1:11">
      <c r="A313" s="2250"/>
      <c r="B313" s="1769" t="s">
        <v>1269</v>
      </c>
      <c r="C313" s="2238" t="s">
        <v>277</v>
      </c>
      <c r="D313" s="2237"/>
      <c r="E313" s="2244">
        <v>7000</v>
      </c>
      <c r="F313" s="1768"/>
      <c r="G313" s="2244">
        <v>15000</v>
      </c>
      <c r="H313" s="1768"/>
      <c r="I313" s="2244">
        <v>0</v>
      </c>
      <c r="J313" s="1768"/>
      <c r="K313" s="2243">
        <f t="shared" si="42"/>
        <v>22000</v>
      </c>
    </row>
    <row r="314" spans="1:11">
      <c r="A314" s="2250"/>
      <c r="B314" s="1769" t="s">
        <v>1270</v>
      </c>
      <c r="C314" s="2238" t="s">
        <v>277</v>
      </c>
      <c r="D314" s="2238"/>
      <c r="E314" s="2244">
        <v>19500</v>
      </c>
      <c r="F314" s="2243"/>
      <c r="G314" s="2244">
        <v>0</v>
      </c>
      <c r="H314" s="2243"/>
      <c r="I314" s="2244">
        <v>7500</v>
      </c>
      <c r="J314" s="2243"/>
      <c r="K314" s="2243">
        <f t="shared" si="42"/>
        <v>27000</v>
      </c>
    </row>
    <row r="315" spans="1:11">
      <c r="A315" s="2250"/>
      <c r="B315" s="1769" t="s">
        <v>1271</v>
      </c>
      <c r="C315" s="2238" t="s">
        <v>277</v>
      </c>
      <c r="D315" s="1769"/>
      <c r="E315" s="2244">
        <v>60000</v>
      </c>
      <c r="F315" s="2243"/>
      <c r="G315" s="2244">
        <v>0</v>
      </c>
      <c r="H315" s="2243"/>
      <c r="I315" s="2244">
        <v>0</v>
      </c>
      <c r="J315" s="2243"/>
      <c r="K315" s="2243">
        <f t="shared" si="42"/>
        <v>60000</v>
      </c>
    </row>
    <row r="316" spans="1:11">
      <c r="A316" s="2250"/>
      <c r="B316" s="1769" t="s">
        <v>1272</v>
      </c>
      <c r="C316" s="2238" t="s">
        <v>277</v>
      </c>
      <c r="D316" s="1769"/>
      <c r="E316" s="2244">
        <v>3000</v>
      </c>
      <c r="F316" s="2243"/>
      <c r="G316" s="2244">
        <v>5000</v>
      </c>
      <c r="H316" s="2243"/>
      <c r="I316" s="2244">
        <v>0</v>
      </c>
      <c r="J316" s="2243"/>
      <c r="K316" s="2243">
        <f t="shared" si="42"/>
        <v>8000</v>
      </c>
    </row>
    <row r="317" spans="1:11">
      <c r="A317" s="2250"/>
      <c r="B317" s="1769" t="s">
        <v>1273</v>
      </c>
      <c r="C317" s="2238" t="s">
        <v>277</v>
      </c>
      <c r="D317" s="2238"/>
      <c r="E317" s="2244">
        <v>10500</v>
      </c>
      <c r="F317" s="2243"/>
      <c r="G317" s="2244">
        <v>0</v>
      </c>
      <c r="H317" s="2243"/>
      <c r="I317" s="2245">
        <v>100000</v>
      </c>
      <c r="J317" s="2243"/>
      <c r="K317" s="2243">
        <f t="shared" si="42"/>
        <v>110500</v>
      </c>
    </row>
    <row r="318" spans="1:11">
      <c r="A318" s="2250"/>
      <c r="B318" s="1769" t="s">
        <v>1274</v>
      </c>
      <c r="C318" s="2238" t="s">
        <v>277</v>
      </c>
      <c r="D318" s="2239"/>
      <c r="E318" s="2244">
        <v>30115</v>
      </c>
      <c r="F318" s="2248"/>
      <c r="G318" s="2244">
        <v>0</v>
      </c>
      <c r="H318" s="2248"/>
      <c r="I318" s="2244">
        <v>0</v>
      </c>
      <c r="J318" s="2248"/>
      <c r="K318" s="2243">
        <f t="shared" si="42"/>
        <v>30115</v>
      </c>
    </row>
    <row r="319" spans="1:11">
      <c r="A319" s="2250"/>
      <c r="B319" s="1769" t="s">
        <v>1275</v>
      </c>
      <c r="C319" s="2238" t="s">
        <v>277</v>
      </c>
      <c r="D319" s="2238"/>
      <c r="E319" s="2244">
        <v>500</v>
      </c>
      <c r="F319" s="2243"/>
      <c r="G319" s="2244">
        <v>65000</v>
      </c>
      <c r="H319" s="2243"/>
      <c r="I319" s="2244">
        <v>25000</v>
      </c>
      <c r="J319" s="2243"/>
      <c r="K319" s="2243">
        <f t="shared" si="42"/>
        <v>90500</v>
      </c>
    </row>
    <row r="320" spans="1:11">
      <c r="A320" s="2250"/>
      <c r="B320" s="1769" t="s">
        <v>2413</v>
      </c>
      <c r="C320" s="2238" t="s">
        <v>277</v>
      </c>
      <c r="D320" s="2238"/>
      <c r="E320" s="2244">
        <v>82500</v>
      </c>
      <c r="F320" s="2243"/>
      <c r="G320" s="2244">
        <v>5000</v>
      </c>
      <c r="H320" s="2243"/>
      <c r="I320" s="2244">
        <v>65000</v>
      </c>
      <c r="J320" s="2243"/>
      <c r="K320" s="2243">
        <f t="shared" si="42"/>
        <v>152500</v>
      </c>
    </row>
    <row r="321" spans="1:12">
      <c r="A321" s="2250"/>
      <c r="B321" s="1769" t="s">
        <v>1276</v>
      </c>
      <c r="C321" s="2238" t="s">
        <v>277</v>
      </c>
      <c r="D321" s="2238"/>
      <c r="E321" s="2244">
        <v>74260</v>
      </c>
      <c r="F321" s="2243"/>
      <c r="G321" s="2244">
        <v>4740</v>
      </c>
      <c r="H321" s="2243"/>
      <c r="I321" s="2244">
        <v>0</v>
      </c>
      <c r="J321" s="2243"/>
      <c r="K321" s="2243">
        <f t="shared" si="42"/>
        <v>79000</v>
      </c>
    </row>
    <row r="322" spans="1:12">
      <c r="A322" s="2250"/>
      <c r="B322" s="1769"/>
      <c r="C322" s="2238" t="s">
        <v>277</v>
      </c>
      <c r="D322" s="2238"/>
      <c r="E322" s="2244"/>
      <c r="F322" s="2243"/>
      <c r="G322" s="2244"/>
      <c r="H322" s="2243"/>
      <c r="I322" s="2255"/>
      <c r="J322" s="2243"/>
      <c r="K322" s="2247"/>
    </row>
    <row r="323" spans="1:12">
      <c r="A323" s="1769" t="s">
        <v>2414</v>
      </c>
      <c r="B323" s="1769"/>
      <c r="C323" s="2238" t="s">
        <v>277</v>
      </c>
      <c r="D323" s="2237"/>
      <c r="E323" s="2244">
        <v>15000</v>
      </c>
      <c r="F323" s="1768"/>
      <c r="G323" s="2244">
        <v>0</v>
      </c>
      <c r="H323" s="1768"/>
      <c r="I323" s="2243">
        <v>30000</v>
      </c>
      <c r="J323" s="1768"/>
      <c r="K323" s="2243">
        <f t="shared" si="42"/>
        <v>45000</v>
      </c>
    </row>
    <row r="324" spans="1:12">
      <c r="A324" s="1769"/>
      <c r="B324" s="1769"/>
      <c r="C324" s="2238" t="s">
        <v>277</v>
      </c>
      <c r="D324" s="2237"/>
      <c r="E324" s="2244"/>
      <c r="F324" s="1768"/>
      <c r="G324" s="2244"/>
      <c r="H324" s="1768"/>
      <c r="I324" s="2243"/>
      <c r="J324" s="1768"/>
      <c r="K324" s="2243"/>
    </row>
    <row r="325" spans="1:12">
      <c r="A325" s="1769" t="s">
        <v>1277</v>
      </c>
      <c r="B325" s="1769"/>
      <c r="C325" s="2238" t="s">
        <v>277</v>
      </c>
      <c r="D325" s="2239"/>
      <c r="E325" s="2244">
        <v>0</v>
      </c>
      <c r="F325" s="2248"/>
      <c r="G325" s="2243">
        <v>10000</v>
      </c>
      <c r="H325" s="2248"/>
      <c r="I325" s="2244">
        <v>0</v>
      </c>
      <c r="J325" s="2248"/>
      <c r="K325" s="2243">
        <f t="shared" si="42"/>
        <v>10000</v>
      </c>
    </row>
    <row r="326" spans="1:12">
      <c r="A326" s="1769"/>
      <c r="B326" s="1769"/>
      <c r="C326" s="2238" t="s">
        <v>277</v>
      </c>
      <c r="D326" s="2239"/>
      <c r="E326" s="2244"/>
      <c r="F326" s="2248"/>
      <c r="G326" s="2243"/>
      <c r="H326" s="2248"/>
      <c r="I326" s="2245"/>
      <c r="J326" s="2248"/>
      <c r="K326" s="2243"/>
    </row>
    <row r="327" spans="1:12">
      <c r="A327" s="1769" t="s">
        <v>1278</v>
      </c>
      <c r="B327" s="1769"/>
      <c r="C327" s="2238" t="s">
        <v>277</v>
      </c>
      <c r="D327" s="2238"/>
      <c r="E327" s="2244">
        <v>0</v>
      </c>
      <c r="F327" s="2243"/>
      <c r="G327" s="2243">
        <v>400000</v>
      </c>
      <c r="H327" s="2243"/>
      <c r="I327" s="2244">
        <v>0</v>
      </c>
      <c r="J327" s="2243"/>
      <c r="K327" s="2243">
        <f t="shared" si="42"/>
        <v>400000</v>
      </c>
    </row>
    <row r="328" spans="1:12">
      <c r="A328" s="1769"/>
      <c r="B328" s="1769"/>
      <c r="C328" s="2238" t="s">
        <v>277</v>
      </c>
      <c r="D328" s="2238"/>
      <c r="E328" s="2243"/>
      <c r="F328" s="2243"/>
      <c r="G328" s="2243"/>
      <c r="H328" s="2243"/>
      <c r="I328" s="2244"/>
      <c r="J328" s="2243"/>
      <c r="K328" s="2243"/>
    </row>
    <row r="329" spans="1:12">
      <c r="A329" s="1769" t="s">
        <v>1279</v>
      </c>
      <c r="B329" s="1769"/>
      <c r="C329" s="2238" t="s">
        <v>277</v>
      </c>
      <c r="D329" s="2238"/>
      <c r="E329" s="2244"/>
      <c r="F329" s="2243"/>
      <c r="G329" s="2243"/>
      <c r="H329" s="2243"/>
      <c r="I329" s="2245"/>
      <c r="J329" s="2243"/>
      <c r="K329" s="2243"/>
    </row>
    <row r="330" spans="1:12">
      <c r="A330" s="2250"/>
      <c r="B330" s="1769" t="s">
        <v>1280</v>
      </c>
      <c r="C330" s="2238" t="s">
        <v>277</v>
      </c>
      <c r="D330" s="2238"/>
      <c r="E330" s="2243">
        <v>500</v>
      </c>
      <c r="F330" s="2243"/>
      <c r="G330" s="2244">
        <v>0</v>
      </c>
      <c r="H330" s="2243"/>
      <c r="I330" s="2244">
        <v>0</v>
      </c>
      <c r="J330" s="2243"/>
      <c r="K330" s="2243">
        <f t="shared" ref="K330:K335" si="43">ROUND(SUM(E330:I330),0)</f>
        <v>500</v>
      </c>
    </row>
    <row r="331" spans="1:12">
      <c r="A331" s="2250"/>
      <c r="B331" s="1769" t="s">
        <v>1281</v>
      </c>
      <c r="C331" s="2238" t="s">
        <v>277</v>
      </c>
      <c r="D331" s="2238"/>
      <c r="E331" s="2243">
        <v>300</v>
      </c>
      <c r="F331" s="2243"/>
      <c r="G331" s="2244">
        <v>0</v>
      </c>
      <c r="H331" s="2243"/>
      <c r="I331" s="2244">
        <v>0</v>
      </c>
      <c r="J331" s="2243"/>
      <c r="K331" s="2243">
        <f t="shared" si="43"/>
        <v>300</v>
      </c>
    </row>
    <row r="332" spans="1:12">
      <c r="A332" s="2250"/>
      <c r="B332" s="1769" t="s">
        <v>1282</v>
      </c>
      <c r="C332" s="2238" t="s">
        <v>277</v>
      </c>
      <c r="D332" s="2237"/>
      <c r="E332" s="2243">
        <v>750</v>
      </c>
      <c r="F332" s="1768"/>
      <c r="G332" s="2244">
        <v>0</v>
      </c>
      <c r="H332" s="1768"/>
      <c r="I332" s="2244">
        <v>0</v>
      </c>
      <c r="J332" s="1768"/>
      <c r="K332" s="2243">
        <f t="shared" si="43"/>
        <v>750</v>
      </c>
    </row>
    <row r="333" spans="1:12">
      <c r="A333" s="2250"/>
      <c r="B333" s="1769" t="s">
        <v>1283</v>
      </c>
      <c r="C333" s="2238" t="s">
        <v>277</v>
      </c>
      <c r="D333" s="2238"/>
      <c r="E333" s="2243">
        <v>500</v>
      </c>
      <c r="F333" s="2243"/>
      <c r="G333" s="2244">
        <v>0</v>
      </c>
      <c r="H333" s="2243"/>
      <c r="I333" s="2244">
        <v>0</v>
      </c>
      <c r="J333" s="2243"/>
      <c r="K333" s="2243">
        <f t="shared" si="43"/>
        <v>500</v>
      </c>
    </row>
    <row r="334" spans="1:12">
      <c r="A334" s="2250"/>
      <c r="B334" s="1769" t="s">
        <v>1284</v>
      </c>
      <c r="C334" s="2238" t="s">
        <v>277</v>
      </c>
      <c r="D334" s="2238"/>
      <c r="E334" s="2243">
        <v>2500</v>
      </c>
      <c r="F334" s="2243"/>
      <c r="G334" s="2244">
        <v>0</v>
      </c>
      <c r="H334" s="2243"/>
      <c r="I334" s="2244">
        <v>0</v>
      </c>
      <c r="J334" s="2243"/>
      <c r="K334" s="2243">
        <f t="shared" si="43"/>
        <v>2500</v>
      </c>
      <c r="L334" s="1268"/>
    </row>
    <row r="335" spans="1:12">
      <c r="A335" s="2250"/>
      <c r="B335" s="1769" t="s">
        <v>1285</v>
      </c>
      <c r="C335" s="2238" t="s">
        <v>277</v>
      </c>
      <c r="D335" s="1769"/>
      <c r="E335" s="2243">
        <v>50</v>
      </c>
      <c r="F335" s="2243"/>
      <c r="G335" s="2244">
        <v>0</v>
      </c>
      <c r="H335" s="2243"/>
      <c r="I335" s="2244">
        <v>0</v>
      </c>
      <c r="J335" s="2243"/>
      <c r="K335" s="2243">
        <f t="shared" si="43"/>
        <v>50</v>
      </c>
      <c r="L335" s="1268"/>
    </row>
    <row r="336" spans="1:12">
      <c r="A336" s="820" t="s">
        <v>0</v>
      </c>
      <c r="B336" s="1769"/>
      <c r="C336" s="1769"/>
      <c r="D336" s="1769"/>
      <c r="E336" s="1769"/>
      <c r="F336" s="1769"/>
      <c r="G336" s="1769"/>
      <c r="H336" s="1769"/>
      <c r="I336" s="1769"/>
      <c r="J336" s="1769"/>
      <c r="K336" s="1567" t="s">
        <v>2451</v>
      </c>
    </row>
    <row r="337" spans="1:11">
      <c r="A337" s="1991" t="s">
        <v>1187</v>
      </c>
      <c r="B337" s="1769"/>
      <c r="C337" s="851"/>
      <c r="D337" s="851"/>
      <c r="E337" s="851"/>
      <c r="F337" s="851"/>
      <c r="G337" s="851"/>
      <c r="H337" s="851"/>
      <c r="I337" s="851"/>
      <c r="J337" s="1769"/>
      <c r="K337" s="1567" t="s">
        <v>131</v>
      </c>
    </row>
    <row r="338" spans="1:11">
      <c r="A338" s="1992" t="s">
        <v>2645</v>
      </c>
      <c r="B338" s="1769"/>
      <c r="C338" s="1992"/>
      <c r="D338" s="1992"/>
      <c r="E338" s="1992"/>
      <c r="F338" s="1992"/>
      <c r="G338" s="1992"/>
      <c r="H338" s="1992"/>
      <c r="I338" s="1992"/>
      <c r="J338" s="1769"/>
      <c r="K338" s="1769"/>
    </row>
    <row r="339" spans="1:11">
      <c r="A339" s="1993"/>
      <c r="B339" s="818"/>
      <c r="C339" s="818"/>
      <c r="D339" s="818"/>
      <c r="E339" s="818"/>
      <c r="F339" s="818"/>
      <c r="G339" s="818"/>
      <c r="H339" s="818"/>
      <c r="I339" s="818"/>
      <c r="J339" s="818"/>
      <c r="K339" s="818"/>
    </row>
    <row r="340" spans="1:11">
      <c r="A340" s="1994"/>
      <c r="B340" s="1995"/>
      <c r="C340" s="818"/>
      <c r="D340" s="818"/>
      <c r="E340" s="818" t="s">
        <v>1189</v>
      </c>
      <c r="F340" s="818"/>
      <c r="G340" s="818"/>
      <c r="H340" s="818"/>
      <c r="I340" s="818"/>
      <c r="J340" s="818"/>
      <c r="K340" s="818" t="s">
        <v>276</v>
      </c>
    </row>
    <row r="341" spans="1:11">
      <c r="A341" s="1996" t="s">
        <v>1190</v>
      </c>
      <c r="B341" s="1997"/>
      <c r="C341" s="818"/>
      <c r="D341" s="818"/>
      <c r="E341" s="2235" t="s">
        <v>1191</v>
      </c>
      <c r="F341" s="818"/>
      <c r="G341" s="2235" t="s">
        <v>1192</v>
      </c>
      <c r="H341" s="818"/>
      <c r="I341" s="1998" t="s">
        <v>1193</v>
      </c>
      <c r="J341" s="1999"/>
      <c r="K341" s="2235" t="s">
        <v>530</v>
      </c>
    </row>
    <row r="342" spans="1:11">
      <c r="A342" s="2250"/>
      <c r="B342" s="1769"/>
      <c r="C342" s="2238"/>
      <c r="D342" s="1769"/>
      <c r="E342" s="2243"/>
      <c r="F342" s="2243"/>
      <c r="G342" s="2243"/>
      <c r="H342" s="2249"/>
      <c r="I342" s="2245"/>
      <c r="J342" s="2243"/>
      <c r="K342" s="2256"/>
    </row>
    <row r="343" spans="1:11">
      <c r="A343" s="2250"/>
      <c r="B343" s="1769" t="s">
        <v>1286</v>
      </c>
      <c r="C343" s="2238" t="s">
        <v>277</v>
      </c>
      <c r="D343" s="2239"/>
      <c r="E343" s="2251">
        <v>5000</v>
      </c>
      <c r="F343" s="2251"/>
      <c r="G343" s="2251">
        <v>0</v>
      </c>
      <c r="H343" s="2251"/>
      <c r="I343" s="2251">
        <v>0</v>
      </c>
      <c r="J343" s="2251"/>
      <c r="K343" s="2243">
        <f t="shared" ref="K343:K359" si="44">ROUND(SUM(E343:I343),0)</f>
        <v>5000</v>
      </c>
    </row>
    <row r="344" spans="1:11">
      <c r="A344" s="2250"/>
      <c r="B344" s="1769" t="s">
        <v>1287</v>
      </c>
      <c r="C344" s="2238" t="s">
        <v>277</v>
      </c>
      <c r="D344" s="2237"/>
      <c r="E344" s="2243">
        <v>880</v>
      </c>
      <c r="F344" s="1768"/>
      <c r="G344" s="2244">
        <v>0</v>
      </c>
      <c r="H344" s="2243"/>
      <c r="I344" s="2244">
        <v>0</v>
      </c>
      <c r="J344" s="2243"/>
      <c r="K344" s="2243">
        <f t="shared" si="44"/>
        <v>880</v>
      </c>
    </row>
    <row r="345" spans="1:11">
      <c r="A345" s="2250"/>
      <c r="B345" s="1769" t="s">
        <v>2646</v>
      </c>
      <c r="C345" s="2238" t="s">
        <v>277</v>
      </c>
      <c r="D345" s="2237"/>
      <c r="E345" s="2243">
        <v>800</v>
      </c>
      <c r="F345" s="1768"/>
      <c r="G345" s="2244">
        <v>0</v>
      </c>
      <c r="H345" s="2243"/>
      <c r="I345" s="2244">
        <v>0</v>
      </c>
      <c r="J345" s="2243"/>
      <c r="K345" s="2243">
        <f t="shared" si="44"/>
        <v>800</v>
      </c>
    </row>
    <row r="346" spans="1:11">
      <c r="A346" s="2250"/>
      <c r="B346" s="1769" t="s">
        <v>1289</v>
      </c>
      <c r="C346" s="2238" t="s">
        <v>277</v>
      </c>
      <c r="D346" s="2238"/>
      <c r="E346" s="2243">
        <v>425</v>
      </c>
      <c r="F346" s="2243"/>
      <c r="G346" s="2244">
        <v>0</v>
      </c>
      <c r="H346" s="2243"/>
      <c r="I346" s="2244">
        <v>0</v>
      </c>
      <c r="J346" s="2243"/>
      <c r="K346" s="2243">
        <f t="shared" si="44"/>
        <v>425</v>
      </c>
    </row>
    <row r="347" spans="1:11">
      <c r="A347" s="2250"/>
      <c r="B347" s="1769" t="s">
        <v>1290</v>
      </c>
      <c r="C347" s="2238" t="s">
        <v>277</v>
      </c>
      <c r="D347" s="2238"/>
      <c r="E347" s="2243">
        <v>605</v>
      </c>
      <c r="F347" s="2243"/>
      <c r="G347" s="2244">
        <v>0</v>
      </c>
      <c r="H347" s="2243"/>
      <c r="I347" s="2244">
        <v>0</v>
      </c>
      <c r="J347" s="2243"/>
      <c r="K347" s="2243">
        <f t="shared" si="44"/>
        <v>605</v>
      </c>
    </row>
    <row r="348" spans="1:11">
      <c r="A348" s="2250"/>
      <c r="B348" s="1769" t="s">
        <v>1291</v>
      </c>
      <c r="C348" s="2238" t="s">
        <v>277</v>
      </c>
      <c r="D348" s="2238"/>
      <c r="E348" s="2243">
        <v>800</v>
      </c>
      <c r="F348" s="2243"/>
      <c r="G348" s="2244">
        <v>0</v>
      </c>
      <c r="H348" s="2243"/>
      <c r="I348" s="2244">
        <v>0</v>
      </c>
      <c r="J348" s="2243"/>
      <c r="K348" s="2243">
        <f t="shared" si="44"/>
        <v>800</v>
      </c>
    </row>
    <row r="349" spans="1:11">
      <c r="A349" s="2250"/>
      <c r="B349" s="1769" t="s">
        <v>1292</v>
      </c>
      <c r="C349" s="2238" t="s">
        <v>277</v>
      </c>
      <c r="D349" s="2238"/>
      <c r="E349" s="2243">
        <v>450</v>
      </c>
      <c r="F349" s="2243"/>
      <c r="G349" s="2244">
        <v>0</v>
      </c>
      <c r="H349" s="2243"/>
      <c r="I349" s="2244">
        <v>0</v>
      </c>
      <c r="J349" s="2243"/>
      <c r="K349" s="2243">
        <f t="shared" si="44"/>
        <v>450</v>
      </c>
    </row>
    <row r="350" spans="1:11">
      <c r="A350" s="2250"/>
      <c r="B350" s="1769" t="s">
        <v>1293</v>
      </c>
      <c r="C350" s="2238" t="s">
        <v>277</v>
      </c>
      <c r="D350" s="2238"/>
      <c r="E350" s="2243">
        <v>1350</v>
      </c>
      <c r="F350" s="2243"/>
      <c r="G350" s="2244">
        <v>0</v>
      </c>
      <c r="H350" s="2243"/>
      <c r="I350" s="2244">
        <v>0</v>
      </c>
      <c r="J350" s="2243"/>
      <c r="K350" s="2243">
        <f t="shared" si="44"/>
        <v>1350</v>
      </c>
    </row>
    <row r="351" spans="1:11">
      <c r="A351" s="2250"/>
      <c r="B351" s="1769" t="s">
        <v>1294</v>
      </c>
      <c r="C351" s="2238" t="s">
        <v>277</v>
      </c>
      <c r="D351" s="2238"/>
      <c r="E351" s="2243">
        <v>850</v>
      </c>
      <c r="F351" s="2243"/>
      <c r="G351" s="2244">
        <v>0</v>
      </c>
      <c r="H351" s="2243"/>
      <c r="I351" s="2244">
        <v>0</v>
      </c>
      <c r="J351" s="2243"/>
      <c r="K351" s="2243">
        <f t="shared" si="44"/>
        <v>850</v>
      </c>
    </row>
    <row r="352" spans="1:11">
      <c r="A352" s="2250"/>
      <c r="B352" s="1769" t="s">
        <v>2415</v>
      </c>
      <c r="C352" s="2238" t="s">
        <v>277</v>
      </c>
      <c r="D352" s="2238"/>
      <c r="E352" s="2243">
        <v>500</v>
      </c>
      <c r="F352" s="2243"/>
      <c r="G352" s="2244">
        <v>0</v>
      </c>
      <c r="H352" s="2243"/>
      <c r="I352" s="2244">
        <v>0</v>
      </c>
      <c r="J352" s="2243"/>
      <c r="K352" s="2243">
        <f t="shared" si="44"/>
        <v>500</v>
      </c>
    </row>
    <row r="353" spans="1:11">
      <c r="A353" s="2250"/>
      <c r="B353" s="1769" t="s">
        <v>1288</v>
      </c>
      <c r="C353" s="2238" t="s">
        <v>277</v>
      </c>
      <c r="D353" s="2238"/>
      <c r="E353" s="2243">
        <v>950</v>
      </c>
      <c r="F353" s="2243"/>
      <c r="G353" s="2244">
        <v>0</v>
      </c>
      <c r="H353" s="2243"/>
      <c r="I353" s="2244">
        <v>0</v>
      </c>
      <c r="J353" s="2243"/>
      <c r="K353" s="2243">
        <f t="shared" si="44"/>
        <v>950</v>
      </c>
    </row>
    <row r="354" spans="1:11">
      <c r="A354" s="1769"/>
      <c r="B354" s="1769"/>
      <c r="C354" s="2238" t="s">
        <v>277</v>
      </c>
      <c r="D354" s="2238"/>
      <c r="E354" s="2243"/>
      <c r="F354" s="2243"/>
      <c r="G354" s="2243"/>
      <c r="H354" s="2243"/>
      <c r="I354" s="2245"/>
      <c r="J354" s="2243"/>
      <c r="K354" s="2243"/>
    </row>
    <row r="355" spans="1:11">
      <c r="A355" s="1769" t="s">
        <v>1295</v>
      </c>
      <c r="B355" s="1769"/>
      <c r="C355" s="2238" t="s">
        <v>277</v>
      </c>
      <c r="D355" s="2238"/>
      <c r="E355" s="2243">
        <v>1550</v>
      </c>
      <c r="F355" s="2243"/>
      <c r="G355" s="2244">
        <v>0</v>
      </c>
      <c r="H355" s="2243"/>
      <c r="I355" s="2243">
        <v>184000</v>
      </c>
      <c r="J355" s="2243"/>
      <c r="K355" s="2243">
        <f t="shared" si="44"/>
        <v>185550</v>
      </c>
    </row>
    <row r="356" spans="1:11">
      <c r="A356" s="1769"/>
      <c r="B356" s="1769"/>
      <c r="C356" s="2238" t="s">
        <v>277</v>
      </c>
      <c r="D356" s="2238"/>
      <c r="E356" s="2243"/>
      <c r="F356" s="2243"/>
      <c r="G356" s="2244"/>
      <c r="H356" s="2243"/>
      <c r="I356" s="2243"/>
      <c r="J356" s="2243"/>
      <c r="K356" s="2243"/>
    </row>
    <row r="357" spans="1:11">
      <c r="A357" s="1769" t="s">
        <v>1296</v>
      </c>
      <c r="B357" s="1769"/>
      <c r="C357" s="2238" t="s">
        <v>277</v>
      </c>
      <c r="D357" s="2238"/>
      <c r="E357" s="2243">
        <v>500</v>
      </c>
      <c r="F357" s="2243"/>
      <c r="G357" s="2244">
        <v>0</v>
      </c>
      <c r="H357" s="2243"/>
      <c r="I357" s="2244">
        <v>15000</v>
      </c>
      <c r="J357" s="2243"/>
      <c r="K357" s="2243">
        <f t="shared" si="44"/>
        <v>15500</v>
      </c>
    </row>
    <row r="358" spans="1:11">
      <c r="A358" s="1769"/>
      <c r="B358" s="1769"/>
      <c r="C358" s="2238" t="s">
        <v>277</v>
      </c>
      <c r="D358" s="2238"/>
      <c r="E358" s="2243"/>
      <c r="F358" s="2243"/>
      <c r="G358" s="2244"/>
      <c r="H358" s="2243"/>
      <c r="I358" s="2244"/>
      <c r="J358" s="2243"/>
      <c r="K358" s="2243"/>
    </row>
    <row r="359" spans="1:11">
      <c r="A359" s="1769" t="s">
        <v>2416</v>
      </c>
      <c r="B359" s="1769"/>
      <c r="C359" s="2238" t="s">
        <v>277</v>
      </c>
      <c r="D359" s="2238"/>
      <c r="E359" s="2244">
        <v>3000</v>
      </c>
      <c r="F359" s="2243"/>
      <c r="G359" s="2244">
        <v>0</v>
      </c>
      <c r="H359" s="2243"/>
      <c r="I359" s="2244">
        <v>0</v>
      </c>
      <c r="J359" s="2243"/>
      <c r="K359" s="2243">
        <f t="shared" si="44"/>
        <v>3000</v>
      </c>
    </row>
    <row r="360" spans="1:11">
      <c r="A360" s="2237"/>
      <c r="B360" s="1769"/>
      <c r="C360" s="2238" t="s">
        <v>277</v>
      </c>
      <c r="D360" s="2238"/>
      <c r="E360" s="2244"/>
      <c r="F360" s="2243"/>
      <c r="G360" s="2244"/>
      <c r="H360" s="2243"/>
      <c r="I360" s="2245"/>
      <c r="J360" s="2243"/>
      <c r="K360" s="2243"/>
    </row>
    <row r="361" spans="1:11" ht="16" thickBot="1">
      <c r="A361" s="1991" t="s">
        <v>1297</v>
      </c>
      <c r="B361" s="823"/>
      <c r="C361" s="2238" t="s">
        <v>277</v>
      </c>
      <c r="D361" s="2009"/>
      <c r="E361" s="2010">
        <f>ROUND(SUM(E12:E360),0)</f>
        <v>2489080</v>
      </c>
      <c r="F361" s="2011"/>
      <c r="G361" s="2010">
        <f>ROUND(SUM(G12:G360),0)</f>
        <v>1072561</v>
      </c>
      <c r="H361" s="2011"/>
      <c r="I361" s="2010">
        <f>ROUND(SUM(I12:I360),0)</f>
        <v>18707127</v>
      </c>
      <c r="J361" s="2011"/>
      <c r="K361" s="2010">
        <f>ROUND(SUM(K12:K360),0)</f>
        <v>22268768</v>
      </c>
    </row>
    <row r="362" spans="1:11" ht="16" thickTop="1">
      <c r="A362" s="2257"/>
      <c r="B362" s="1270"/>
      <c r="C362" s="1270"/>
      <c r="D362" s="1270"/>
      <c r="E362" s="1271"/>
      <c r="F362" s="1271"/>
      <c r="G362" s="1271"/>
      <c r="H362" s="1271"/>
      <c r="I362" s="1271"/>
      <c r="J362" s="1271"/>
      <c r="K362" s="1271"/>
    </row>
    <row r="363" spans="1:11">
      <c r="A363" s="2258"/>
      <c r="B363" s="1267"/>
      <c r="C363" s="2259"/>
      <c r="D363" s="1267"/>
      <c r="E363" s="2260"/>
      <c r="F363" s="2259"/>
      <c r="G363" s="2260"/>
      <c r="H363" s="2259"/>
      <c r="I363" s="2260"/>
      <c r="J363" s="2259"/>
      <c r="K363" s="2260"/>
    </row>
    <row r="364" spans="1:11">
      <c r="A364" s="2259"/>
      <c r="B364" s="1267"/>
      <c r="C364" s="2259"/>
      <c r="D364" s="1267"/>
      <c r="E364" s="2259"/>
      <c r="F364" s="2261"/>
      <c r="G364" s="2259"/>
      <c r="H364" s="2261"/>
      <c r="I364" s="2259"/>
      <c r="J364" s="2261"/>
      <c r="K364" s="2259"/>
    </row>
    <row r="365" spans="1:11">
      <c r="A365" s="2262"/>
      <c r="B365" s="2259"/>
      <c r="C365" s="2259"/>
      <c r="D365" s="2259"/>
      <c r="E365" s="2259"/>
      <c r="F365" s="2259"/>
      <c r="G365" s="2259"/>
      <c r="H365" s="2259"/>
      <c r="I365" s="2259"/>
      <c r="J365" s="2259"/>
      <c r="K365" s="2259"/>
    </row>
    <row r="366" spans="1:11">
      <c r="B366" s="1264"/>
      <c r="C366" s="1264"/>
      <c r="D366" s="1264"/>
      <c r="E366" s="1264"/>
      <c r="F366" s="1264"/>
      <c r="G366" s="1264"/>
      <c r="H366" s="1264"/>
      <c r="I366" s="1264"/>
      <c r="J366" s="1264"/>
      <c r="K366" s="1269"/>
    </row>
    <row r="367" spans="1:11">
      <c r="B367" s="1264"/>
      <c r="C367" s="1264"/>
      <c r="E367" s="1264"/>
      <c r="G367" s="1264"/>
      <c r="I367" s="1264"/>
      <c r="K367" s="1264"/>
    </row>
  </sheetData>
  <mergeCells count="1">
    <mergeCell ref="A7:K7"/>
  </mergeCells>
  <printOptions horizontalCentered="1"/>
  <pageMargins left="0.33" right="0.5" top="0.5" bottom="0.25" header="0.5" footer="0.25"/>
  <pageSetup scale="68" firstPageNumber="124" orientation="landscape" useFirstPageNumber="1"/>
  <headerFooter scaleWithDoc="0">
    <oddFooter>&amp;R&amp;8&amp;P</oddFooter>
  </headerFooter>
  <rowBreaks count="7" manualBreakCount="7">
    <brk id="48" max="10" man="1"/>
    <brk id="95" max="10" man="1"/>
    <brk id="144" max="10" man="1"/>
    <brk id="186" max="10" man="1"/>
    <brk id="236" max="10" man="1"/>
    <brk id="286" max="10" man="1"/>
    <brk id="335" max="10" man="1"/>
  </rowBreak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F304"/>
  <sheetViews>
    <sheetView showGridLines="0" workbookViewId="0"/>
  </sheetViews>
  <sheetFormatPr baseColWidth="10" defaultColWidth="8.85546875" defaultRowHeight="13" x14ac:dyDescent="0"/>
  <cols>
    <col min="1" max="1" width="9.5703125" style="1642" customWidth="1"/>
    <col min="2" max="2" width="42.85546875" style="1642" customWidth="1"/>
    <col min="3" max="3" width="16.85546875" style="1642" customWidth="1"/>
    <col min="4" max="4" width="13.42578125" style="1642" bestFit="1" customWidth="1"/>
    <col min="5" max="5" width="39.5703125" style="1642" customWidth="1"/>
    <col min="6" max="7" width="9.5703125" style="1642" customWidth="1"/>
    <col min="8" max="8" width="5.5703125" style="1642" customWidth="1"/>
    <col min="9" max="9" width="1.5703125" style="1642" customWidth="1"/>
    <col min="10" max="16384" width="8.85546875" style="1642"/>
  </cols>
  <sheetData>
    <row r="2" spans="1:6">
      <c r="A2" s="1640" t="s">
        <v>0</v>
      </c>
      <c r="B2" s="1641"/>
      <c r="D2" s="1643"/>
      <c r="E2" s="1644" t="s">
        <v>1518</v>
      </c>
      <c r="F2" s="1643"/>
    </row>
    <row r="3" spans="1:6">
      <c r="A3" s="1640" t="s">
        <v>1519</v>
      </c>
      <c r="B3" s="1641"/>
      <c r="D3" s="1643"/>
      <c r="E3" s="1644" t="s">
        <v>131</v>
      </c>
      <c r="F3" s="1643"/>
    </row>
    <row r="4" spans="1:6">
      <c r="A4" s="1640" t="s">
        <v>2596</v>
      </c>
      <c r="B4" s="1641"/>
      <c r="C4" s="1641"/>
      <c r="D4" s="1641"/>
      <c r="E4" s="1643"/>
      <c r="F4" s="1643"/>
    </row>
    <row r="8" spans="1:6">
      <c r="A8" s="1645" t="s">
        <v>682</v>
      </c>
      <c r="B8" s="1641"/>
      <c r="C8" s="1645" t="s">
        <v>682</v>
      </c>
      <c r="D8" s="1645" t="s">
        <v>1520</v>
      </c>
      <c r="E8" s="1643"/>
      <c r="F8" s="1643"/>
    </row>
    <row r="9" spans="1:6">
      <c r="A9" s="1646" t="s">
        <v>1521</v>
      </c>
      <c r="B9" s="1646" t="s">
        <v>1522</v>
      </c>
      <c r="C9" s="1646" t="s">
        <v>1523</v>
      </c>
      <c r="D9" s="1646" t="s">
        <v>1524</v>
      </c>
      <c r="E9" s="1646" t="s">
        <v>1525</v>
      </c>
      <c r="F9" s="1643"/>
    </row>
    <row r="10" spans="1:6" ht="5.25" customHeight="1">
      <c r="A10" s="1647"/>
      <c r="B10" s="1647"/>
      <c r="C10" s="1647"/>
      <c r="D10" s="1647"/>
      <c r="E10" s="1647"/>
      <c r="F10" s="1643"/>
    </row>
    <row r="11" spans="1:6">
      <c r="A11" s="2041" t="s">
        <v>1526</v>
      </c>
      <c r="B11" s="2042" t="s">
        <v>1527</v>
      </c>
      <c r="C11" s="2042" t="s">
        <v>742</v>
      </c>
      <c r="D11" s="2043">
        <v>1981</v>
      </c>
      <c r="E11" s="2044" t="s">
        <v>1528</v>
      </c>
      <c r="F11" s="1643"/>
    </row>
    <row r="12" spans="1:6">
      <c r="A12" s="2041" t="s">
        <v>1529</v>
      </c>
      <c r="B12" s="2042" t="s">
        <v>1530</v>
      </c>
      <c r="C12" s="2042" t="s">
        <v>742</v>
      </c>
      <c r="D12" s="2045">
        <v>1981</v>
      </c>
      <c r="E12" s="2044" t="s">
        <v>1531</v>
      </c>
      <c r="F12" s="1643"/>
    </row>
    <row r="13" spans="1:6">
      <c r="A13" s="2041" t="s">
        <v>1532</v>
      </c>
      <c r="B13" s="2042" t="s">
        <v>1533</v>
      </c>
      <c r="C13" s="2042" t="s">
        <v>742</v>
      </c>
      <c r="D13" s="2045">
        <v>1984</v>
      </c>
      <c r="E13" s="2044" t="s">
        <v>1534</v>
      </c>
      <c r="F13" s="1643"/>
    </row>
    <row r="14" spans="1:6">
      <c r="A14" s="2041" t="s">
        <v>1535</v>
      </c>
      <c r="B14" s="2042" t="s">
        <v>1536</v>
      </c>
      <c r="C14" s="2042" t="s">
        <v>742</v>
      </c>
      <c r="D14" s="2045">
        <v>1993</v>
      </c>
      <c r="E14" s="2044" t="s">
        <v>1537</v>
      </c>
      <c r="F14" s="1643"/>
    </row>
    <row r="15" spans="1:6">
      <c r="A15" s="2041" t="s">
        <v>1538</v>
      </c>
      <c r="B15" s="2042" t="s">
        <v>1539</v>
      </c>
      <c r="C15" s="2042" t="s">
        <v>742</v>
      </c>
      <c r="D15" s="2045">
        <v>2000</v>
      </c>
      <c r="E15" s="2044" t="s">
        <v>1540</v>
      </c>
      <c r="F15" s="1643"/>
    </row>
    <row r="16" spans="1:6">
      <c r="A16" s="2041" t="s">
        <v>1541</v>
      </c>
      <c r="B16" s="2042" t="s">
        <v>1542</v>
      </c>
      <c r="C16" s="2042" t="s">
        <v>742</v>
      </c>
      <c r="D16" s="2045">
        <v>1996</v>
      </c>
      <c r="E16" s="2044" t="s">
        <v>1543</v>
      </c>
      <c r="F16" s="1643"/>
    </row>
    <row r="17" spans="1:6">
      <c r="A17" s="2041" t="s">
        <v>1544</v>
      </c>
      <c r="B17" s="2042" t="s">
        <v>1545</v>
      </c>
      <c r="C17" s="2042" t="s">
        <v>742</v>
      </c>
      <c r="D17" s="2045">
        <v>2007</v>
      </c>
      <c r="E17" s="2044" t="s">
        <v>1546</v>
      </c>
      <c r="F17" s="1643"/>
    </row>
    <row r="18" spans="1:6">
      <c r="A18" s="2041" t="s">
        <v>1547</v>
      </c>
      <c r="B18" s="2042" t="s">
        <v>1548</v>
      </c>
      <c r="C18" s="2042" t="s">
        <v>742</v>
      </c>
      <c r="D18" s="2045">
        <v>1978</v>
      </c>
      <c r="E18" s="2044" t="s">
        <v>1549</v>
      </c>
      <c r="F18" s="1643"/>
    </row>
    <row r="19" spans="1:6">
      <c r="A19" s="2041" t="s">
        <v>1550</v>
      </c>
      <c r="B19" s="2042" t="s">
        <v>1551</v>
      </c>
      <c r="C19" s="2042" t="s">
        <v>742</v>
      </c>
      <c r="D19" s="2045">
        <v>1970</v>
      </c>
      <c r="E19" s="2044" t="s">
        <v>1552</v>
      </c>
      <c r="F19" s="1643"/>
    </row>
    <row r="20" spans="1:6">
      <c r="A20" s="2041" t="s">
        <v>1553</v>
      </c>
      <c r="B20" s="2042" t="s">
        <v>1554</v>
      </c>
      <c r="C20" s="2042" t="s">
        <v>742</v>
      </c>
      <c r="D20" s="2045">
        <v>2003</v>
      </c>
      <c r="E20" s="2044" t="s">
        <v>1555</v>
      </c>
      <c r="F20" s="1643"/>
    </row>
    <row r="21" spans="1:6">
      <c r="A21" s="2041" t="s">
        <v>1556</v>
      </c>
      <c r="B21" s="2042" t="s">
        <v>1557</v>
      </c>
      <c r="C21" s="2042" t="s">
        <v>1558</v>
      </c>
      <c r="D21" s="2045">
        <v>1984</v>
      </c>
      <c r="E21" s="2044" t="s">
        <v>1559</v>
      </c>
      <c r="F21" s="1643"/>
    </row>
    <row r="22" spans="1:6">
      <c r="A22" s="2041" t="s">
        <v>1560</v>
      </c>
      <c r="B22" s="2042" t="s">
        <v>1561</v>
      </c>
      <c r="C22" s="2042" t="s">
        <v>1558</v>
      </c>
      <c r="D22" s="2045">
        <v>1982</v>
      </c>
      <c r="E22" s="2044" t="s">
        <v>1562</v>
      </c>
      <c r="F22" s="1643"/>
    </row>
    <row r="23" spans="1:6">
      <c r="A23" s="2041" t="s">
        <v>1563</v>
      </c>
      <c r="B23" s="2042" t="s">
        <v>1564</v>
      </c>
      <c r="C23" s="2042" t="s">
        <v>1558</v>
      </c>
      <c r="D23" s="2045">
        <v>1983</v>
      </c>
      <c r="E23" s="2044" t="s">
        <v>1565</v>
      </c>
      <c r="F23" s="1643"/>
    </row>
    <row r="24" spans="1:6">
      <c r="A24" s="2041" t="s">
        <v>1566</v>
      </c>
      <c r="B24" s="2042" t="s">
        <v>1567</v>
      </c>
      <c r="C24" s="2042" t="s">
        <v>1558</v>
      </c>
      <c r="D24" s="2045">
        <v>1992</v>
      </c>
      <c r="E24" s="2044" t="s">
        <v>1568</v>
      </c>
      <c r="F24" s="1643"/>
    </row>
    <row r="25" spans="1:6">
      <c r="A25" s="2041" t="s">
        <v>1569</v>
      </c>
      <c r="B25" s="2046" t="s">
        <v>1570</v>
      </c>
      <c r="C25" s="2042" t="s">
        <v>1558</v>
      </c>
      <c r="D25" s="2045">
        <v>2003</v>
      </c>
      <c r="E25" s="2044" t="s">
        <v>1571</v>
      </c>
      <c r="F25" s="1643"/>
    </row>
    <row r="26" spans="1:6">
      <c r="A26" s="2045" t="s">
        <v>1572</v>
      </c>
      <c r="B26" s="2042" t="s">
        <v>1573</v>
      </c>
      <c r="C26" s="2042" t="s">
        <v>1558</v>
      </c>
      <c r="D26" s="2045">
        <v>1990</v>
      </c>
      <c r="E26" s="2044" t="s">
        <v>1574</v>
      </c>
      <c r="F26" s="1643"/>
    </row>
    <row r="27" spans="1:6">
      <c r="A27" s="2045" t="s">
        <v>1575</v>
      </c>
      <c r="B27" s="2046" t="s">
        <v>1576</v>
      </c>
      <c r="C27" s="2042" t="s">
        <v>1558</v>
      </c>
      <c r="D27" s="2045">
        <v>1989</v>
      </c>
      <c r="E27" s="2044" t="s">
        <v>1577</v>
      </c>
      <c r="F27" s="1643"/>
    </row>
    <row r="28" spans="1:6">
      <c r="A28" s="2045" t="s">
        <v>1578</v>
      </c>
      <c r="B28" s="2042" t="s">
        <v>1579</v>
      </c>
      <c r="C28" s="2042" t="s">
        <v>1558</v>
      </c>
      <c r="D28" s="2045">
        <v>1998</v>
      </c>
      <c r="E28" s="2044" t="s">
        <v>1580</v>
      </c>
      <c r="F28" s="1643"/>
    </row>
    <row r="29" spans="1:6">
      <c r="A29" s="2045" t="s">
        <v>1581</v>
      </c>
      <c r="B29" s="2042" t="s">
        <v>1582</v>
      </c>
      <c r="C29" s="2042" t="s">
        <v>1558</v>
      </c>
      <c r="D29" s="2045">
        <v>1999</v>
      </c>
      <c r="E29" s="2044" t="s">
        <v>1583</v>
      </c>
      <c r="F29" s="1643"/>
    </row>
    <row r="30" spans="1:6">
      <c r="A30" s="2045" t="s">
        <v>1584</v>
      </c>
      <c r="B30" s="2042" t="s">
        <v>1585</v>
      </c>
      <c r="C30" s="2042" t="s">
        <v>1558</v>
      </c>
      <c r="D30" s="2045">
        <v>1991</v>
      </c>
      <c r="E30" s="2044" t="s">
        <v>1586</v>
      </c>
      <c r="F30" s="1643"/>
    </row>
    <row r="31" spans="1:6">
      <c r="A31" s="2045" t="s">
        <v>1587</v>
      </c>
      <c r="B31" s="2046" t="s">
        <v>1588</v>
      </c>
      <c r="C31" s="2042" t="s">
        <v>1558</v>
      </c>
      <c r="D31" s="2045">
        <v>2000</v>
      </c>
      <c r="E31" s="2044" t="s">
        <v>1589</v>
      </c>
      <c r="F31" s="1643"/>
    </row>
    <row r="32" spans="1:6">
      <c r="A32" s="2045" t="s">
        <v>1590</v>
      </c>
      <c r="B32" s="2042" t="s">
        <v>1591</v>
      </c>
      <c r="C32" s="2042" t="s">
        <v>1558</v>
      </c>
      <c r="D32" s="2045">
        <v>1991</v>
      </c>
      <c r="E32" s="2044" t="s">
        <v>1592</v>
      </c>
      <c r="F32" s="1643"/>
    </row>
    <row r="33" spans="1:6">
      <c r="A33" s="2041" t="s">
        <v>1593</v>
      </c>
      <c r="B33" s="2042" t="s">
        <v>1594</v>
      </c>
      <c r="C33" s="2042" t="s">
        <v>1558</v>
      </c>
      <c r="D33" s="2045">
        <v>1967</v>
      </c>
      <c r="E33" s="2044" t="s">
        <v>1595</v>
      </c>
      <c r="F33" s="1643"/>
    </row>
    <row r="34" spans="1:6">
      <c r="A34" s="2041" t="s">
        <v>1596</v>
      </c>
      <c r="B34" s="2042" t="s">
        <v>1597</v>
      </c>
      <c r="C34" s="2042" t="s">
        <v>1558</v>
      </c>
      <c r="D34" s="2045">
        <v>1982</v>
      </c>
      <c r="E34" s="2044" t="s">
        <v>1598</v>
      </c>
      <c r="F34" s="1643"/>
    </row>
    <row r="35" spans="1:6">
      <c r="A35" s="2045" t="s">
        <v>1599</v>
      </c>
      <c r="B35" s="2042" t="s">
        <v>1600</v>
      </c>
      <c r="C35" s="2042" t="s">
        <v>1558</v>
      </c>
      <c r="D35" s="2045">
        <v>1989</v>
      </c>
      <c r="E35" s="2044" t="s">
        <v>1601</v>
      </c>
      <c r="F35" s="1643"/>
    </row>
    <row r="36" spans="1:6">
      <c r="A36" s="2045" t="s">
        <v>1602</v>
      </c>
      <c r="B36" s="2042" t="s">
        <v>1603</v>
      </c>
      <c r="C36" s="2042" t="s">
        <v>1558</v>
      </c>
      <c r="D36" s="2045">
        <v>1992</v>
      </c>
      <c r="E36" s="2044" t="s">
        <v>1598</v>
      </c>
      <c r="F36" s="1643"/>
    </row>
    <row r="37" spans="1:6">
      <c r="A37" s="2041" t="s">
        <v>1604</v>
      </c>
      <c r="B37" s="2042" t="s">
        <v>1605</v>
      </c>
      <c r="C37" s="2042" t="s">
        <v>1558</v>
      </c>
      <c r="D37" s="2045">
        <v>1940</v>
      </c>
      <c r="E37" s="2044" t="s">
        <v>1606</v>
      </c>
      <c r="F37" s="1643"/>
    </row>
    <row r="38" spans="1:6">
      <c r="A38" s="2041" t="s">
        <v>1607</v>
      </c>
      <c r="B38" s="2042" t="s">
        <v>1608</v>
      </c>
      <c r="C38" s="2042" t="s">
        <v>1558</v>
      </c>
      <c r="D38" s="2045">
        <v>1978</v>
      </c>
      <c r="E38" s="2044" t="s">
        <v>1609</v>
      </c>
      <c r="F38" s="1643"/>
    </row>
    <row r="39" spans="1:6">
      <c r="A39" s="2041" t="s">
        <v>1610</v>
      </c>
      <c r="B39" s="2046" t="s">
        <v>1611</v>
      </c>
      <c r="C39" s="2042" t="s">
        <v>1558</v>
      </c>
      <c r="D39" s="2045">
        <v>1985</v>
      </c>
      <c r="E39" s="2044" t="s">
        <v>1612</v>
      </c>
      <c r="F39" s="1643"/>
    </row>
    <row r="40" spans="1:6">
      <c r="A40" s="2041" t="s">
        <v>1613</v>
      </c>
      <c r="B40" s="2042" t="s">
        <v>1614</v>
      </c>
      <c r="C40" s="2042" t="s">
        <v>1558</v>
      </c>
      <c r="D40" s="2045">
        <v>1981</v>
      </c>
      <c r="E40" s="2044" t="s">
        <v>1615</v>
      </c>
      <c r="F40" s="1643"/>
    </row>
    <row r="41" spans="1:6">
      <c r="A41" s="2041" t="s">
        <v>1616</v>
      </c>
      <c r="B41" s="2042" t="s">
        <v>1617</v>
      </c>
      <c r="C41" s="2042" t="s">
        <v>1558</v>
      </c>
      <c r="D41" s="2045">
        <v>1985</v>
      </c>
      <c r="E41" s="2044" t="s">
        <v>1618</v>
      </c>
      <c r="F41" s="1643"/>
    </row>
    <row r="42" spans="1:6">
      <c r="A42" s="2041" t="s">
        <v>1619</v>
      </c>
      <c r="B42" s="2042" t="s">
        <v>1620</v>
      </c>
      <c r="C42" s="2042" t="s">
        <v>1558</v>
      </c>
      <c r="D42" s="2045">
        <v>1981</v>
      </c>
      <c r="E42" s="2044" t="s">
        <v>1621</v>
      </c>
      <c r="F42" s="1643"/>
    </row>
    <row r="43" spans="1:6">
      <c r="A43" s="2041" t="s">
        <v>1622</v>
      </c>
      <c r="B43" s="2042" t="s">
        <v>1623</v>
      </c>
      <c r="C43" s="2042" t="s">
        <v>1558</v>
      </c>
      <c r="D43" s="2045">
        <v>1993</v>
      </c>
      <c r="E43" s="2044" t="s">
        <v>1624</v>
      </c>
      <c r="F43" s="1643"/>
    </row>
    <row r="44" spans="1:6">
      <c r="A44" s="2045" t="s">
        <v>1625</v>
      </c>
      <c r="B44" s="2042" t="s">
        <v>1626</v>
      </c>
      <c r="C44" s="2042" t="s">
        <v>1558</v>
      </c>
      <c r="D44" s="2045">
        <v>1987</v>
      </c>
      <c r="E44" s="2044" t="s">
        <v>1627</v>
      </c>
      <c r="F44" s="1643"/>
    </row>
    <row r="45" spans="1:6">
      <c r="A45" s="2041" t="s">
        <v>1628</v>
      </c>
      <c r="B45" s="2042" t="s">
        <v>1629</v>
      </c>
      <c r="C45" s="2042" t="s">
        <v>1558</v>
      </c>
      <c r="D45" s="2045">
        <v>1984</v>
      </c>
      <c r="E45" s="2044" t="s">
        <v>1630</v>
      </c>
      <c r="F45" s="1643"/>
    </row>
    <row r="46" spans="1:6">
      <c r="A46" s="2041" t="s">
        <v>1631</v>
      </c>
      <c r="B46" s="2042" t="s">
        <v>1632</v>
      </c>
      <c r="C46" s="2042" t="s">
        <v>1558</v>
      </c>
      <c r="D46" s="2045">
        <v>1993</v>
      </c>
      <c r="E46" s="2044" t="s">
        <v>1624</v>
      </c>
      <c r="F46" s="1643"/>
    </row>
    <row r="47" spans="1:6">
      <c r="A47" s="2041" t="s">
        <v>1633</v>
      </c>
      <c r="B47" s="2042" t="s">
        <v>1634</v>
      </c>
      <c r="C47" s="2042" t="s">
        <v>1558</v>
      </c>
      <c r="D47" s="2045">
        <v>1982</v>
      </c>
      <c r="E47" s="2044" t="s">
        <v>1598</v>
      </c>
      <c r="F47" s="1643"/>
    </row>
    <row r="48" spans="1:6">
      <c r="A48" s="2041" t="s">
        <v>1635</v>
      </c>
      <c r="B48" s="2042" t="s">
        <v>1636</v>
      </c>
      <c r="C48" s="2042" t="s">
        <v>1558</v>
      </c>
      <c r="D48" s="2045">
        <v>1977</v>
      </c>
      <c r="E48" s="2044" t="s">
        <v>1637</v>
      </c>
      <c r="F48" s="1643"/>
    </row>
    <row r="49" spans="1:6">
      <c r="A49" s="2041" t="s">
        <v>1638</v>
      </c>
      <c r="B49" s="2042" t="s">
        <v>1639</v>
      </c>
      <c r="C49" s="2042" t="s">
        <v>1558</v>
      </c>
      <c r="D49" s="2045">
        <v>1983</v>
      </c>
      <c r="E49" s="2044" t="s">
        <v>1565</v>
      </c>
      <c r="F49" s="1643"/>
    </row>
    <row r="50" spans="1:6">
      <c r="A50" s="2045" t="s">
        <v>1640</v>
      </c>
      <c r="B50" s="2042" t="s">
        <v>1641</v>
      </c>
      <c r="C50" s="2042" t="s">
        <v>1558</v>
      </c>
      <c r="D50" s="2045">
        <v>1987</v>
      </c>
      <c r="E50" s="2044" t="s">
        <v>1941</v>
      </c>
      <c r="F50" s="1643"/>
    </row>
    <row r="51" spans="1:6">
      <c r="A51" s="2041" t="s">
        <v>1642</v>
      </c>
      <c r="B51" s="2042" t="s">
        <v>1643</v>
      </c>
      <c r="C51" s="2042" t="s">
        <v>1558</v>
      </c>
      <c r="D51" s="2045">
        <v>1982</v>
      </c>
      <c r="E51" s="2044" t="s">
        <v>1598</v>
      </c>
      <c r="F51" s="1643"/>
    </row>
    <row r="52" spans="1:6">
      <c r="A52" s="2045" t="s">
        <v>1644</v>
      </c>
      <c r="B52" s="2042" t="s">
        <v>1645</v>
      </c>
      <c r="C52" s="2042" t="s">
        <v>1558</v>
      </c>
      <c r="D52" s="2045">
        <v>1987</v>
      </c>
      <c r="E52" s="2044" t="s">
        <v>1646</v>
      </c>
      <c r="F52" s="1643"/>
    </row>
    <row r="53" spans="1:6">
      <c r="A53" s="2041" t="s">
        <v>1647</v>
      </c>
      <c r="B53" s="2042" t="s">
        <v>1648</v>
      </c>
      <c r="C53" s="2042" t="s">
        <v>1558</v>
      </c>
      <c r="D53" s="2045">
        <v>1983</v>
      </c>
      <c r="E53" s="2044" t="s">
        <v>1598</v>
      </c>
      <c r="F53" s="1643"/>
    </row>
    <row r="54" spans="1:6">
      <c r="A54" s="2041" t="s">
        <v>1649</v>
      </c>
      <c r="B54" s="2042" t="s">
        <v>1650</v>
      </c>
      <c r="C54" s="2042" t="s">
        <v>1558</v>
      </c>
      <c r="D54" s="2045">
        <v>1959</v>
      </c>
      <c r="E54" s="2044" t="s">
        <v>1651</v>
      </c>
      <c r="F54" s="1643"/>
    </row>
    <row r="55" spans="1:6">
      <c r="A55" s="2041" t="s">
        <v>1652</v>
      </c>
      <c r="B55" s="2042" t="s">
        <v>1653</v>
      </c>
      <c r="C55" s="2042" t="s">
        <v>1558</v>
      </c>
      <c r="D55" s="2045">
        <v>1984</v>
      </c>
      <c r="E55" s="2044" t="s">
        <v>1654</v>
      </c>
      <c r="F55" s="1643"/>
    </row>
    <row r="56" spans="1:6">
      <c r="A56" s="2045" t="s">
        <v>1655</v>
      </c>
      <c r="B56" s="2042" t="s">
        <v>1656</v>
      </c>
      <c r="C56" s="2042" t="s">
        <v>1558</v>
      </c>
      <c r="D56" s="2045">
        <v>1987</v>
      </c>
      <c r="E56" s="2044" t="s">
        <v>1657</v>
      </c>
      <c r="F56" s="1643"/>
    </row>
    <row r="57" spans="1:6">
      <c r="A57" s="2041" t="s">
        <v>1658</v>
      </c>
      <c r="B57" s="2046" t="s">
        <v>2442</v>
      </c>
      <c r="C57" s="4"/>
      <c r="D57" s="4"/>
      <c r="E57" s="4"/>
      <c r="F57" s="1643"/>
    </row>
    <row r="58" spans="1:6">
      <c r="A58" s="2041"/>
      <c r="B58" s="2047" t="s">
        <v>2443</v>
      </c>
      <c r="C58" s="2042" t="s">
        <v>1558</v>
      </c>
      <c r="D58" s="2045">
        <v>1992</v>
      </c>
      <c r="E58" s="2044" t="s">
        <v>1659</v>
      </c>
      <c r="F58" s="1643"/>
    </row>
    <row r="59" spans="1:6">
      <c r="A59" s="2045" t="s">
        <v>1660</v>
      </c>
      <c r="B59" s="2042" t="s">
        <v>1661</v>
      </c>
      <c r="C59" s="2042" t="s">
        <v>1558</v>
      </c>
      <c r="D59" s="2045">
        <v>1990</v>
      </c>
      <c r="E59" s="2044" t="s">
        <v>1662</v>
      </c>
      <c r="F59" s="1643"/>
    </row>
    <row r="60" spans="1:6">
      <c r="A60" s="2045" t="s">
        <v>1663</v>
      </c>
      <c r="B60" s="2046" t="s">
        <v>1664</v>
      </c>
      <c r="C60" s="2042" t="s">
        <v>1558</v>
      </c>
      <c r="D60" s="2045">
        <v>1996</v>
      </c>
      <c r="E60" s="2044" t="s">
        <v>1665</v>
      </c>
      <c r="F60" s="1643"/>
    </row>
    <row r="61" spans="1:6">
      <c r="A61" s="2041" t="s">
        <v>1666</v>
      </c>
      <c r="B61" s="2042" t="s">
        <v>1667</v>
      </c>
      <c r="C61" s="2042" t="s">
        <v>1558</v>
      </c>
      <c r="D61" s="2045">
        <v>1968</v>
      </c>
      <c r="E61" s="2044" t="s">
        <v>1668</v>
      </c>
      <c r="F61" s="1643"/>
    </row>
    <row r="62" spans="1:6">
      <c r="A62" s="2045" t="s">
        <v>1669</v>
      </c>
      <c r="B62" s="2046" t="s">
        <v>1670</v>
      </c>
      <c r="C62" s="2042" t="s">
        <v>1558</v>
      </c>
      <c r="D62" s="2045">
        <v>1990</v>
      </c>
      <c r="E62" s="2044" t="s">
        <v>1671</v>
      </c>
      <c r="F62" s="1643"/>
    </row>
    <row r="63" spans="1:6">
      <c r="A63" s="2041" t="s">
        <v>1672</v>
      </c>
      <c r="B63" s="2042" t="s">
        <v>1673</v>
      </c>
      <c r="C63" s="2042" t="s">
        <v>1558</v>
      </c>
      <c r="D63" s="2045">
        <v>1969</v>
      </c>
      <c r="E63" s="2044" t="s">
        <v>2444</v>
      </c>
      <c r="F63" s="1643"/>
    </row>
    <row r="64" spans="1:6">
      <c r="A64" s="2041" t="s">
        <v>1674</v>
      </c>
      <c r="B64" s="2042" t="s">
        <v>1675</v>
      </c>
      <c r="C64" s="2042" t="s">
        <v>1558</v>
      </c>
      <c r="D64" s="2045">
        <v>1997</v>
      </c>
      <c r="E64" s="2044" t="s">
        <v>1676</v>
      </c>
      <c r="F64" s="1643"/>
    </row>
    <row r="65" spans="1:6">
      <c r="A65" s="2041" t="s">
        <v>1677</v>
      </c>
      <c r="B65" s="2042" t="s">
        <v>1678</v>
      </c>
      <c r="C65" s="2042" t="s">
        <v>1558</v>
      </c>
      <c r="D65" s="2045">
        <v>1992</v>
      </c>
      <c r="E65" s="2044" t="s">
        <v>1679</v>
      </c>
      <c r="F65" s="1643"/>
    </row>
    <row r="66" spans="1:6">
      <c r="A66" s="2041" t="s">
        <v>1680</v>
      </c>
      <c r="B66" s="2042" t="s">
        <v>1681</v>
      </c>
      <c r="C66" s="2042" t="s">
        <v>1558</v>
      </c>
      <c r="D66" s="2045">
        <v>1992</v>
      </c>
      <c r="E66" s="2044" t="s">
        <v>1682</v>
      </c>
      <c r="F66" s="1643"/>
    </row>
    <row r="67" spans="1:6">
      <c r="A67" s="2045" t="s">
        <v>1683</v>
      </c>
      <c r="B67" s="2046" t="s">
        <v>1684</v>
      </c>
      <c r="C67" s="2042" t="s">
        <v>1558</v>
      </c>
      <c r="D67" s="2045">
        <v>1995</v>
      </c>
      <c r="E67" s="2044" t="s">
        <v>1598</v>
      </c>
      <c r="F67" s="1643"/>
    </row>
    <row r="68" spans="1:6">
      <c r="A68" s="2041" t="s">
        <v>1685</v>
      </c>
      <c r="B68" s="2042" t="s">
        <v>1686</v>
      </c>
      <c r="C68" s="2042" t="s">
        <v>1558</v>
      </c>
      <c r="D68" s="2045">
        <v>1995</v>
      </c>
      <c r="E68" s="2044" t="s">
        <v>1687</v>
      </c>
      <c r="F68" s="1643"/>
    </row>
    <row r="69" spans="1:6">
      <c r="A69" s="2045" t="s">
        <v>1688</v>
      </c>
      <c r="B69" s="2046" t="s">
        <v>1689</v>
      </c>
      <c r="C69" s="2042" t="s">
        <v>1558</v>
      </c>
      <c r="D69" s="2045">
        <v>2003</v>
      </c>
      <c r="E69" s="2044" t="s">
        <v>2441</v>
      </c>
      <c r="F69" s="1643"/>
    </row>
    <row r="70" spans="1:6">
      <c r="A70" s="2041" t="s">
        <v>1690</v>
      </c>
      <c r="B70" s="2042" t="s">
        <v>1691</v>
      </c>
      <c r="C70" s="2042" t="s">
        <v>1558</v>
      </c>
      <c r="D70" s="2045">
        <v>1952</v>
      </c>
      <c r="E70" s="2044" t="s">
        <v>1692</v>
      </c>
      <c r="F70" s="1643"/>
    </row>
    <row r="71" spans="1:6">
      <c r="A71" s="2041" t="s">
        <v>1693</v>
      </c>
      <c r="B71" s="2042" t="s">
        <v>1694</v>
      </c>
      <c r="C71" s="2042" t="str">
        <f>+C70</f>
        <v>Special Revenue - State</v>
      </c>
      <c r="D71" s="2045">
        <v>2009</v>
      </c>
      <c r="E71" s="2044" t="s">
        <v>1695</v>
      </c>
      <c r="F71" s="1643"/>
    </row>
    <row r="72" spans="1:6">
      <c r="A72" s="2041" t="s">
        <v>1918</v>
      </c>
      <c r="B72" s="2042" t="s">
        <v>2445</v>
      </c>
      <c r="C72" s="2042" t="s">
        <v>1558</v>
      </c>
      <c r="D72" s="2045">
        <v>2013</v>
      </c>
      <c r="E72" s="2044" t="s">
        <v>1696</v>
      </c>
      <c r="F72" s="1643"/>
    </row>
    <row r="73" spans="1:6">
      <c r="A73" s="2041" t="s">
        <v>1942</v>
      </c>
      <c r="B73" s="2042" t="s">
        <v>2435</v>
      </c>
      <c r="C73" s="2042" t="s">
        <v>1558</v>
      </c>
      <c r="D73" s="2045">
        <v>2014</v>
      </c>
      <c r="E73" s="2044" t="s">
        <v>1943</v>
      </c>
      <c r="F73" s="1643"/>
    </row>
    <row r="74" spans="1:6">
      <c r="A74" s="2041" t="s">
        <v>1815</v>
      </c>
      <c r="B74" s="2042" t="s">
        <v>1816</v>
      </c>
      <c r="C74" s="2042" t="s">
        <v>1558</v>
      </c>
      <c r="D74" s="2045">
        <v>1955</v>
      </c>
      <c r="E74" s="2044" t="s">
        <v>1651</v>
      </c>
      <c r="F74" s="1643"/>
    </row>
    <row r="75" spans="1:6">
      <c r="A75" s="2041" t="s">
        <v>1177</v>
      </c>
      <c r="B75" s="2042" t="s">
        <v>1697</v>
      </c>
      <c r="C75" s="2042" t="s">
        <v>1698</v>
      </c>
      <c r="D75" s="2045">
        <v>1988</v>
      </c>
      <c r="E75" s="2044" t="s">
        <v>1598</v>
      </c>
      <c r="F75" s="1643"/>
    </row>
    <row r="76" spans="1:6">
      <c r="A76" s="2041" t="s">
        <v>1178</v>
      </c>
      <c r="B76" s="2042" t="s">
        <v>1699</v>
      </c>
      <c r="C76" s="2042" t="s">
        <v>1698</v>
      </c>
      <c r="D76" s="2045">
        <v>1972</v>
      </c>
      <c r="E76" s="2044" t="s">
        <v>1598</v>
      </c>
      <c r="F76" s="1643"/>
    </row>
    <row r="77" spans="1:6">
      <c r="A77" s="2041" t="s">
        <v>1179</v>
      </c>
      <c r="B77" s="2042" t="s">
        <v>1700</v>
      </c>
      <c r="C77" s="2042" t="s">
        <v>1698</v>
      </c>
      <c r="D77" s="2045">
        <v>1998</v>
      </c>
      <c r="E77" s="2044" t="s">
        <v>1598</v>
      </c>
      <c r="F77" s="1643"/>
    </row>
    <row r="78" spans="1:6">
      <c r="A78" s="2041" t="s">
        <v>1180</v>
      </c>
      <c r="B78" s="2042" t="s">
        <v>1701</v>
      </c>
      <c r="C78" s="2042" t="s">
        <v>1698</v>
      </c>
      <c r="D78" s="2045">
        <v>1981</v>
      </c>
      <c r="E78" s="2044" t="s">
        <v>1598</v>
      </c>
      <c r="F78" s="1643"/>
    </row>
    <row r="79" spans="1:6">
      <c r="A79" s="2041" t="s">
        <v>1181</v>
      </c>
      <c r="B79" s="2042" t="s">
        <v>1702</v>
      </c>
      <c r="C79" s="2042" t="s">
        <v>1698</v>
      </c>
      <c r="D79" s="2045">
        <v>1936</v>
      </c>
      <c r="E79" s="2044" t="s">
        <v>1944</v>
      </c>
      <c r="F79" s="1643"/>
    </row>
    <row r="80" spans="1:6">
      <c r="A80" s="2041" t="s">
        <v>1703</v>
      </c>
      <c r="B80" s="2042" t="s">
        <v>1704</v>
      </c>
      <c r="C80" s="2042" t="s">
        <v>1698</v>
      </c>
      <c r="D80" s="2045">
        <v>1967</v>
      </c>
      <c r="E80" s="2044" t="s">
        <v>1598</v>
      </c>
      <c r="F80" s="1643"/>
    </row>
    <row r="81" spans="1:6">
      <c r="A81" s="2041" t="s">
        <v>1182</v>
      </c>
      <c r="B81" s="2046" t="s">
        <v>1705</v>
      </c>
      <c r="C81" s="2042" t="s">
        <v>1698</v>
      </c>
      <c r="D81" s="2045">
        <v>1983</v>
      </c>
      <c r="E81" s="2044" t="s">
        <v>1598</v>
      </c>
      <c r="F81" s="1643"/>
    </row>
    <row r="82" spans="1:6">
      <c r="A82" s="2041" t="s">
        <v>1706</v>
      </c>
      <c r="B82" s="2042" t="s">
        <v>1707</v>
      </c>
      <c r="C82" s="2042" t="s">
        <v>1708</v>
      </c>
      <c r="D82" s="2045">
        <v>1982</v>
      </c>
      <c r="E82" s="2044" t="s">
        <v>1709</v>
      </c>
      <c r="F82" s="1643"/>
    </row>
    <row r="83" spans="1:6">
      <c r="A83" s="2045" t="s">
        <v>1710</v>
      </c>
      <c r="B83" s="2042" t="s">
        <v>1711</v>
      </c>
      <c r="C83" s="2042" t="s">
        <v>1708</v>
      </c>
      <c r="D83" s="2045">
        <v>1991</v>
      </c>
      <c r="E83" s="2044" t="s">
        <v>1712</v>
      </c>
      <c r="F83" s="1643"/>
    </row>
    <row r="84" spans="1:6">
      <c r="A84" s="2045" t="s">
        <v>1713</v>
      </c>
      <c r="B84" s="2042" t="s">
        <v>1714</v>
      </c>
      <c r="C84" s="2042" t="s">
        <v>1708</v>
      </c>
      <c r="D84" s="2045">
        <v>1991</v>
      </c>
      <c r="E84" s="2044" t="s">
        <v>1598</v>
      </c>
      <c r="F84" s="1643"/>
    </row>
    <row r="85" spans="1:6">
      <c r="A85" s="2045" t="s">
        <v>1715</v>
      </c>
      <c r="B85" s="2042" t="s">
        <v>1716</v>
      </c>
      <c r="C85" s="2042" t="s">
        <v>1708</v>
      </c>
      <c r="D85" s="2045">
        <v>1992</v>
      </c>
      <c r="E85" s="2044" t="s">
        <v>1717</v>
      </c>
      <c r="F85" s="1643"/>
    </row>
    <row r="86" spans="1:6">
      <c r="A86" s="2045" t="s">
        <v>1718</v>
      </c>
      <c r="B86" s="2042" t="s">
        <v>1719</v>
      </c>
      <c r="C86" s="2042" t="s">
        <v>1708</v>
      </c>
      <c r="D86" s="2045">
        <v>1993</v>
      </c>
      <c r="E86" s="2044" t="s">
        <v>1720</v>
      </c>
      <c r="F86" s="1643"/>
    </row>
    <row r="87" spans="1:6">
      <c r="A87" s="2045" t="s">
        <v>1721</v>
      </c>
      <c r="B87" s="2042" t="s">
        <v>1722</v>
      </c>
      <c r="C87" s="2042" t="s">
        <v>1708</v>
      </c>
      <c r="D87" s="2045">
        <v>1993</v>
      </c>
      <c r="E87" s="2044" t="s">
        <v>1723</v>
      </c>
      <c r="F87" s="1643"/>
    </row>
    <row r="88" spans="1:6">
      <c r="A88" s="2045" t="s">
        <v>1724</v>
      </c>
      <c r="B88" s="2042" t="s">
        <v>1725</v>
      </c>
      <c r="C88" s="2042" t="s">
        <v>1708</v>
      </c>
      <c r="D88" s="2045">
        <v>1993</v>
      </c>
      <c r="E88" s="2044" t="s">
        <v>1726</v>
      </c>
      <c r="F88" s="1643"/>
    </row>
    <row r="89" spans="1:6">
      <c r="A89" s="2045" t="s">
        <v>1727</v>
      </c>
      <c r="B89" s="2042" t="s">
        <v>1728</v>
      </c>
      <c r="C89" s="2042" t="s">
        <v>1708</v>
      </c>
      <c r="D89" s="2045">
        <v>1997</v>
      </c>
      <c r="E89" s="2044" t="s">
        <v>1729</v>
      </c>
      <c r="F89" s="1643"/>
    </row>
    <row r="90" spans="1:6">
      <c r="A90" s="2041" t="s">
        <v>1730</v>
      </c>
      <c r="B90" s="2042" t="s">
        <v>1731</v>
      </c>
      <c r="C90" s="2042" t="s">
        <v>1708</v>
      </c>
      <c r="D90" s="2045">
        <v>1980</v>
      </c>
      <c r="E90" s="2044" t="s">
        <v>1732</v>
      </c>
      <c r="F90" s="1643"/>
    </row>
    <row r="91" spans="1:6">
      <c r="A91" s="2041" t="s">
        <v>1733</v>
      </c>
      <c r="B91" s="2042" t="s">
        <v>1734</v>
      </c>
      <c r="C91" s="2042" t="s">
        <v>1708</v>
      </c>
      <c r="D91" s="2045">
        <v>1960</v>
      </c>
      <c r="E91" s="2044" t="s">
        <v>1735</v>
      </c>
      <c r="F91" s="1643"/>
    </row>
    <row r="92" spans="1:6">
      <c r="A92" s="2041" t="s">
        <v>1736</v>
      </c>
      <c r="B92" s="2042" t="s">
        <v>1737</v>
      </c>
      <c r="C92" s="2042" t="s">
        <v>1708</v>
      </c>
      <c r="D92" s="2045">
        <v>1965</v>
      </c>
      <c r="E92" s="2044" t="s">
        <v>1735</v>
      </c>
      <c r="F92" s="1643"/>
    </row>
    <row r="93" spans="1:6">
      <c r="A93" s="2041" t="s">
        <v>1738</v>
      </c>
      <c r="B93" s="2042" t="s">
        <v>1739</v>
      </c>
      <c r="C93" s="2042" t="s">
        <v>1708</v>
      </c>
      <c r="D93" s="2045">
        <v>1967</v>
      </c>
      <c r="E93" s="2044" t="s">
        <v>1735</v>
      </c>
      <c r="F93" s="1643"/>
    </row>
    <row r="94" spans="1:6">
      <c r="A94" s="2041" t="s">
        <v>1740</v>
      </c>
      <c r="B94" s="2042" t="s">
        <v>1741</v>
      </c>
      <c r="C94" s="2042" t="s">
        <v>1708</v>
      </c>
      <c r="D94" s="2045">
        <v>1973</v>
      </c>
      <c r="E94" s="2044" t="s">
        <v>1742</v>
      </c>
      <c r="F94" s="1643"/>
    </row>
    <row r="95" spans="1:6">
      <c r="A95" s="2041" t="s">
        <v>1743</v>
      </c>
      <c r="B95" s="2042" t="s">
        <v>1744</v>
      </c>
      <c r="C95" s="2042" t="s">
        <v>1708</v>
      </c>
      <c r="D95" s="2045">
        <v>2005</v>
      </c>
      <c r="E95" s="2044" t="s">
        <v>1745</v>
      </c>
      <c r="F95" s="1643"/>
    </row>
    <row r="96" spans="1:6">
      <c r="A96" s="2041" t="s">
        <v>1746</v>
      </c>
      <c r="B96" s="2042" t="s">
        <v>1747</v>
      </c>
      <c r="C96" s="2042" t="s">
        <v>1708</v>
      </c>
      <c r="D96" s="2045">
        <v>1983</v>
      </c>
      <c r="E96" s="2044" t="s">
        <v>1748</v>
      </c>
      <c r="F96" s="1643"/>
    </row>
    <row r="97" spans="1:6">
      <c r="A97" s="2045" t="s">
        <v>1749</v>
      </c>
      <c r="B97" s="2042" t="s">
        <v>1750</v>
      </c>
      <c r="C97" s="2042" t="s">
        <v>1708</v>
      </c>
      <c r="D97" s="2045">
        <v>1986</v>
      </c>
      <c r="E97" s="2044" t="s">
        <v>1751</v>
      </c>
      <c r="F97" s="1643"/>
    </row>
    <row r="98" spans="1:6">
      <c r="A98" s="2045" t="s">
        <v>1752</v>
      </c>
      <c r="B98" s="2046" t="s">
        <v>1753</v>
      </c>
      <c r="C98" s="2042" t="s">
        <v>1708</v>
      </c>
      <c r="D98" s="2045">
        <v>1988</v>
      </c>
      <c r="E98" s="2044" t="s">
        <v>1754</v>
      </c>
      <c r="F98" s="1643"/>
    </row>
    <row r="99" spans="1:6">
      <c r="A99" s="2045" t="s">
        <v>1755</v>
      </c>
      <c r="B99" s="2042" t="s">
        <v>1756</v>
      </c>
      <c r="C99" s="2042" t="s">
        <v>1708</v>
      </c>
      <c r="D99" s="2045">
        <v>1996</v>
      </c>
      <c r="E99" s="2044" t="s">
        <v>1757</v>
      </c>
      <c r="F99" s="1643"/>
    </row>
    <row r="100" spans="1:6">
      <c r="A100" s="2041" t="s">
        <v>1945</v>
      </c>
      <c r="B100" s="2042" t="s">
        <v>1758</v>
      </c>
      <c r="C100" s="2042" t="s">
        <v>1708</v>
      </c>
      <c r="D100" s="2045">
        <v>1939</v>
      </c>
      <c r="E100" s="2044" t="s">
        <v>1759</v>
      </c>
      <c r="F100" s="1643"/>
    </row>
    <row r="101" spans="1:6">
      <c r="A101" s="2041" t="s">
        <v>1946</v>
      </c>
      <c r="B101" s="2042" t="s">
        <v>1947</v>
      </c>
      <c r="C101" s="2042" t="s">
        <v>1708</v>
      </c>
      <c r="D101" s="2045">
        <v>2014</v>
      </c>
      <c r="E101" s="2044" t="s">
        <v>1948</v>
      </c>
      <c r="F101" s="1643"/>
    </row>
    <row r="102" spans="1:6">
      <c r="A102" s="2041" t="s">
        <v>1760</v>
      </c>
      <c r="B102" s="2042" t="s">
        <v>1761</v>
      </c>
      <c r="C102" s="2042" t="s">
        <v>1708</v>
      </c>
      <c r="D102" s="2045">
        <v>1965</v>
      </c>
      <c r="E102" s="2044" t="s">
        <v>1735</v>
      </c>
      <c r="F102" s="1643"/>
    </row>
    <row r="103" spans="1:6">
      <c r="A103" s="2234" t="s">
        <v>1762</v>
      </c>
      <c r="B103" s="2042" t="s">
        <v>1763</v>
      </c>
      <c r="C103" s="2042" t="s">
        <v>1708</v>
      </c>
      <c r="D103" s="2045">
        <v>1974</v>
      </c>
      <c r="E103" s="2044" t="s">
        <v>1764</v>
      </c>
      <c r="F103" s="1643"/>
    </row>
    <row r="104" spans="1:6">
      <c r="A104" s="2041" t="s">
        <v>1183</v>
      </c>
      <c r="B104" s="2042" t="s">
        <v>1765</v>
      </c>
      <c r="C104" s="2042" t="s">
        <v>1766</v>
      </c>
      <c r="D104" s="2045">
        <v>1982</v>
      </c>
      <c r="E104" s="2044" t="s">
        <v>1598</v>
      </c>
      <c r="F104" s="1643"/>
    </row>
    <row r="105" spans="1:6">
      <c r="A105" s="2041" t="s">
        <v>1767</v>
      </c>
      <c r="B105" s="2042" t="s">
        <v>1768</v>
      </c>
      <c r="C105" s="2042" t="s">
        <v>1708</v>
      </c>
      <c r="D105" s="2045">
        <v>1958</v>
      </c>
      <c r="E105" s="2044" t="s">
        <v>1769</v>
      </c>
      <c r="F105" s="1643"/>
    </row>
    <row r="106" spans="1:6">
      <c r="A106" s="2041" t="s">
        <v>1770</v>
      </c>
      <c r="B106" s="2042" t="s">
        <v>1771</v>
      </c>
      <c r="C106" s="2042" t="s">
        <v>1708</v>
      </c>
      <c r="D106" s="2045">
        <v>1982</v>
      </c>
      <c r="E106" s="2044" t="s">
        <v>1772</v>
      </c>
      <c r="F106" s="1643"/>
    </row>
    <row r="107" spans="1:6">
      <c r="A107" s="2041" t="s">
        <v>1773</v>
      </c>
      <c r="B107" s="2042" t="s">
        <v>1774</v>
      </c>
      <c r="C107" s="2042" t="s">
        <v>1708</v>
      </c>
      <c r="D107" s="2045">
        <v>1987</v>
      </c>
      <c r="E107" s="2044" t="s">
        <v>1775</v>
      </c>
      <c r="F107" s="1643"/>
    </row>
    <row r="108" spans="1:6">
      <c r="A108" s="2045" t="s">
        <v>1776</v>
      </c>
      <c r="B108" s="2042" t="s">
        <v>1777</v>
      </c>
      <c r="C108" s="2042" t="s">
        <v>1708</v>
      </c>
      <c r="D108" s="2045">
        <v>1990</v>
      </c>
      <c r="E108" s="2042" t="s">
        <v>1778</v>
      </c>
      <c r="F108" s="1643"/>
    </row>
    <row r="109" spans="1:6">
      <c r="A109" s="2045" t="s">
        <v>1779</v>
      </c>
      <c r="B109" s="2042" t="s">
        <v>1780</v>
      </c>
      <c r="C109" s="2042" t="s">
        <v>1708</v>
      </c>
      <c r="D109" s="2045">
        <v>1988</v>
      </c>
      <c r="E109" s="2044" t="s">
        <v>1781</v>
      </c>
      <c r="F109" s="1643"/>
    </row>
    <row r="110" spans="1:6">
      <c r="A110" s="2045" t="s">
        <v>1782</v>
      </c>
      <c r="B110" s="2042" t="s">
        <v>1783</v>
      </c>
      <c r="C110" s="2042" t="s">
        <v>1708</v>
      </c>
      <c r="D110" s="2045">
        <v>1990</v>
      </c>
      <c r="E110" s="2044" t="s">
        <v>1598</v>
      </c>
      <c r="F110" s="1643"/>
    </row>
    <row r="111" spans="1:6">
      <c r="A111" s="2045" t="s">
        <v>1784</v>
      </c>
      <c r="B111" s="2042" t="s">
        <v>1785</v>
      </c>
      <c r="C111" s="2042" t="s">
        <v>1708</v>
      </c>
      <c r="D111" s="2045">
        <v>1994</v>
      </c>
      <c r="E111" s="2044" t="s">
        <v>1786</v>
      </c>
      <c r="F111" s="1643"/>
    </row>
    <row r="112" spans="1:6">
      <c r="A112" s="2045" t="s">
        <v>1787</v>
      </c>
      <c r="B112" s="2042" t="s">
        <v>1788</v>
      </c>
      <c r="C112" s="2042" t="s">
        <v>1708</v>
      </c>
      <c r="D112" s="2045">
        <v>1989</v>
      </c>
      <c r="E112" s="2044" t="s">
        <v>1786</v>
      </c>
      <c r="F112" s="1643"/>
    </row>
    <row r="113" spans="1:6">
      <c r="A113" s="2041" t="s">
        <v>1789</v>
      </c>
      <c r="B113" s="2042" t="s">
        <v>1790</v>
      </c>
      <c r="C113" s="2042" t="s">
        <v>1708</v>
      </c>
      <c r="D113" s="2045">
        <v>1988</v>
      </c>
      <c r="E113" s="2044" t="s">
        <v>1598</v>
      </c>
      <c r="F113" s="1643"/>
    </row>
    <row r="114" spans="1:6">
      <c r="A114" s="2045" t="s">
        <v>1791</v>
      </c>
      <c r="B114" s="2042" t="s">
        <v>1792</v>
      </c>
      <c r="C114" s="2042" t="s">
        <v>1708</v>
      </c>
      <c r="D114" s="2045">
        <v>1987</v>
      </c>
      <c r="E114" s="2044" t="s">
        <v>1793</v>
      </c>
      <c r="F114" s="1643"/>
    </row>
    <row r="115" spans="1:6">
      <c r="A115" s="2045" t="s">
        <v>1794</v>
      </c>
      <c r="B115" s="2042" t="s">
        <v>1795</v>
      </c>
      <c r="C115" s="2042" t="s">
        <v>1708</v>
      </c>
      <c r="D115" s="2045">
        <v>1990</v>
      </c>
      <c r="E115" s="2044" t="s">
        <v>1598</v>
      </c>
      <c r="F115" s="1643"/>
    </row>
    <row r="116" spans="1:6">
      <c r="A116" s="2045" t="s">
        <v>1796</v>
      </c>
      <c r="B116" s="2042" t="s">
        <v>1797</v>
      </c>
      <c r="C116" s="2042" t="s">
        <v>1708</v>
      </c>
      <c r="D116" s="2045">
        <v>1990</v>
      </c>
      <c r="E116" s="2044" t="s">
        <v>1598</v>
      </c>
      <c r="F116" s="1643"/>
    </row>
    <row r="117" spans="1:6">
      <c r="A117" s="2041" t="s">
        <v>1798</v>
      </c>
      <c r="B117" s="2042" t="s">
        <v>1799</v>
      </c>
      <c r="C117" s="2042" t="s">
        <v>1708</v>
      </c>
      <c r="D117" s="2045">
        <v>1977</v>
      </c>
      <c r="E117" s="2044" t="s">
        <v>1598</v>
      </c>
      <c r="F117" s="1643"/>
    </row>
    <row r="118" spans="1:6">
      <c r="A118" s="2041" t="s">
        <v>1800</v>
      </c>
      <c r="B118" s="2042" t="s">
        <v>2436</v>
      </c>
      <c r="C118" s="2042" t="s">
        <v>1708</v>
      </c>
      <c r="D118" s="2045">
        <v>2013</v>
      </c>
      <c r="E118" s="2044" t="s">
        <v>1801</v>
      </c>
      <c r="F118" s="1643"/>
    </row>
    <row r="119" spans="1:6">
      <c r="A119" s="2041" t="s">
        <v>2617</v>
      </c>
      <c r="B119" s="2042" t="s">
        <v>2618</v>
      </c>
      <c r="C119" s="2042" t="s">
        <v>1708</v>
      </c>
      <c r="D119" s="2045">
        <v>2015</v>
      </c>
      <c r="E119" s="2044" t="s">
        <v>2619</v>
      </c>
      <c r="F119" s="1643"/>
    </row>
    <row r="120" spans="1:6">
      <c r="A120" s="2045" t="s">
        <v>1802</v>
      </c>
      <c r="B120" s="2042" t="s">
        <v>1803</v>
      </c>
      <c r="C120" s="2042" t="s">
        <v>929</v>
      </c>
      <c r="D120" s="2045">
        <v>1998</v>
      </c>
      <c r="E120" s="2044" t="s">
        <v>1580</v>
      </c>
      <c r="F120" s="1643"/>
    </row>
    <row r="121" spans="1:6">
      <c r="A121" s="2045" t="s">
        <v>1804</v>
      </c>
      <c r="B121" s="2042" t="s">
        <v>1805</v>
      </c>
      <c r="C121" s="2042" t="s">
        <v>929</v>
      </c>
      <c r="D121" s="2045">
        <v>1987</v>
      </c>
      <c r="E121" s="2044" t="s">
        <v>1806</v>
      </c>
      <c r="F121" s="1643"/>
    </row>
    <row r="122" spans="1:6">
      <c r="A122" s="2041" t="s">
        <v>1807</v>
      </c>
      <c r="B122" s="2042" t="s">
        <v>1808</v>
      </c>
      <c r="C122" s="2042" t="s">
        <v>929</v>
      </c>
      <c r="D122" s="2045">
        <v>1982</v>
      </c>
      <c r="E122" s="2044" t="s">
        <v>2446</v>
      </c>
      <c r="F122" s="1643"/>
    </row>
    <row r="123" spans="1:6">
      <c r="A123" s="2041" t="s">
        <v>1809</v>
      </c>
      <c r="B123" s="2042" t="s">
        <v>1810</v>
      </c>
      <c r="C123" s="2042" t="s">
        <v>929</v>
      </c>
      <c r="D123" s="2045">
        <v>1940</v>
      </c>
      <c r="E123" s="2044" t="s">
        <v>1811</v>
      </c>
      <c r="F123" s="1643"/>
    </row>
    <row r="124" spans="1:6">
      <c r="A124" s="2041" t="s">
        <v>1812</v>
      </c>
      <c r="B124" s="2042" t="s">
        <v>1813</v>
      </c>
      <c r="C124" s="2042" t="s">
        <v>929</v>
      </c>
      <c r="D124" s="2045">
        <v>1971</v>
      </c>
      <c r="E124" s="2044" t="s">
        <v>1814</v>
      </c>
      <c r="F124" s="1643"/>
    </row>
    <row r="125" spans="1:6">
      <c r="A125" s="2041" t="s">
        <v>1817</v>
      </c>
      <c r="B125" s="2042" t="s">
        <v>1818</v>
      </c>
      <c r="C125" s="2042" t="s">
        <v>929</v>
      </c>
      <c r="D125" s="2045">
        <v>1996</v>
      </c>
      <c r="E125" s="2044" t="s">
        <v>1819</v>
      </c>
      <c r="F125" s="1643"/>
    </row>
    <row r="126" spans="1:6">
      <c r="A126" s="2045" t="s">
        <v>1820</v>
      </c>
      <c r="B126" s="2042" t="s">
        <v>1821</v>
      </c>
      <c r="C126" s="2042" t="s">
        <v>929</v>
      </c>
      <c r="D126" s="2045">
        <v>1990</v>
      </c>
      <c r="E126" s="2044" t="s">
        <v>1822</v>
      </c>
      <c r="F126" s="1643"/>
    </row>
    <row r="127" spans="1:6">
      <c r="A127" s="2041" t="s">
        <v>1823</v>
      </c>
      <c r="B127" s="2042" t="s">
        <v>1824</v>
      </c>
      <c r="C127" s="2042" t="s">
        <v>1825</v>
      </c>
      <c r="D127" s="2045">
        <v>1970</v>
      </c>
      <c r="E127" s="2044" t="s">
        <v>1826</v>
      </c>
      <c r="F127" s="1643"/>
    </row>
    <row r="128" spans="1:6">
      <c r="A128" s="2041" t="s">
        <v>1827</v>
      </c>
      <c r="B128" s="2042" t="s">
        <v>1828</v>
      </c>
      <c r="C128" s="2042" t="s">
        <v>1825</v>
      </c>
      <c r="D128" s="2045">
        <v>1927</v>
      </c>
      <c r="E128" s="2044" t="s">
        <v>1949</v>
      </c>
      <c r="F128" s="1643"/>
    </row>
    <row r="129" spans="1:6">
      <c r="A129" s="2041" t="s">
        <v>1829</v>
      </c>
      <c r="B129" s="2042" t="s">
        <v>1830</v>
      </c>
      <c r="C129" s="2042" t="s">
        <v>1825</v>
      </c>
      <c r="D129" s="2045">
        <v>1948</v>
      </c>
      <c r="E129" s="2044" t="s">
        <v>1831</v>
      </c>
      <c r="F129" s="1643"/>
    </row>
    <row r="130" spans="1:6">
      <c r="A130" s="2041" t="s">
        <v>1832</v>
      </c>
      <c r="B130" s="2046" t="s">
        <v>1833</v>
      </c>
      <c r="C130" s="2042" t="s">
        <v>1825</v>
      </c>
      <c r="D130" s="2045">
        <v>1983</v>
      </c>
      <c r="E130" s="2044" t="s">
        <v>1598</v>
      </c>
      <c r="F130" s="1643"/>
    </row>
    <row r="131" spans="1:6">
      <c r="A131" s="2041" t="s">
        <v>1834</v>
      </c>
      <c r="B131" s="2042" t="s">
        <v>1835</v>
      </c>
      <c r="C131" s="2042" t="s">
        <v>1825</v>
      </c>
      <c r="D131" s="2045">
        <v>1984</v>
      </c>
      <c r="E131" s="2044" t="s">
        <v>1598</v>
      </c>
      <c r="F131" s="1643"/>
    </row>
    <row r="132" spans="1:6">
      <c r="A132" s="2041" t="s">
        <v>1836</v>
      </c>
      <c r="B132" s="2042" t="s">
        <v>1837</v>
      </c>
      <c r="C132" s="2042" t="s">
        <v>1825</v>
      </c>
      <c r="D132" s="2045">
        <v>1984</v>
      </c>
      <c r="E132" s="2044" t="s">
        <v>1598</v>
      </c>
      <c r="F132" s="1643"/>
    </row>
    <row r="133" spans="1:6">
      <c r="A133" s="2041" t="s">
        <v>1838</v>
      </c>
      <c r="B133" s="2042" t="s">
        <v>1839</v>
      </c>
      <c r="C133" s="2042" t="s">
        <v>1825</v>
      </c>
      <c r="D133" s="2045">
        <v>1965</v>
      </c>
      <c r="E133" s="2044" t="s">
        <v>1950</v>
      </c>
      <c r="F133" s="1643"/>
    </row>
    <row r="134" spans="1:6">
      <c r="A134" s="2041" t="s">
        <v>1840</v>
      </c>
      <c r="B134" s="2042" t="s">
        <v>1841</v>
      </c>
      <c r="C134" s="2042" t="s">
        <v>1825</v>
      </c>
      <c r="D134" s="2045">
        <v>1938</v>
      </c>
      <c r="E134" s="2044" t="s">
        <v>1842</v>
      </c>
      <c r="F134" s="1643"/>
    </row>
    <row r="135" spans="1:6">
      <c r="A135" s="2041" t="s">
        <v>1843</v>
      </c>
      <c r="B135" s="2042" t="s">
        <v>1844</v>
      </c>
      <c r="C135" s="2042" t="s">
        <v>1845</v>
      </c>
      <c r="D135" s="2045">
        <v>1964</v>
      </c>
      <c r="E135" s="2044" t="s">
        <v>1846</v>
      </c>
      <c r="F135" s="1643"/>
    </row>
    <row r="136" spans="1:6">
      <c r="A136" s="2041" t="s">
        <v>1847</v>
      </c>
      <c r="B136" s="2046" t="s">
        <v>1848</v>
      </c>
      <c r="C136" s="2042" t="s">
        <v>1845</v>
      </c>
      <c r="D136" s="2045">
        <v>1983</v>
      </c>
      <c r="E136" s="2044" t="s">
        <v>1598</v>
      </c>
      <c r="F136" s="1643"/>
    </row>
    <row r="137" spans="1:6">
      <c r="A137" s="2041" t="s">
        <v>1849</v>
      </c>
      <c r="B137" s="2042" t="s">
        <v>1850</v>
      </c>
      <c r="C137" s="2042" t="s">
        <v>1845</v>
      </c>
      <c r="D137" s="2045">
        <v>1953</v>
      </c>
      <c r="E137" s="2044" t="s">
        <v>1598</v>
      </c>
      <c r="F137" s="1643"/>
    </row>
    <row r="138" spans="1:6">
      <c r="A138" s="2041" t="s">
        <v>1851</v>
      </c>
      <c r="B138" s="2042" t="s">
        <v>1852</v>
      </c>
      <c r="C138" s="2042" t="s">
        <v>1845</v>
      </c>
      <c r="D138" s="2045">
        <v>1983</v>
      </c>
      <c r="E138" s="2044" t="s">
        <v>1853</v>
      </c>
      <c r="F138" s="1643"/>
    </row>
    <row r="139" spans="1:6">
      <c r="A139" s="2041" t="s">
        <v>1854</v>
      </c>
      <c r="B139" s="2042" t="s">
        <v>1855</v>
      </c>
      <c r="C139" s="2042" t="s">
        <v>1845</v>
      </c>
      <c r="D139" s="2045">
        <v>1986</v>
      </c>
      <c r="E139" s="2044" t="s">
        <v>1598</v>
      </c>
      <c r="F139" s="1643"/>
    </row>
    <row r="140" spans="1:6">
      <c r="A140" s="2041" t="s">
        <v>1856</v>
      </c>
      <c r="B140" s="2042" t="s">
        <v>1857</v>
      </c>
      <c r="C140" s="2042" t="s">
        <v>1845</v>
      </c>
      <c r="D140" s="2045">
        <v>1982</v>
      </c>
      <c r="E140" s="2044" t="s">
        <v>1598</v>
      </c>
      <c r="F140" s="1643"/>
    </row>
    <row r="141" spans="1:6">
      <c r="A141" s="2041" t="s">
        <v>1858</v>
      </c>
      <c r="B141" s="2042" t="s">
        <v>1859</v>
      </c>
      <c r="C141" s="2042" t="s">
        <v>1845</v>
      </c>
      <c r="D141" s="2045">
        <v>1982</v>
      </c>
      <c r="E141" s="2044" t="s">
        <v>1598</v>
      </c>
      <c r="F141" s="1643"/>
    </row>
    <row r="142" spans="1:6">
      <c r="A142" s="2041" t="s">
        <v>1860</v>
      </c>
      <c r="B142" s="2042" t="s">
        <v>1861</v>
      </c>
      <c r="C142" s="2042" t="s">
        <v>1845</v>
      </c>
      <c r="D142" s="2045">
        <v>1982</v>
      </c>
      <c r="E142" s="2044" t="s">
        <v>1598</v>
      </c>
      <c r="F142" s="1643"/>
    </row>
    <row r="143" spans="1:6">
      <c r="A143" s="2045" t="s">
        <v>1862</v>
      </c>
      <c r="B143" s="2042" t="s">
        <v>1863</v>
      </c>
      <c r="C143" s="2042" t="s">
        <v>1864</v>
      </c>
      <c r="D143" s="2045">
        <v>1988</v>
      </c>
      <c r="E143" s="2044" t="s">
        <v>1865</v>
      </c>
      <c r="F143" s="1643"/>
    </row>
    <row r="144" spans="1:6">
      <c r="A144" s="2045" t="s">
        <v>1866</v>
      </c>
      <c r="B144" s="2046" t="s">
        <v>1867</v>
      </c>
      <c r="C144" s="2042" t="s">
        <v>1864</v>
      </c>
      <c r="D144" s="2045">
        <v>2004</v>
      </c>
      <c r="E144" s="2044" t="s">
        <v>1868</v>
      </c>
      <c r="F144" s="1643"/>
    </row>
    <row r="145" spans="1:6">
      <c r="A145" s="2041" t="s">
        <v>1869</v>
      </c>
      <c r="B145" s="2042" t="s">
        <v>1870</v>
      </c>
      <c r="C145" s="2042" t="s">
        <v>1864</v>
      </c>
      <c r="D145" s="2045">
        <v>1956</v>
      </c>
      <c r="E145" s="2044" t="s">
        <v>1871</v>
      </c>
      <c r="F145" s="1643"/>
    </row>
    <row r="146" spans="1:6">
      <c r="A146" s="2041" t="s">
        <v>1872</v>
      </c>
      <c r="B146" s="2042" t="s">
        <v>1873</v>
      </c>
      <c r="C146" s="2042" t="s">
        <v>1864</v>
      </c>
      <c r="D146" s="2045">
        <v>1953</v>
      </c>
      <c r="E146" s="2044" t="s">
        <v>1951</v>
      </c>
      <c r="F146" s="1643"/>
    </row>
    <row r="147" spans="1:6">
      <c r="A147" s="2041" t="s">
        <v>1874</v>
      </c>
      <c r="B147" s="2042" t="s">
        <v>1875</v>
      </c>
      <c r="C147" s="2042" t="s">
        <v>1864</v>
      </c>
      <c r="D147" s="2045">
        <v>1982</v>
      </c>
      <c r="E147" s="2044" t="s">
        <v>1598</v>
      </c>
      <c r="F147" s="1643"/>
    </row>
    <row r="148" spans="1:6">
      <c r="A148" s="2041" t="s">
        <v>1876</v>
      </c>
      <c r="B148" s="2042" t="s">
        <v>1877</v>
      </c>
      <c r="C148" s="2042" t="s">
        <v>1864</v>
      </c>
      <c r="D148" s="2045">
        <v>1971</v>
      </c>
      <c r="E148" s="2044" t="s">
        <v>1598</v>
      </c>
      <c r="F148" s="1643"/>
    </row>
    <row r="149" spans="1:6">
      <c r="A149" s="2041" t="s">
        <v>1878</v>
      </c>
      <c r="B149" s="2042" t="s">
        <v>1879</v>
      </c>
      <c r="C149" s="2042" t="s">
        <v>1864</v>
      </c>
      <c r="D149" s="2045">
        <v>1971</v>
      </c>
      <c r="E149" s="2044" t="s">
        <v>1598</v>
      </c>
      <c r="F149" s="1643"/>
    </row>
    <row r="150" spans="1:6">
      <c r="A150" s="2041" t="s">
        <v>1880</v>
      </c>
      <c r="B150" s="2042" t="s">
        <v>1881</v>
      </c>
      <c r="C150" s="2042" t="s">
        <v>1864</v>
      </c>
      <c r="D150" s="2045">
        <v>1967</v>
      </c>
      <c r="E150" s="2044" t="s">
        <v>1882</v>
      </c>
      <c r="F150" s="1643"/>
    </row>
    <row r="151" spans="1:6">
      <c r="A151" s="2041" t="s">
        <v>1883</v>
      </c>
      <c r="B151" s="2042" t="s">
        <v>1884</v>
      </c>
      <c r="C151" s="2042" t="s">
        <v>1864</v>
      </c>
      <c r="D151" s="2045">
        <v>1977</v>
      </c>
      <c r="E151" s="2044" t="s">
        <v>1885</v>
      </c>
      <c r="F151" s="1643"/>
    </row>
    <row r="152" spans="1:6">
      <c r="A152" s="2041" t="s">
        <v>1886</v>
      </c>
      <c r="B152" s="2042" t="s">
        <v>1887</v>
      </c>
      <c r="C152" s="2042" t="s">
        <v>1864</v>
      </c>
      <c r="D152" s="2045">
        <v>1982</v>
      </c>
      <c r="E152" s="2044" t="s">
        <v>1598</v>
      </c>
      <c r="F152" s="1643"/>
    </row>
    <row r="153" spans="1:6">
      <c r="A153" s="2045" t="s">
        <v>1888</v>
      </c>
      <c r="B153" s="2042" t="s">
        <v>1889</v>
      </c>
      <c r="C153" s="2042" t="s">
        <v>1864</v>
      </c>
      <c r="D153" s="2045">
        <v>1987</v>
      </c>
      <c r="E153" s="2044" t="s">
        <v>1598</v>
      </c>
      <c r="F153" s="1643"/>
    </row>
    <row r="154" spans="1:6">
      <c r="A154" s="2041" t="s">
        <v>1890</v>
      </c>
      <c r="B154" s="2042" t="s">
        <v>1891</v>
      </c>
      <c r="C154" s="2042" t="s">
        <v>1864</v>
      </c>
      <c r="D154" s="2045">
        <v>1977</v>
      </c>
      <c r="E154" s="2044" t="s">
        <v>1892</v>
      </c>
      <c r="F154" s="1643"/>
    </row>
    <row r="155" spans="1:6">
      <c r="A155" s="2041" t="s">
        <v>1893</v>
      </c>
      <c r="B155" s="2046" t="s">
        <v>1894</v>
      </c>
      <c r="C155" s="2042" t="s">
        <v>1864</v>
      </c>
      <c r="D155" s="2045">
        <v>1977</v>
      </c>
      <c r="E155" s="2044" t="s">
        <v>1895</v>
      </c>
      <c r="F155" s="1643"/>
    </row>
    <row r="156" spans="1:6">
      <c r="A156" s="2045" t="s">
        <v>1896</v>
      </c>
      <c r="B156" s="2042" t="s">
        <v>1897</v>
      </c>
      <c r="C156" s="2042" t="s">
        <v>1864</v>
      </c>
      <c r="D156" s="2045">
        <v>1985</v>
      </c>
      <c r="E156" s="2044" t="s">
        <v>1898</v>
      </c>
      <c r="F156" s="1643"/>
    </row>
    <row r="157" spans="1:6">
      <c r="A157" s="2041" t="s">
        <v>1899</v>
      </c>
      <c r="B157" s="2046" t="s">
        <v>1900</v>
      </c>
      <c r="C157" s="2042" t="s">
        <v>1864</v>
      </c>
      <c r="D157" s="2045">
        <v>1976</v>
      </c>
      <c r="E157" s="2044" t="s">
        <v>1598</v>
      </c>
      <c r="F157" s="1643"/>
    </row>
    <row r="158" spans="1:6">
      <c r="A158" s="2045" t="s">
        <v>1901</v>
      </c>
      <c r="B158" s="2046" t="s">
        <v>1902</v>
      </c>
      <c r="C158" s="2042" t="s">
        <v>1864</v>
      </c>
      <c r="D158" s="2045">
        <v>1995</v>
      </c>
      <c r="E158" s="2044" t="s">
        <v>1598</v>
      </c>
      <c r="F158" s="1643"/>
    </row>
    <row r="159" spans="1:6">
      <c r="A159" s="2045" t="s">
        <v>1903</v>
      </c>
      <c r="B159" s="2047" t="s">
        <v>1904</v>
      </c>
      <c r="C159" s="2042" t="s">
        <v>1864</v>
      </c>
      <c r="D159" s="2045">
        <v>2014</v>
      </c>
      <c r="E159" s="2044" t="s">
        <v>1598</v>
      </c>
      <c r="F159" s="1643"/>
    </row>
    <row r="160" spans="1:6">
      <c r="A160" s="2041" t="s">
        <v>1905</v>
      </c>
      <c r="B160" s="2046" t="s">
        <v>1906</v>
      </c>
      <c r="C160" s="2042" t="s">
        <v>1907</v>
      </c>
      <c r="D160" s="2045">
        <v>1967</v>
      </c>
      <c r="E160" s="2044" t="s">
        <v>1908</v>
      </c>
      <c r="F160" s="1643"/>
    </row>
    <row r="161" spans="1:6">
      <c r="A161" s="2041" t="s">
        <v>1909</v>
      </c>
      <c r="B161" s="2046" t="s">
        <v>1910</v>
      </c>
      <c r="C161" s="2042" t="s">
        <v>1911</v>
      </c>
      <c r="D161" s="2045">
        <v>1992</v>
      </c>
      <c r="E161" s="2044" t="s">
        <v>1912</v>
      </c>
      <c r="F161" s="1643"/>
    </row>
    <row r="162" spans="1:6">
      <c r="A162" s="2045" t="s">
        <v>1913</v>
      </c>
      <c r="B162" s="2046" t="s">
        <v>1914</v>
      </c>
      <c r="C162" s="2042" t="s">
        <v>1911</v>
      </c>
      <c r="D162" s="2045">
        <v>1987</v>
      </c>
      <c r="E162" s="2044" t="s">
        <v>1915</v>
      </c>
      <c r="F162" s="1643"/>
    </row>
    <row r="163" spans="1:6">
      <c r="A163" s="1648"/>
      <c r="B163" s="1641"/>
      <c r="C163" s="1641"/>
      <c r="D163" s="1641"/>
      <c r="E163" s="1643"/>
      <c r="F163" s="1643"/>
    </row>
    <row r="164" spans="1:6">
      <c r="A164" s="1648"/>
      <c r="B164" s="1641"/>
      <c r="C164" s="1641"/>
      <c r="D164" s="1641"/>
      <c r="E164" s="1643"/>
      <c r="F164" s="1643"/>
    </row>
    <row r="165" spans="1:6">
      <c r="A165" s="1649"/>
      <c r="B165" s="1641"/>
      <c r="C165" s="1641"/>
      <c r="D165" s="1641"/>
      <c r="E165" s="1643"/>
      <c r="F165" s="1643"/>
    </row>
    <row r="166" spans="1:6">
      <c r="A166" s="1649"/>
      <c r="B166" s="1641"/>
      <c r="C166" s="1641"/>
      <c r="D166" s="1641"/>
      <c r="E166" s="1643"/>
      <c r="F166" s="1643"/>
    </row>
    <row r="167" spans="1:6">
      <c r="A167" s="1649"/>
      <c r="B167" s="1641"/>
      <c r="C167" s="1641"/>
      <c r="D167" s="1641"/>
      <c r="E167" s="1643"/>
      <c r="F167" s="1643"/>
    </row>
    <row r="168" spans="1:6">
      <c r="A168" s="1649"/>
      <c r="B168" s="1641"/>
      <c r="C168" s="1641"/>
      <c r="D168" s="1641"/>
      <c r="E168" s="1643"/>
      <c r="F168" s="1643"/>
    </row>
    <row r="169" spans="1:6">
      <c r="A169" s="1649"/>
      <c r="B169" s="1641"/>
      <c r="C169" s="1641"/>
      <c r="D169" s="1641"/>
      <c r="E169" s="1643"/>
      <c r="F169" s="1643"/>
    </row>
    <row r="170" spans="1:6">
      <c r="A170" s="1641"/>
      <c r="B170" s="1641"/>
      <c r="C170" s="1641"/>
      <c r="D170" s="1641"/>
      <c r="E170" s="1643"/>
      <c r="F170" s="1643"/>
    </row>
    <row r="171" spans="1:6">
      <c r="A171" s="1641"/>
      <c r="B171" s="1641"/>
      <c r="C171" s="1641"/>
      <c r="D171" s="1641"/>
      <c r="E171" s="1643"/>
      <c r="F171" s="1643"/>
    </row>
    <row r="172" spans="1:6">
      <c r="A172" s="1641"/>
      <c r="B172" s="1641"/>
      <c r="C172" s="1641"/>
      <c r="D172" s="1641"/>
      <c r="E172" s="1643"/>
      <c r="F172" s="1643"/>
    </row>
    <row r="173" spans="1:6">
      <c r="A173" s="1641"/>
      <c r="B173" s="1641"/>
      <c r="C173" s="1641"/>
      <c r="D173" s="1641"/>
      <c r="E173" s="1643"/>
      <c r="F173" s="1643"/>
    </row>
    <row r="174" spans="1:6">
      <c r="A174" s="1641"/>
      <c r="B174" s="1641"/>
      <c r="C174" s="1641"/>
      <c r="D174" s="1641"/>
      <c r="E174" s="1643"/>
      <c r="F174" s="1643"/>
    </row>
    <row r="175" spans="1:6">
      <c r="A175" s="1641"/>
      <c r="B175" s="1641"/>
      <c r="C175" s="1641"/>
      <c r="D175" s="1641"/>
      <c r="E175" s="1643"/>
      <c r="F175" s="1643"/>
    </row>
    <row r="176" spans="1:6">
      <c r="A176" s="1641"/>
      <c r="B176" s="1641"/>
      <c r="C176" s="1641"/>
      <c r="D176" s="1641"/>
      <c r="E176" s="1643"/>
      <c r="F176" s="1643"/>
    </row>
    <row r="177" spans="1:6">
      <c r="A177" s="1641"/>
      <c r="B177" s="1641"/>
      <c r="C177" s="1641"/>
      <c r="D177" s="1641"/>
      <c r="E177" s="1643"/>
      <c r="F177" s="1643"/>
    </row>
    <row r="178" spans="1:6">
      <c r="A178" s="1641"/>
      <c r="B178" s="1641"/>
      <c r="C178" s="1641"/>
      <c r="D178" s="1641"/>
      <c r="E178" s="1643"/>
      <c r="F178" s="1643"/>
    </row>
    <row r="179" spans="1:6">
      <c r="A179" s="1641"/>
      <c r="B179" s="1641"/>
      <c r="C179" s="1641"/>
      <c r="D179" s="1641"/>
      <c r="E179" s="1643"/>
      <c r="F179" s="1643"/>
    </row>
    <row r="180" spans="1:6">
      <c r="A180" s="1641"/>
      <c r="B180" s="1641"/>
      <c r="C180" s="1641"/>
      <c r="D180" s="1641"/>
      <c r="E180" s="1643"/>
      <c r="F180" s="1643"/>
    </row>
    <row r="181" spans="1:6">
      <c r="A181" s="1641"/>
      <c r="B181" s="1641"/>
      <c r="C181" s="1641"/>
      <c r="D181" s="1641"/>
      <c r="E181" s="1643"/>
      <c r="F181" s="1643"/>
    </row>
    <row r="182" spans="1:6">
      <c r="A182" s="1641"/>
      <c r="B182" s="1641"/>
      <c r="C182" s="1641"/>
      <c r="D182" s="1641"/>
      <c r="E182" s="1643"/>
      <c r="F182" s="1643"/>
    </row>
    <row r="183" spans="1:6">
      <c r="A183" s="1641"/>
      <c r="B183" s="1641"/>
      <c r="C183" s="1641"/>
      <c r="D183" s="1641"/>
      <c r="E183" s="1643"/>
      <c r="F183" s="1643"/>
    </row>
    <row r="184" spans="1:6">
      <c r="A184" s="1641"/>
      <c r="B184" s="1641"/>
      <c r="C184" s="1641"/>
      <c r="D184" s="1641"/>
      <c r="E184" s="1643"/>
      <c r="F184" s="1643"/>
    </row>
    <row r="185" spans="1:6">
      <c r="A185" s="1641"/>
      <c r="B185" s="1641"/>
      <c r="C185" s="1641"/>
      <c r="D185" s="1641"/>
      <c r="E185" s="1643"/>
      <c r="F185" s="1643"/>
    </row>
    <row r="186" spans="1:6">
      <c r="A186" s="1641"/>
      <c r="B186" s="1641"/>
      <c r="C186" s="1641"/>
      <c r="D186" s="1641"/>
      <c r="E186" s="1643"/>
      <c r="F186" s="1643"/>
    </row>
    <row r="187" spans="1:6">
      <c r="A187" s="1641"/>
      <c r="B187" s="1641"/>
      <c r="C187" s="1641"/>
      <c r="D187" s="1641"/>
      <c r="E187" s="1643"/>
      <c r="F187" s="1643"/>
    </row>
    <row r="188" spans="1:6">
      <c r="A188" s="1641"/>
      <c r="B188" s="1641"/>
      <c r="C188" s="1641"/>
      <c r="D188" s="1641"/>
      <c r="E188" s="1643"/>
      <c r="F188" s="1643"/>
    </row>
    <row r="189" spans="1:6">
      <c r="A189" s="1641"/>
      <c r="B189" s="1641"/>
      <c r="C189" s="1641"/>
      <c r="D189" s="1641"/>
      <c r="E189" s="1643"/>
      <c r="F189" s="1643"/>
    </row>
    <row r="190" spans="1:6">
      <c r="A190" s="1641"/>
      <c r="B190" s="1641"/>
      <c r="C190" s="1641"/>
      <c r="D190" s="1641"/>
      <c r="E190" s="1643"/>
      <c r="F190" s="1643"/>
    </row>
    <row r="191" spans="1:6">
      <c r="A191" s="1641"/>
      <c r="B191" s="1641"/>
      <c r="C191" s="1641"/>
      <c r="D191" s="1641"/>
      <c r="E191" s="1643"/>
      <c r="F191" s="1643"/>
    </row>
    <row r="192" spans="1:6">
      <c r="A192" s="1641"/>
      <c r="B192" s="1641"/>
      <c r="C192" s="1641"/>
      <c r="D192" s="1641"/>
      <c r="E192" s="1643"/>
      <c r="F192" s="1643"/>
    </row>
    <row r="193" spans="1:6">
      <c r="A193" s="1641"/>
      <c r="B193" s="1641"/>
      <c r="C193" s="1641"/>
      <c r="D193" s="1641"/>
      <c r="E193" s="1643"/>
      <c r="F193" s="1643"/>
    </row>
    <row r="194" spans="1:6">
      <c r="A194" s="1641"/>
      <c r="B194" s="1641"/>
      <c r="C194" s="1641"/>
      <c r="D194" s="1641"/>
      <c r="E194" s="1643"/>
      <c r="F194" s="1643"/>
    </row>
    <row r="195" spans="1:6">
      <c r="A195" s="1641"/>
      <c r="B195" s="1641"/>
      <c r="C195" s="1641"/>
      <c r="D195" s="1641"/>
      <c r="E195" s="1643"/>
      <c r="F195" s="1643"/>
    </row>
    <row r="196" spans="1:6">
      <c r="A196" s="1641"/>
      <c r="B196" s="1641"/>
      <c r="C196" s="1641"/>
      <c r="D196" s="1641"/>
      <c r="E196" s="1643"/>
      <c r="F196" s="1643"/>
    </row>
    <row r="197" spans="1:6">
      <c r="A197" s="1641"/>
      <c r="B197" s="1641"/>
      <c r="C197" s="1641"/>
      <c r="D197" s="1641"/>
      <c r="E197" s="1643"/>
      <c r="F197" s="1643"/>
    </row>
    <row r="198" spans="1:6">
      <c r="A198" s="1641"/>
      <c r="B198" s="1641"/>
      <c r="C198" s="1641"/>
      <c r="D198" s="1641"/>
      <c r="E198" s="1643"/>
      <c r="F198" s="1643"/>
    </row>
    <row r="199" spans="1:6">
      <c r="A199" s="1641"/>
      <c r="B199" s="1641"/>
      <c r="C199" s="1641"/>
      <c r="D199" s="1641"/>
      <c r="E199" s="1643"/>
      <c r="F199" s="1643"/>
    </row>
    <row r="200" spans="1:6">
      <c r="A200" s="1641"/>
      <c r="B200" s="1641"/>
      <c r="C200" s="1641"/>
      <c r="D200" s="1641"/>
      <c r="E200" s="1643"/>
      <c r="F200" s="1643"/>
    </row>
    <row r="201" spans="1:6">
      <c r="A201" s="1641"/>
      <c r="B201" s="1641"/>
      <c r="C201" s="1641"/>
      <c r="D201" s="1641"/>
      <c r="E201" s="1643"/>
      <c r="F201" s="1643"/>
    </row>
    <row r="202" spans="1:6">
      <c r="A202" s="1641"/>
      <c r="B202" s="1641"/>
      <c r="C202" s="1641"/>
      <c r="D202" s="1641"/>
      <c r="E202" s="1643"/>
      <c r="F202" s="1643"/>
    </row>
    <row r="203" spans="1:6">
      <c r="A203" s="1641"/>
      <c r="B203" s="1641"/>
      <c r="C203" s="1641"/>
      <c r="D203" s="1641"/>
      <c r="E203" s="1643"/>
      <c r="F203" s="1643"/>
    </row>
    <row r="204" spans="1:6">
      <c r="A204" s="1641"/>
      <c r="B204" s="1641"/>
      <c r="C204" s="1641"/>
      <c r="D204" s="1641"/>
      <c r="E204" s="1643"/>
      <c r="F204" s="1643"/>
    </row>
    <row r="205" spans="1:6">
      <c r="A205" s="1641"/>
      <c r="B205" s="1641"/>
      <c r="C205" s="1641"/>
      <c r="D205" s="1641"/>
      <c r="E205" s="1643"/>
      <c r="F205" s="1643"/>
    </row>
    <row r="206" spans="1:6">
      <c r="A206" s="1641"/>
      <c r="B206" s="1641"/>
      <c r="C206" s="1641"/>
      <c r="D206" s="1641"/>
      <c r="E206" s="1643"/>
      <c r="F206" s="1643"/>
    </row>
    <row r="207" spans="1:6">
      <c r="A207" s="1641"/>
      <c r="B207" s="1641"/>
      <c r="C207" s="1641"/>
      <c r="D207" s="1641"/>
      <c r="E207" s="1643"/>
      <c r="F207" s="1643"/>
    </row>
    <row r="208" spans="1:6">
      <c r="A208" s="1641"/>
      <c r="B208" s="1641"/>
      <c r="C208" s="1641"/>
      <c r="D208" s="1641"/>
      <c r="E208" s="1643"/>
      <c r="F208" s="1643"/>
    </row>
    <row r="209" spans="1:6">
      <c r="A209" s="1641"/>
      <c r="B209" s="1641"/>
      <c r="C209" s="1641"/>
      <c r="D209" s="1641"/>
      <c r="E209" s="1643"/>
      <c r="F209" s="1643"/>
    </row>
    <row r="210" spans="1:6">
      <c r="A210" s="1641"/>
      <c r="B210" s="1641"/>
      <c r="C210" s="1641"/>
      <c r="D210" s="1641"/>
      <c r="E210" s="1643"/>
      <c r="F210" s="1643"/>
    </row>
    <row r="211" spans="1:6">
      <c r="A211" s="1641"/>
      <c r="B211" s="1641"/>
      <c r="C211" s="1641"/>
      <c r="D211" s="1641"/>
      <c r="E211" s="1643"/>
      <c r="F211" s="1643"/>
    </row>
    <row r="212" spans="1:6">
      <c r="A212" s="1641"/>
      <c r="B212" s="1641"/>
      <c r="C212" s="1641"/>
      <c r="D212" s="1641"/>
      <c r="E212" s="1643"/>
      <c r="F212" s="1643"/>
    </row>
    <row r="213" spans="1:6">
      <c r="A213" s="1641"/>
      <c r="B213" s="1641"/>
      <c r="C213" s="1641"/>
      <c r="D213" s="1641"/>
      <c r="E213" s="1643"/>
      <c r="F213" s="1643"/>
    </row>
    <row r="214" spans="1:6">
      <c r="A214" s="1641"/>
      <c r="B214" s="1641"/>
      <c r="C214" s="1641"/>
      <c r="D214" s="1641"/>
      <c r="E214" s="1643"/>
      <c r="F214" s="1643"/>
    </row>
    <row r="215" spans="1:6">
      <c r="A215" s="1641"/>
      <c r="B215" s="1641"/>
      <c r="C215" s="1641"/>
      <c r="D215" s="1641"/>
      <c r="E215" s="1643"/>
      <c r="F215" s="1643"/>
    </row>
    <row r="216" spans="1:6">
      <c r="A216" s="1650"/>
      <c r="B216" s="1650"/>
      <c r="C216" s="1650"/>
      <c r="D216" s="1650"/>
      <c r="F216" s="1643"/>
    </row>
    <row r="217" spans="1:6">
      <c r="A217" s="1650"/>
      <c r="B217" s="1650"/>
      <c r="C217" s="1650"/>
      <c r="D217" s="1650"/>
      <c r="F217" s="1643"/>
    </row>
    <row r="218" spans="1:6">
      <c r="A218" s="1650"/>
      <c r="B218" s="1650"/>
      <c r="C218" s="1650"/>
      <c r="D218" s="1650"/>
      <c r="F218" s="1643"/>
    </row>
    <row r="219" spans="1:6">
      <c r="A219" s="1650"/>
      <c r="B219" s="1650"/>
      <c r="C219" s="1650"/>
      <c r="D219" s="1650"/>
      <c r="F219" s="1643"/>
    </row>
    <row r="220" spans="1:6">
      <c r="A220" s="1650"/>
      <c r="B220" s="1650"/>
      <c r="C220" s="1650"/>
      <c r="D220" s="1650"/>
      <c r="F220" s="1643"/>
    </row>
    <row r="221" spans="1:6">
      <c r="A221" s="1650"/>
      <c r="B221" s="1650"/>
      <c r="C221" s="1650"/>
      <c r="D221" s="1650"/>
      <c r="F221" s="1643"/>
    </row>
    <row r="222" spans="1:6">
      <c r="A222" s="1650"/>
      <c r="B222" s="1650"/>
      <c r="C222" s="1650"/>
      <c r="D222" s="1650"/>
      <c r="F222" s="1643"/>
    </row>
    <row r="223" spans="1:6">
      <c r="A223" s="1650"/>
      <c r="B223" s="1650"/>
      <c r="C223" s="1650"/>
      <c r="D223" s="1650"/>
      <c r="F223" s="1643"/>
    </row>
    <row r="224" spans="1:6">
      <c r="A224" s="1650"/>
      <c r="B224" s="1650"/>
      <c r="C224" s="1650"/>
      <c r="D224" s="1650"/>
      <c r="F224" s="1643"/>
    </row>
    <row r="225" spans="1:6">
      <c r="A225" s="1650"/>
      <c r="B225" s="1650"/>
      <c r="C225" s="1650"/>
      <c r="D225" s="1650"/>
      <c r="F225" s="1643"/>
    </row>
    <row r="226" spans="1:6">
      <c r="A226" s="1650"/>
      <c r="B226" s="1650"/>
      <c r="C226" s="1650"/>
      <c r="D226" s="1650"/>
      <c r="F226" s="1643"/>
    </row>
    <row r="227" spans="1:6">
      <c r="A227" s="1650"/>
      <c r="B227" s="1650"/>
      <c r="C227" s="1650"/>
      <c r="D227" s="1650"/>
      <c r="F227" s="1643"/>
    </row>
    <row r="228" spans="1:6">
      <c r="A228" s="1650"/>
      <c r="B228" s="1650"/>
      <c r="C228" s="1650"/>
      <c r="D228" s="1650"/>
      <c r="F228" s="1643"/>
    </row>
    <row r="229" spans="1:6">
      <c r="A229" s="1650"/>
      <c r="B229" s="1650"/>
      <c r="C229" s="1650"/>
      <c r="D229" s="1650"/>
      <c r="F229" s="1643"/>
    </row>
    <row r="230" spans="1:6">
      <c r="A230" s="1650"/>
      <c r="B230" s="1650"/>
      <c r="C230" s="1650"/>
      <c r="D230" s="1650"/>
      <c r="F230" s="1643"/>
    </row>
    <row r="231" spans="1:6">
      <c r="A231" s="1650"/>
      <c r="B231" s="1650"/>
      <c r="C231" s="1650"/>
      <c r="D231" s="1650"/>
      <c r="F231" s="1643"/>
    </row>
    <row r="232" spans="1:6">
      <c r="A232" s="1650"/>
      <c r="B232" s="1650"/>
      <c r="C232" s="1650"/>
      <c r="D232" s="1650"/>
      <c r="F232" s="1643"/>
    </row>
    <row r="233" spans="1:6">
      <c r="A233" s="1650"/>
      <c r="B233" s="1650"/>
      <c r="C233" s="1650"/>
      <c r="D233" s="1650"/>
      <c r="F233" s="1643"/>
    </row>
    <row r="234" spans="1:6">
      <c r="A234" s="1650"/>
      <c r="B234" s="1650"/>
      <c r="C234" s="1650"/>
      <c r="D234" s="1650"/>
      <c r="F234" s="1643"/>
    </row>
    <row r="235" spans="1:6">
      <c r="A235" s="1650"/>
      <c r="B235" s="1650"/>
      <c r="C235" s="1650"/>
      <c r="D235" s="1650"/>
      <c r="F235" s="1643"/>
    </row>
    <row r="236" spans="1:6">
      <c r="A236" s="1650"/>
      <c r="B236" s="1650"/>
      <c r="C236" s="1650"/>
      <c r="D236" s="1650"/>
      <c r="F236" s="1643"/>
    </row>
    <row r="237" spans="1:6">
      <c r="A237" s="1650"/>
      <c r="B237" s="1650"/>
      <c r="C237" s="1650"/>
      <c r="D237" s="1650"/>
      <c r="F237" s="1643"/>
    </row>
    <row r="238" spans="1:6">
      <c r="A238" s="1650"/>
      <c r="B238" s="1650"/>
      <c r="C238" s="1650"/>
      <c r="D238" s="1650"/>
      <c r="F238" s="1643"/>
    </row>
    <row r="239" spans="1:6">
      <c r="A239" s="1650"/>
      <c r="B239" s="1650"/>
      <c r="C239" s="1650"/>
      <c r="D239" s="1650"/>
      <c r="F239" s="1643"/>
    </row>
    <row r="240" spans="1:6">
      <c r="A240" s="1650"/>
      <c r="B240" s="1650"/>
      <c r="C240" s="1650"/>
      <c r="D240" s="1650"/>
      <c r="F240" s="1643"/>
    </row>
    <row r="241" spans="1:6">
      <c r="A241" s="1650"/>
      <c r="B241" s="1650"/>
      <c r="C241" s="1650"/>
      <c r="D241" s="1650"/>
      <c r="F241" s="1643"/>
    </row>
    <row r="242" spans="1:6">
      <c r="A242" s="1650"/>
      <c r="B242" s="1650"/>
      <c r="C242" s="1650"/>
      <c r="D242" s="1650"/>
      <c r="F242" s="1643"/>
    </row>
    <row r="243" spans="1:6">
      <c r="A243" s="1650"/>
      <c r="B243" s="1650"/>
      <c r="C243" s="1650"/>
      <c r="D243" s="1650"/>
      <c r="F243" s="1643"/>
    </row>
    <row r="244" spans="1:6">
      <c r="A244" s="1650"/>
      <c r="B244" s="1650"/>
      <c r="C244" s="1650"/>
      <c r="D244" s="1650"/>
      <c r="F244" s="1643"/>
    </row>
    <row r="245" spans="1:6">
      <c r="A245" s="1650"/>
      <c r="B245" s="1650"/>
      <c r="C245" s="1650"/>
      <c r="D245" s="1650"/>
      <c r="F245" s="1643"/>
    </row>
    <row r="246" spans="1:6">
      <c r="A246" s="1650"/>
      <c r="B246" s="1650"/>
      <c r="C246" s="1650"/>
      <c r="D246" s="1650"/>
      <c r="F246" s="1643"/>
    </row>
    <row r="247" spans="1:6">
      <c r="A247" s="1650"/>
      <c r="B247" s="1650"/>
      <c r="C247" s="1650"/>
      <c r="D247" s="1650"/>
      <c r="F247" s="1643"/>
    </row>
    <row r="248" spans="1:6">
      <c r="A248" s="1650"/>
      <c r="B248" s="1650"/>
      <c r="C248" s="1650"/>
      <c r="D248" s="1650"/>
      <c r="F248" s="1643"/>
    </row>
    <row r="249" spans="1:6">
      <c r="A249" s="1650"/>
      <c r="B249" s="1650"/>
      <c r="C249" s="1650"/>
      <c r="D249" s="1650"/>
      <c r="F249" s="1643"/>
    </row>
    <row r="250" spans="1:6">
      <c r="A250" s="1650"/>
      <c r="B250" s="1650"/>
      <c r="C250" s="1650"/>
      <c r="D250" s="1650"/>
      <c r="F250" s="1643"/>
    </row>
    <row r="251" spans="1:6">
      <c r="A251" s="1650"/>
      <c r="B251" s="1650"/>
      <c r="C251" s="1650"/>
      <c r="D251" s="1650"/>
      <c r="F251" s="1643"/>
    </row>
    <row r="252" spans="1:6">
      <c r="A252" s="1650"/>
      <c r="B252" s="1650"/>
      <c r="C252" s="1650"/>
      <c r="D252" s="1650"/>
      <c r="F252" s="1643"/>
    </row>
    <row r="253" spans="1:6">
      <c r="A253" s="1650"/>
      <c r="B253" s="1650"/>
      <c r="C253" s="1650"/>
      <c r="D253" s="1650"/>
      <c r="F253" s="1643"/>
    </row>
    <row r="254" spans="1:6">
      <c r="A254" s="1650"/>
      <c r="B254" s="1650"/>
      <c r="C254" s="1650"/>
      <c r="D254" s="1650"/>
      <c r="F254" s="1643"/>
    </row>
    <row r="255" spans="1:6">
      <c r="A255" s="1650"/>
      <c r="B255" s="1650"/>
      <c r="C255" s="1650"/>
      <c r="D255" s="1650"/>
      <c r="F255" s="1643"/>
    </row>
    <row r="256" spans="1:6">
      <c r="A256" s="1650"/>
      <c r="B256" s="1650"/>
      <c r="C256" s="1650"/>
      <c r="D256" s="1650"/>
      <c r="F256" s="1643"/>
    </row>
    <row r="257" spans="1:6">
      <c r="A257" s="1650"/>
      <c r="B257" s="1650"/>
      <c r="C257" s="1650"/>
      <c r="D257" s="1650"/>
      <c r="F257" s="1643"/>
    </row>
    <row r="258" spans="1:6">
      <c r="A258" s="1650"/>
      <c r="B258" s="1650"/>
      <c r="C258" s="1650"/>
      <c r="D258" s="1650"/>
      <c r="F258" s="1643"/>
    </row>
    <row r="259" spans="1:6">
      <c r="A259" s="1650"/>
      <c r="B259" s="1650"/>
      <c r="C259" s="1650"/>
      <c r="D259" s="1650"/>
      <c r="F259" s="1643"/>
    </row>
    <row r="260" spans="1:6">
      <c r="A260" s="1650"/>
      <c r="B260" s="1650"/>
      <c r="C260" s="1650"/>
      <c r="D260" s="1650"/>
      <c r="F260" s="1643"/>
    </row>
    <row r="261" spans="1:6">
      <c r="A261" s="1650"/>
      <c r="B261" s="1650"/>
      <c r="C261" s="1650"/>
      <c r="D261" s="1650"/>
      <c r="F261" s="1643"/>
    </row>
    <row r="262" spans="1:6">
      <c r="A262" s="1650"/>
      <c r="B262" s="1650"/>
      <c r="C262" s="1650"/>
      <c r="D262" s="1650"/>
      <c r="F262" s="1643"/>
    </row>
    <row r="263" spans="1:6">
      <c r="A263" s="1650"/>
      <c r="B263" s="1650"/>
      <c r="C263" s="1650"/>
      <c r="D263" s="1650"/>
      <c r="F263" s="1643"/>
    </row>
    <row r="264" spans="1:6">
      <c r="A264" s="1650"/>
      <c r="B264" s="1650"/>
      <c r="C264" s="1650"/>
      <c r="D264" s="1650"/>
      <c r="F264" s="1643"/>
    </row>
    <row r="265" spans="1:6">
      <c r="A265" s="1650"/>
      <c r="B265" s="1650"/>
      <c r="C265" s="1650"/>
      <c r="D265" s="1650"/>
      <c r="F265" s="1643"/>
    </row>
    <row r="266" spans="1:6">
      <c r="A266" s="1650"/>
      <c r="B266" s="1650"/>
      <c r="C266" s="1650"/>
      <c r="D266" s="1650"/>
      <c r="F266" s="1643"/>
    </row>
    <row r="267" spans="1:6">
      <c r="A267" s="1650"/>
      <c r="B267" s="1650"/>
      <c r="C267" s="1650"/>
      <c r="D267" s="1650"/>
      <c r="F267" s="1643"/>
    </row>
    <row r="268" spans="1:6">
      <c r="A268" s="1650"/>
      <c r="B268" s="1650"/>
      <c r="C268" s="1650"/>
      <c r="D268" s="1650"/>
      <c r="F268" s="1643"/>
    </row>
    <row r="269" spans="1:6">
      <c r="A269" s="1650"/>
      <c r="B269" s="1650"/>
      <c r="C269" s="1650"/>
      <c r="D269" s="1650"/>
      <c r="F269" s="1643"/>
    </row>
    <row r="270" spans="1:6">
      <c r="A270" s="1650"/>
      <c r="B270" s="1650"/>
      <c r="C270" s="1650"/>
      <c r="D270" s="1650"/>
      <c r="F270" s="1643"/>
    </row>
    <row r="271" spans="1:6">
      <c r="A271" s="1650"/>
      <c r="B271" s="1650"/>
      <c r="C271" s="1650"/>
      <c r="D271" s="1650"/>
      <c r="F271" s="1643"/>
    </row>
    <row r="272" spans="1:6">
      <c r="A272" s="1650"/>
      <c r="B272" s="1650"/>
      <c r="C272" s="1650"/>
      <c r="D272" s="1650"/>
      <c r="F272" s="1643"/>
    </row>
    <row r="273" spans="1:6">
      <c r="A273" s="1650"/>
      <c r="B273" s="1650"/>
      <c r="C273" s="1650"/>
      <c r="D273" s="1650"/>
      <c r="F273" s="1643"/>
    </row>
    <row r="274" spans="1:6">
      <c r="A274" s="1650"/>
      <c r="B274" s="1650"/>
      <c r="C274" s="1650"/>
      <c r="D274" s="1650"/>
      <c r="F274" s="1643"/>
    </row>
    <row r="275" spans="1:6">
      <c r="A275" s="1650"/>
      <c r="B275" s="1650"/>
      <c r="C275" s="1650"/>
      <c r="D275" s="1650"/>
      <c r="F275" s="1643"/>
    </row>
    <row r="276" spans="1:6">
      <c r="A276" s="1650"/>
      <c r="B276" s="1650"/>
      <c r="C276" s="1650"/>
      <c r="D276" s="1650"/>
      <c r="F276" s="1643"/>
    </row>
    <row r="277" spans="1:6">
      <c r="A277" s="1650"/>
      <c r="B277" s="1650"/>
      <c r="C277" s="1650"/>
      <c r="D277" s="1650"/>
      <c r="F277" s="1643"/>
    </row>
    <row r="278" spans="1:6">
      <c r="A278" s="1650"/>
      <c r="B278" s="1650"/>
      <c r="C278" s="1650"/>
      <c r="D278" s="1650"/>
      <c r="F278" s="1643"/>
    </row>
    <row r="279" spans="1:6">
      <c r="A279" s="1650"/>
      <c r="B279" s="1650"/>
      <c r="C279" s="1650"/>
      <c r="D279" s="1650"/>
      <c r="F279" s="1643"/>
    </row>
    <row r="280" spans="1:6">
      <c r="A280" s="1650"/>
      <c r="B280" s="1650"/>
      <c r="C280" s="1650"/>
      <c r="D280" s="1650"/>
      <c r="F280" s="1643"/>
    </row>
    <row r="281" spans="1:6">
      <c r="A281" s="1650"/>
      <c r="B281" s="1650"/>
      <c r="C281" s="1650"/>
      <c r="D281" s="1650"/>
      <c r="F281" s="1643"/>
    </row>
    <row r="282" spans="1:6">
      <c r="A282" s="1650"/>
      <c r="B282" s="1650"/>
      <c r="C282" s="1650"/>
      <c r="D282" s="1650"/>
      <c r="F282" s="1643"/>
    </row>
    <row r="283" spans="1:6">
      <c r="A283" s="1650"/>
      <c r="B283" s="1650"/>
      <c r="C283" s="1650"/>
      <c r="D283" s="1650"/>
      <c r="F283" s="1643"/>
    </row>
    <row r="284" spans="1:6">
      <c r="A284" s="1650"/>
      <c r="B284" s="1650"/>
      <c r="C284" s="1650"/>
      <c r="D284" s="1650"/>
      <c r="F284" s="1643"/>
    </row>
    <row r="285" spans="1:6">
      <c r="A285" s="1650"/>
      <c r="B285" s="1650"/>
      <c r="C285" s="1650"/>
      <c r="D285" s="1650"/>
      <c r="F285" s="1643"/>
    </row>
    <row r="286" spans="1:6">
      <c r="A286" s="1650"/>
      <c r="B286" s="1650"/>
      <c r="C286" s="1650"/>
      <c r="D286" s="1650"/>
      <c r="F286" s="1643"/>
    </row>
    <row r="287" spans="1:6">
      <c r="A287" s="1650"/>
      <c r="B287" s="1650"/>
      <c r="C287" s="1650"/>
      <c r="D287" s="1650"/>
      <c r="F287" s="1643"/>
    </row>
    <row r="288" spans="1:6">
      <c r="A288" s="1650"/>
      <c r="B288" s="1650"/>
      <c r="C288" s="1650"/>
      <c r="D288" s="1650"/>
      <c r="F288" s="1643"/>
    </row>
    <row r="289" spans="1:6">
      <c r="A289" s="1650"/>
      <c r="B289" s="1650"/>
      <c r="C289" s="1650"/>
      <c r="D289" s="1650"/>
      <c r="F289" s="1643"/>
    </row>
    <row r="290" spans="1:6">
      <c r="A290" s="1650"/>
      <c r="B290" s="1650"/>
      <c r="C290" s="1650"/>
      <c r="D290" s="1650"/>
      <c r="F290" s="1643"/>
    </row>
    <row r="291" spans="1:6">
      <c r="A291" s="1650"/>
      <c r="B291" s="1650"/>
      <c r="C291" s="1650"/>
      <c r="D291" s="1650"/>
      <c r="F291" s="1643"/>
    </row>
    <row r="292" spans="1:6">
      <c r="A292" s="1650"/>
      <c r="B292" s="1650"/>
      <c r="C292" s="1650"/>
      <c r="D292" s="1650"/>
      <c r="F292" s="1643"/>
    </row>
    <row r="293" spans="1:6">
      <c r="F293" s="1643"/>
    </row>
    <row r="294" spans="1:6">
      <c r="F294" s="1643"/>
    </row>
    <row r="295" spans="1:6">
      <c r="F295" s="1643"/>
    </row>
    <row r="296" spans="1:6">
      <c r="F296" s="1643"/>
    </row>
    <row r="297" spans="1:6">
      <c r="F297" s="1643"/>
    </row>
    <row r="298" spans="1:6">
      <c r="F298" s="1643"/>
    </row>
    <row r="299" spans="1:6">
      <c r="F299" s="1643"/>
    </row>
    <row r="300" spans="1:6">
      <c r="F300" s="1643"/>
    </row>
    <row r="301" spans="1:6">
      <c r="F301" s="1643"/>
    </row>
    <row r="302" spans="1:6">
      <c r="F302" s="1643"/>
    </row>
    <row r="303" spans="1:6">
      <c r="F303" s="1643"/>
    </row>
    <row r="304" spans="1:6">
      <c r="F304" s="1643"/>
    </row>
  </sheetData>
  <pageMargins left="0.7" right="0.7" top="0.75" bottom="0.75" header="0.3" footer="0.3"/>
  <pageSetup scale="79" firstPageNumber="133" fitToHeight="4" orientation="landscape" useFirstPageNumber="1"/>
  <headerFooter>
    <oddFooter>&amp;R&amp;8&amp;P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enableFormatConditionsCalculation="0"/>
  <dimension ref="A1:V76"/>
  <sheetViews>
    <sheetView showGridLines="0" showOutlineSymbols="0" zoomScale="90" zoomScaleNormal="90" zoomScalePageLayoutView="90" workbookViewId="0"/>
  </sheetViews>
  <sheetFormatPr baseColWidth="10" defaultColWidth="9.5703125" defaultRowHeight="13" x14ac:dyDescent="0"/>
  <cols>
    <col min="1" max="1" width="32.5703125" style="67" customWidth="1"/>
    <col min="2" max="2" width="1.85546875" style="67" customWidth="1"/>
    <col min="3" max="3" width="10.5703125" style="67" bestFit="1" customWidth="1"/>
    <col min="4" max="4" width="1.85546875" style="67" customWidth="1"/>
    <col min="5" max="5" width="10.5703125" style="67" bestFit="1" customWidth="1"/>
    <col min="6" max="6" width="1.85546875" style="67" customWidth="1"/>
    <col min="7" max="7" width="10.5703125" style="67" bestFit="1" customWidth="1"/>
    <col min="8" max="8" width="1.85546875" style="67" customWidth="1"/>
    <col min="9" max="9" width="10.5703125" style="67" customWidth="1"/>
    <col min="10" max="10" width="1.85546875" style="67" customWidth="1"/>
    <col min="11" max="11" width="10.5703125" style="67" bestFit="1" customWidth="1"/>
    <col min="12" max="12" width="1.85546875" style="67" customWidth="1"/>
    <col min="13" max="13" width="10.5703125" style="67" bestFit="1" customWidth="1"/>
    <col min="14" max="14" width="1.85546875" style="67" customWidth="1"/>
    <col min="15" max="15" width="10.5703125" style="67" bestFit="1" customWidth="1"/>
    <col min="16" max="16" width="1.85546875" style="67" customWidth="1"/>
    <col min="17" max="17" width="10.5703125" style="67" customWidth="1"/>
    <col min="18" max="18" width="1.85546875" style="67" customWidth="1"/>
    <col min="19" max="19" width="10.85546875" style="67" customWidth="1"/>
    <col min="20" max="20" width="1.85546875" style="67" customWidth="1"/>
    <col min="21" max="21" width="10.5703125" style="67" customWidth="1"/>
    <col min="22" max="16384" width="9.5703125" style="67"/>
  </cols>
  <sheetData>
    <row r="1" spans="1:21" ht="15">
      <c r="A1" s="1582" t="s">
        <v>1443</v>
      </c>
    </row>
    <row r="3" spans="1:21" ht="23.25" customHeight="1">
      <c r="A3" s="70" t="s">
        <v>0</v>
      </c>
      <c r="B3" s="71"/>
      <c r="C3" s="71"/>
      <c r="D3" s="127"/>
      <c r="E3" s="71"/>
      <c r="F3" s="71"/>
      <c r="G3" s="71"/>
      <c r="H3" s="127"/>
      <c r="I3" s="127"/>
      <c r="J3" s="127"/>
      <c r="K3" s="127"/>
      <c r="L3" s="127"/>
      <c r="M3" s="127"/>
      <c r="N3" s="127"/>
      <c r="O3" s="127"/>
      <c r="P3" s="127"/>
      <c r="Q3" s="127"/>
      <c r="R3" s="128"/>
      <c r="T3" s="128"/>
    </row>
    <row r="4" spans="1:21" ht="22.5" customHeight="1">
      <c r="A4" s="70" t="s">
        <v>1</v>
      </c>
      <c r="B4" s="71"/>
      <c r="C4" s="71"/>
      <c r="D4" s="127"/>
      <c r="E4" s="71"/>
      <c r="F4" s="71"/>
      <c r="G4" s="71"/>
      <c r="H4" s="127"/>
      <c r="I4" s="127"/>
      <c r="J4" s="127"/>
      <c r="K4" s="127"/>
      <c r="L4" s="127"/>
      <c r="M4" s="127"/>
      <c r="N4" s="127"/>
      <c r="O4" s="127"/>
      <c r="P4" s="127"/>
      <c r="Q4" s="127"/>
      <c r="R4" s="128"/>
      <c r="T4" s="128"/>
    </row>
    <row r="5" spans="1:21" ht="21" customHeight="1">
      <c r="A5" s="129" t="s">
        <v>89</v>
      </c>
      <c r="B5" s="71"/>
      <c r="C5" s="71"/>
      <c r="D5" s="127"/>
      <c r="E5" s="71"/>
      <c r="F5" s="71"/>
      <c r="G5" s="71"/>
      <c r="H5" s="127"/>
      <c r="I5" s="127"/>
      <c r="J5" s="127"/>
      <c r="K5" s="127"/>
      <c r="L5" s="127"/>
      <c r="M5" s="127"/>
      <c r="N5" s="127"/>
      <c r="P5" s="130"/>
      <c r="R5" s="128"/>
      <c r="T5" s="128"/>
      <c r="U5" s="131" t="s">
        <v>90</v>
      </c>
    </row>
    <row r="6" spans="1:21" ht="20.25" customHeight="1">
      <c r="A6" s="129" t="s">
        <v>2589</v>
      </c>
      <c r="B6" s="71"/>
      <c r="C6" s="71"/>
      <c r="D6" s="127"/>
      <c r="E6" s="71"/>
      <c r="F6" s="71"/>
      <c r="G6" s="71"/>
      <c r="H6" s="127"/>
      <c r="I6" s="127"/>
      <c r="J6" s="127"/>
      <c r="K6" s="127"/>
      <c r="L6" s="127"/>
      <c r="M6" s="127"/>
      <c r="N6" s="127"/>
      <c r="O6" s="127"/>
      <c r="P6" s="127"/>
      <c r="Q6" s="127"/>
      <c r="R6" s="128"/>
      <c r="T6" s="128"/>
    </row>
    <row r="7" spans="1:21" ht="16" customHeight="1">
      <c r="A7" s="7" t="s">
        <v>4</v>
      </c>
      <c r="B7" s="71"/>
      <c r="C7" s="71"/>
      <c r="D7" s="127"/>
      <c r="E7" s="71"/>
      <c r="F7" s="71"/>
      <c r="G7" s="71"/>
      <c r="H7" s="127"/>
      <c r="I7" s="127"/>
      <c r="J7" s="127"/>
      <c r="K7" s="127"/>
      <c r="L7" s="127"/>
      <c r="M7" s="127"/>
      <c r="N7" s="127"/>
      <c r="O7" s="127"/>
      <c r="P7" s="127"/>
      <c r="Q7" s="127"/>
      <c r="R7" s="128"/>
      <c r="T7" s="128"/>
    </row>
    <row r="8" spans="1:21">
      <c r="A8" s="127"/>
      <c r="B8" s="127"/>
      <c r="C8" s="127"/>
      <c r="D8" s="127"/>
      <c r="E8" s="127"/>
      <c r="F8" s="127"/>
      <c r="G8" s="127"/>
      <c r="H8" s="127"/>
      <c r="I8" s="127"/>
      <c r="J8" s="127"/>
      <c r="K8" s="127"/>
      <c r="L8" s="127"/>
      <c r="M8" s="127"/>
      <c r="N8" s="127"/>
      <c r="O8" s="127"/>
      <c r="P8" s="128"/>
      <c r="R8" s="128"/>
    </row>
    <row r="9" spans="1:21" ht="3" customHeight="1">
      <c r="A9" s="127"/>
      <c r="B9" s="127"/>
      <c r="C9" s="127"/>
      <c r="D9" s="127"/>
      <c r="E9" s="127"/>
      <c r="F9" s="127"/>
      <c r="G9" s="127"/>
      <c r="H9" s="127"/>
      <c r="I9" s="127"/>
      <c r="J9" s="127"/>
      <c r="K9" s="127"/>
      <c r="L9" s="127"/>
      <c r="M9" s="127"/>
      <c r="N9" s="127"/>
      <c r="O9" s="127"/>
      <c r="P9" s="128"/>
      <c r="R9" s="128"/>
    </row>
    <row r="10" spans="1:21" ht="14" customHeight="1">
      <c r="A10" s="71"/>
      <c r="B10" s="132"/>
      <c r="C10" s="133" t="s">
        <v>91</v>
      </c>
      <c r="D10" s="128"/>
      <c r="E10" s="133" t="s">
        <v>92</v>
      </c>
      <c r="F10" s="128"/>
      <c r="G10" s="133" t="s">
        <v>93</v>
      </c>
      <c r="H10" s="128"/>
      <c r="I10" s="133" t="s">
        <v>94</v>
      </c>
      <c r="J10" s="128"/>
      <c r="K10" s="133" t="s">
        <v>95</v>
      </c>
      <c r="L10" s="128"/>
      <c r="M10" s="133" t="s">
        <v>96</v>
      </c>
      <c r="N10" s="128"/>
      <c r="O10" s="133" t="s">
        <v>10</v>
      </c>
      <c r="P10" s="128"/>
      <c r="Q10" s="133" t="s">
        <v>9</v>
      </c>
      <c r="S10" s="133" t="s">
        <v>1917</v>
      </c>
      <c r="U10" s="133" t="s">
        <v>2584</v>
      </c>
    </row>
    <row r="11" spans="1:21" ht="14.25" customHeight="1">
      <c r="A11" s="73" t="s">
        <v>1940</v>
      </c>
      <c r="B11" s="71"/>
      <c r="C11" s="134"/>
      <c r="D11" s="128"/>
      <c r="F11" s="128"/>
      <c r="H11" s="128"/>
      <c r="J11" s="128"/>
      <c r="L11" s="128"/>
      <c r="N11" s="128"/>
      <c r="P11" s="128"/>
    </row>
    <row r="12" spans="1:21" s="24" customFormat="1" ht="14" customHeight="1">
      <c r="A12" s="135" t="s">
        <v>97</v>
      </c>
      <c r="B12" s="136" t="s">
        <v>6</v>
      </c>
      <c r="C12" s="137">
        <v>26802004</v>
      </c>
      <c r="D12" s="138"/>
      <c r="E12" s="137">
        <v>28440136</v>
      </c>
      <c r="F12" s="138"/>
      <c r="G12" s="137">
        <v>27686159</v>
      </c>
      <c r="H12" s="138"/>
      <c r="I12" s="137">
        <v>29443180</v>
      </c>
      <c r="J12" s="138"/>
      <c r="K12" s="137">
        <v>31240169</v>
      </c>
      <c r="L12" s="138"/>
      <c r="M12" s="137">
        <v>31198971</v>
      </c>
      <c r="N12" s="138"/>
      <c r="O12" s="137">
        <v>31957653</v>
      </c>
      <c r="P12" s="138"/>
      <c r="Q12" s="137">
        <v>33367555</v>
      </c>
      <c r="S12" s="1320">
        <v>34906793</v>
      </c>
      <c r="U12" s="1320">
        <f>'SCH 2'!T16</f>
        <v>36549038</v>
      </c>
    </row>
    <row r="13" spans="1:21" ht="14" customHeight="1">
      <c r="A13" s="139" t="s">
        <v>98</v>
      </c>
      <c r="B13" s="140" t="s">
        <v>6</v>
      </c>
      <c r="C13" s="1844">
        <v>10354960</v>
      </c>
      <c r="D13" s="1845"/>
      <c r="E13" s="1844">
        <v>11640484</v>
      </c>
      <c r="F13" s="1845"/>
      <c r="G13" s="1844">
        <v>12689974</v>
      </c>
      <c r="H13" s="1845"/>
      <c r="I13" s="1844">
        <v>9028060</v>
      </c>
      <c r="J13" s="1845"/>
      <c r="K13" s="1844">
        <v>9735271</v>
      </c>
      <c r="L13" s="1845"/>
      <c r="M13" s="1844">
        <v>11628433</v>
      </c>
      <c r="N13" s="1845"/>
      <c r="O13" s="1844">
        <v>12192942</v>
      </c>
      <c r="P13" s="1845"/>
      <c r="Q13" s="1844">
        <v>14637177</v>
      </c>
      <c r="R13" s="1846"/>
      <c r="S13" s="1322">
        <v>13743147</v>
      </c>
      <c r="T13" s="1846"/>
      <c r="U13" s="1322">
        <f>'SCH 2'!T17</f>
        <v>16111218</v>
      </c>
    </row>
    <row r="14" spans="1:21" ht="14" customHeight="1">
      <c r="A14" s="139" t="s">
        <v>2528</v>
      </c>
      <c r="B14" s="140" t="s">
        <v>6</v>
      </c>
      <c r="C14" s="1844">
        <v>2123011</v>
      </c>
      <c r="D14" s="1845"/>
      <c r="E14" s="1844">
        <v>2222407</v>
      </c>
      <c r="F14" s="1845"/>
      <c r="G14" s="1844">
        <v>2718295</v>
      </c>
      <c r="H14" s="1845"/>
      <c r="I14" s="1844">
        <v>1877109</v>
      </c>
      <c r="J14" s="1845"/>
      <c r="K14" s="1844">
        <v>2022248</v>
      </c>
      <c r="L14" s="1845"/>
      <c r="M14" s="1844">
        <v>2174476</v>
      </c>
      <c r="N14" s="1845"/>
      <c r="O14" s="1844">
        <v>2192787</v>
      </c>
      <c r="P14" s="1845"/>
      <c r="Q14" s="1844">
        <v>2415648</v>
      </c>
      <c r="R14" s="1846"/>
      <c r="S14" s="1322">
        <v>2260045</v>
      </c>
      <c r="T14" s="1846"/>
      <c r="U14" s="1322">
        <f>'SCH 2'!T18</f>
        <v>2653707</v>
      </c>
    </row>
    <row r="15" spans="1:21" ht="14" customHeight="1">
      <c r="A15" s="139" t="s">
        <v>99</v>
      </c>
      <c r="B15" s="140" t="s">
        <v>6</v>
      </c>
      <c r="C15" s="1844">
        <v>-521965</v>
      </c>
      <c r="D15" s="1845"/>
      <c r="E15" s="1844">
        <v>-479235</v>
      </c>
      <c r="F15" s="1845"/>
      <c r="G15" s="1844">
        <v>-474835</v>
      </c>
      <c r="H15" s="1845"/>
      <c r="I15" s="1844">
        <v>61952</v>
      </c>
      <c r="J15" s="1845"/>
      <c r="K15" s="1844">
        <v>-100179</v>
      </c>
      <c r="L15" s="1845"/>
      <c r="M15" s="1844">
        <v>-365944</v>
      </c>
      <c r="N15" s="1845"/>
      <c r="O15" s="1844">
        <v>-309012</v>
      </c>
      <c r="P15" s="1845"/>
      <c r="Q15" s="1844">
        <v>-615003</v>
      </c>
      <c r="R15" s="1846"/>
      <c r="S15" s="1322">
        <v>-590752</v>
      </c>
      <c r="T15" s="1846"/>
      <c r="U15" s="1322">
        <f>'SCH 2'!T19</f>
        <v>-675293</v>
      </c>
    </row>
    <row r="16" spans="1:21" ht="14.25" customHeight="1">
      <c r="A16" s="139" t="s">
        <v>100</v>
      </c>
      <c r="B16" s="140" t="s">
        <v>6</v>
      </c>
      <c r="C16" s="1844">
        <v>810275</v>
      </c>
      <c r="D16" s="1845"/>
      <c r="E16" s="1844">
        <v>867528</v>
      </c>
      <c r="F16" s="1845"/>
      <c r="G16" s="1844">
        <v>916677</v>
      </c>
      <c r="H16" s="1845"/>
      <c r="I16" s="1844">
        <v>1045288</v>
      </c>
      <c r="J16" s="1845"/>
      <c r="K16" s="1844">
        <v>1004746</v>
      </c>
      <c r="L16" s="1845"/>
      <c r="M16" s="1844">
        <v>1028586</v>
      </c>
      <c r="N16" s="1845"/>
      <c r="O16" s="1844">
        <v>1099268</v>
      </c>
      <c r="P16" s="1845"/>
      <c r="Q16" s="1844">
        <v>1154668</v>
      </c>
      <c r="R16" s="1846"/>
      <c r="S16" s="1322">
        <v>1338284</v>
      </c>
      <c r="T16" s="1846"/>
      <c r="U16" s="1322">
        <f>'SCH 2'!T20</f>
        <v>1286154</v>
      </c>
    </row>
    <row r="17" spans="1:21" ht="16" customHeight="1">
      <c r="A17" s="139" t="s">
        <v>101</v>
      </c>
      <c r="B17" s="140" t="s">
        <v>6</v>
      </c>
      <c r="C17" s="1076">
        <f>SUM(C11:C16)</f>
        <v>39568285</v>
      </c>
      <c r="D17" s="1845"/>
      <c r="E17" s="1076">
        <f>SUM(E11:E16)</f>
        <v>42691320</v>
      </c>
      <c r="F17" s="1845"/>
      <c r="G17" s="1076">
        <f>SUM(G11:G16)</f>
        <v>43536270</v>
      </c>
      <c r="H17" s="1845"/>
      <c r="I17" s="1076">
        <f>SUM(I11:I16)</f>
        <v>41455589</v>
      </c>
      <c r="J17" s="1845"/>
      <c r="K17" s="1076">
        <f>SUM(K11:K16)</f>
        <v>43902255</v>
      </c>
      <c r="L17" s="1845"/>
      <c r="M17" s="1076">
        <f>SUM(M11:M16)</f>
        <v>45664522</v>
      </c>
      <c r="N17" s="1845"/>
      <c r="O17" s="1076">
        <f>SUM(O11:O16)</f>
        <v>47133638</v>
      </c>
      <c r="P17" s="1845"/>
      <c r="Q17" s="1076">
        <f>SUM(Q11:Q16)</f>
        <v>50960045</v>
      </c>
      <c r="R17" s="1846"/>
      <c r="S17" s="1847">
        <f>ROUND(SUM(S11:S16),0)</f>
        <v>51657517</v>
      </c>
      <c r="T17" s="1846"/>
      <c r="U17" s="1847">
        <f>ROUND(SUM(U11:U16),0)</f>
        <v>55924824</v>
      </c>
    </row>
    <row r="18" spans="1:21" ht="14" customHeight="1">
      <c r="A18" s="139" t="s">
        <v>102</v>
      </c>
      <c r="B18" s="140" t="s">
        <v>6</v>
      </c>
      <c r="C18" s="1844">
        <v>-4988294</v>
      </c>
      <c r="D18" s="1845"/>
      <c r="E18" s="1844">
        <v>-6127371</v>
      </c>
      <c r="F18" s="1845"/>
      <c r="G18" s="1844">
        <v>-6696250</v>
      </c>
      <c r="H18" s="1845"/>
      <c r="I18" s="1844">
        <v>-6704208</v>
      </c>
      <c r="J18" s="1845"/>
      <c r="K18" s="1844">
        <v>-7693040</v>
      </c>
      <c r="L18" s="1845"/>
      <c r="M18" s="1844">
        <v>-6896695</v>
      </c>
      <c r="N18" s="1845"/>
      <c r="O18" s="1844">
        <v>-6906923</v>
      </c>
      <c r="P18" s="1845"/>
      <c r="Q18" s="1844">
        <v>-7999270</v>
      </c>
      <c r="R18" s="1846"/>
      <c r="S18" s="1322">
        <v>-7947684</v>
      </c>
      <c r="T18" s="1846"/>
      <c r="U18" s="1322">
        <f>'SCH 2'!T24</f>
        <v>-8869541</v>
      </c>
    </row>
    <row r="19" spans="1:21" ht="18" customHeight="1">
      <c r="A19" s="65" t="s">
        <v>103</v>
      </c>
      <c r="B19" s="140" t="s">
        <v>6</v>
      </c>
      <c r="C19" s="1848">
        <f>C17+C18</f>
        <v>34579991</v>
      </c>
      <c r="D19" s="1845"/>
      <c r="E19" s="1848">
        <f>E17+E18</f>
        <v>36563949</v>
      </c>
      <c r="F19" s="1845"/>
      <c r="G19" s="1848">
        <f>G17+G18</f>
        <v>36840020</v>
      </c>
      <c r="H19" s="1845"/>
      <c r="I19" s="1848">
        <f>I17+I18</f>
        <v>34751381</v>
      </c>
      <c r="J19" s="1845"/>
      <c r="K19" s="1848">
        <f>K17+K18</f>
        <v>36209215</v>
      </c>
      <c r="L19" s="1845"/>
      <c r="M19" s="1848">
        <f>M17+M18</f>
        <v>38767827</v>
      </c>
      <c r="N19" s="1845"/>
      <c r="O19" s="1848">
        <f>O17+O18</f>
        <v>40226715</v>
      </c>
      <c r="P19" s="1845"/>
      <c r="Q19" s="1848">
        <f>Q17+Q18</f>
        <v>42960775</v>
      </c>
      <c r="R19" s="1846"/>
      <c r="S19" s="1849">
        <f>ROUND(SUM(S17+S18),0)</f>
        <v>43709833</v>
      </c>
      <c r="T19" s="1846"/>
      <c r="U19" s="1849">
        <f>ROUND(SUM(U17+U18),0)</f>
        <v>47055283</v>
      </c>
    </row>
    <row r="20" spans="1:21" ht="11.25" customHeight="1">
      <c r="A20" s="71"/>
      <c r="B20" s="140"/>
      <c r="C20" s="1076"/>
      <c r="D20" s="1845"/>
      <c r="E20" s="1076"/>
      <c r="F20" s="1845"/>
      <c r="G20" s="1076"/>
      <c r="H20" s="1845"/>
      <c r="I20" s="1076"/>
      <c r="J20" s="1845"/>
      <c r="K20" s="1076"/>
      <c r="L20" s="1845"/>
      <c r="M20" s="1076"/>
      <c r="N20" s="1845"/>
      <c r="O20" s="1076"/>
      <c r="P20" s="1845"/>
      <c r="Q20" s="1076"/>
      <c r="R20" s="1846"/>
      <c r="S20" s="1847"/>
      <c r="T20" s="1846"/>
      <c r="U20" s="1847"/>
    </row>
    <row r="21" spans="1:21" ht="14.25" customHeight="1">
      <c r="A21" s="73" t="s">
        <v>13</v>
      </c>
      <c r="B21" s="140"/>
      <c r="C21" s="232"/>
      <c r="D21" s="1845"/>
      <c r="E21" s="232"/>
      <c r="F21" s="1845"/>
      <c r="G21" s="232"/>
      <c r="H21" s="1845"/>
      <c r="I21" s="232"/>
      <c r="J21" s="1845"/>
      <c r="K21" s="232"/>
      <c r="L21" s="1845"/>
      <c r="M21" s="232"/>
      <c r="N21" s="1845"/>
      <c r="O21" s="232"/>
      <c r="P21" s="1845"/>
      <c r="Q21" s="232"/>
      <c r="R21" s="1846"/>
      <c r="S21" s="1322"/>
      <c r="T21" s="1846"/>
      <c r="U21" s="1322"/>
    </row>
    <row r="22" spans="1:21" ht="14" customHeight="1">
      <c r="A22" s="71" t="s">
        <v>104</v>
      </c>
      <c r="B22" s="141" t="s">
        <v>6</v>
      </c>
      <c r="C22" s="1844">
        <v>10738453</v>
      </c>
      <c r="D22" s="1845"/>
      <c r="E22" s="1844">
        <v>11295888</v>
      </c>
      <c r="F22" s="1845"/>
      <c r="G22" s="1844">
        <v>10985324</v>
      </c>
      <c r="H22" s="1845"/>
      <c r="I22" s="1844">
        <v>10527492</v>
      </c>
      <c r="J22" s="1845"/>
      <c r="K22" s="1844">
        <v>11537852</v>
      </c>
      <c r="L22" s="1845"/>
      <c r="M22" s="1844">
        <v>11874582</v>
      </c>
      <c r="N22" s="1845"/>
      <c r="O22" s="1844">
        <v>11989290</v>
      </c>
      <c r="P22" s="1845"/>
      <c r="Q22" s="1844">
        <v>12587660</v>
      </c>
      <c r="R22" s="1846"/>
      <c r="S22" s="1322">
        <v>12991656</v>
      </c>
      <c r="T22" s="1846"/>
      <c r="U22" s="1322">
        <f>'SCH 2'!T28</f>
        <v>13359320</v>
      </c>
    </row>
    <row r="23" spans="1:21" ht="14" customHeight="1">
      <c r="A23" s="71" t="s">
        <v>105</v>
      </c>
      <c r="B23" s="141" t="s">
        <v>6</v>
      </c>
      <c r="C23" s="1844">
        <v>45495</v>
      </c>
      <c r="D23" s="1845"/>
      <c r="E23" s="1844">
        <v>46973</v>
      </c>
      <c r="F23" s="1845"/>
      <c r="G23" s="1844">
        <v>60702</v>
      </c>
      <c r="H23" s="1845"/>
      <c r="I23" s="1844">
        <v>76109</v>
      </c>
      <c r="J23" s="1845"/>
      <c r="K23" s="1844">
        <v>95027</v>
      </c>
      <c r="L23" s="1845"/>
      <c r="M23" s="1844">
        <v>104017</v>
      </c>
      <c r="N23" s="1845"/>
      <c r="O23" s="1844">
        <v>109050</v>
      </c>
      <c r="P23" s="1845"/>
      <c r="Q23" s="1844">
        <v>113979</v>
      </c>
      <c r="R23" s="1846"/>
      <c r="S23" s="1322">
        <v>119093</v>
      </c>
      <c r="T23" s="1846"/>
      <c r="U23" s="1322">
        <f>'SCH 2'!T29</f>
        <v>126076</v>
      </c>
    </row>
    <row r="24" spans="1:21" ht="14" customHeight="1">
      <c r="A24" s="71" t="s">
        <v>106</v>
      </c>
      <c r="B24" s="141" t="s">
        <v>6</v>
      </c>
      <c r="C24" s="1844">
        <v>68</v>
      </c>
      <c r="D24" s="1845"/>
      <c r="E24" s="1844">
        <v>0</v>
      </c>
      <c r="F24" s="1845"/>
      <c r="G24" s="143">
        <v>0</v>
      </c>
      <c r="H24" s="1845"/>
      <c r="I24" s="143">
        <v>0</v>
      </c>
      <c r="J24" s="1845"/>
      <c r="K24" s="143">
        <v>12</v>
      </c>
      <c r="L24" s="1845"/>
      <c r="M24" s="1844">
        <v>0</v>
      </c>
      <c r="N24" s="1845"/>
      <c r="O24" s="144">
        <v>0</v>
      </c>
      <c r="P24" s="1845"/>
      <c r="Q24" s="144">
        <v>0</v>
      </c>
      <c r="R24" s="1846"/>
      <c r="S24" s="1321">
        <v>0</v>
      </c>
      <c r="T24" s="1846"/>
      <c r="U24" s="1321">
        <v>0</v>
      </c>
    </row>
    <row r="25" spans="1:21" ht="14" customHeight="1">
      <c r="A25" s="71" t="s">
        <v>107</v>
      </c>
      <c r="B25" s="141" t="s">
        <v>6</v>
      </c>
      <c r="C25" s="1844">
        <v>984665</v>
      </c>
      <c r="D25" s="1845"/>
      <c r="E25" s="1844">
        <v>976208</v>
      </c>
      <c r="F25" s="1845"/>
      <c r="G25" s="1844">
        <v>1340389</v>
      </c>
      <c r="H25" s="1845"/>
      <c r="I25" s="1844">
        <v>1365934</v>
      </c>
      <c r="J25" s="1845"/>
      <c r="K25" s="1844">
        <v>1615691</v>
      </c>
      <c r="L25" s="1845"/>
      <c r="M25" s="1844">
        <v>1633524</v>
      </c>
      <c r="N25" s="1845"/>
      <c r="O25" s="1844">
        <v>1550599</v>
      </c>
      <c r="P25" s="1845"/>
      <c r="Q25" s="1844">
        <v>1453351</v>
      </c>
      <c r="R25" s="1846"/>
      <c r="S25" s="1322">
        <v>1313758</v>
      </c>
      <c r="T25" s="1846"/>
      <c r="U25" s="1322">
        <f>'SCH 2'!T30</f>
        <v>1250612</v>
      </c>
    </row>
    <row r="26" spans="1:21" ht="14" customHeight="1">
      <c r="A26" s="71" t="s">
        <v>2713</v>
      </c>
      <c r="B26" s="141" t="s">
        <v>6</v>
      </c>
      <c r="C26" s="1844">
        <v>0</v>
      </c>
      <c r="D26" s="1845"/>
      <c r="E26" s="1844">
        <v>0</v>
      </c>
      <c r="F26" s="1845"/>
      <c r="G26" s="1844">
        <v>0</v>
      </c>
      <c r="H26" s="1845"/>
      <c r="I26" s="1844">
        <v>0</v>
      </c>
      <c r="J26" s="1845"/>
      <c r="K26" s="1844">
        <v>0</v>
      </c>
      <c r="L26" s="1845"/>
      <c r="M26" s="1844">
        <v>0</v>
      </c>
      <c r="N26" s="1845"/>
      <c r="O26" s="1844">
        <v>0</v>
      </c>
      <c r="P26" s="1845"/>
      <c r="Q26" s="1844">
        <v>0</v>
      </c>
      <c r="R26" s="1846"/>
      <c r="S26" s="1322">
        <v>0</v>
      </c>
      <c r="T26" s="1846"/>
      <c r="U26" s="1322">
        <f>'SCH 2'!T31</f>
        <v>11</v>
      </c>
    </row>
    <row r="27" spans="1:21" ht="14" customHeight="1">
      <c r="A27" s="139" t="s">
        <v>108</v>
      </c>
      <c r="B27" s="141" t="s">
        <v>6</v>
      </c>
      <c r="C27" s="1844">
        <v>513389</v>
      </c>
      <c r="D27" s="1845"/>
      <c r="E27" s="1844">
        <v>524934</v>
      </c>
      <c r="F27" s="1845"/>
      <c r="G27" s="1844">
        <v>503937</v>
      </c>
      <c r="H27" s="1845"/>
      <c r="I27" s="1844">
        <v>506910</v>
      </c>
      <c r="J27" s="1845"/>
      <c r="K27" s="1844">
        <v>516145</v>
      </c>
      <c r="L27" s="1845"/>
      <c r="M27" s="1844">
        <v>501610</v>
      </c>
      <c r="N27" s="1845"/>
      <c r="O27" s="1844">
        <v>492464</v>
      </c>
      <c r="P27" s="1845"/>
      <c r="Q27" s="1844">
        <v>473156</v>
      </c>
      <c r="R27" s="1846"/>
      <c r="S27" s="1322">
        <v>486955</v>
      </c>
      <c r="T27" s="1846"/>
      <c r="U27" s="1322">
        <f>'SCH 2'!T32</f>
        <v>503068</v>
      </c>
    </row>
    <row r="28" spans="1:21" ht="14" customHeight="1">
      <c r="A28" s="71" t="s">
        <v>109</v>
      </c>
      <c r="B28" s="141" t="s">
        <v>6</v>
      </c>
      <c r="C28" s="1844">
        <v>194287</v>
      </c>
      <c r="D28" s="1845"/>
      <c r="E28" s="1844">
        <v>204820</v>
      </c>
      <c r="F28" s="1845"/>
      <c r="G28" s="1844">
        <v>205900</v>
      </c>
      <c r="H28" s="1845"/>
      <c r="I28" s="1844">
        <v>225560</v>
      </c>
      <c r="J28" s="1845"/>
      <c r="K28" s="1844">
        <v>229698</v>
      </c>
      <c r="L28" s="1845"/>
      <c r="M28" s="1850">
        <v>238263</v>
      </c>
      <c r="N28" s="1845"/>
      <c r="O28" s="1850">
        <v>246217</v>
      </c>
      <c r="P28" s="1845"/>
      <c r="Q28" s="1850">
        <v>250306</v>
      </c>
      <c r="R28" s="1846"/>
      <c r="S28" s="1322">
        <v>250859</v>
      </c>
      <c r="T28" s="1846"/>
      <c r="U28" s="1322">
        <f>'SCH 2'!T33</f>
        <v>254548</v>
      </c>
    </row>
    <row r="29" spans="1:21" ht="14" customHeight="1">
      <c r="A29" s="71" t="s">
        <v>110</v>
      </c>
      <c r="B29" s="141" t="s">
        <v>6</v>
      </c>
      <c r="C29" s="1844">
        <v>16</v>
      </c>
      <c r="D29" s="1845"/>
      <c r="E29" s="1844">
        <v>32</v>
      </c>
      <c r="F29" s="1845"/>
      <c r="G29" s="1844">
        <v>0</v>
      </c>
      <c r="H29" s="1845"/>
      <c r="I29" s="143">
        <v>0</v>
      </c>
      <c r="J29" s="1845"/>
      <c r="K29" s="143">
        <v>0</v>
      </c>
      <c r="L29" s="1845"/>
      <c r="M29" s="144">
        <v>0</v>
      </c>
      <c r="N29" s="1845"/>
      <c r="O29" s="144">
        <v>0</v>
      </c>
      <c r="P29" s="1845"/>
      <c r="Q29" s="144">
        <v>0</v>
      </c>
      <c r="R29" s="1846"/>
      <c r="S29" s="1322">
        <v>0</v>
      </c>
      <c r="T29" s="1846"/>
      <c r="U29" s="1322">
        <v>0</v>
      </c>
    </row>
    <row r="30" spans="1:21" ht="14" customHeight="1">
      <c r="A30" s="71" t="s">
        <v>111</v>
      </c>
      <c r="B30" s="141" t="s">
        <v>6</v>
      </c>
      <c r="C30" s="1844">
        <v>152670</v>
      </c>
      <c r="D30" s="1845"/>
      <c r="E30" s="1844">
        <v>147956</v>
      </c>
      <c r="F30" s="1845"/>
      <c r="G30" s="1844">
        <v>140907</v>
      </c>
      <c r="H30" s="1845"/>
      <c r="I30" s="1844">
        <v>137247</v>
      </c>
      <c r="J30" s="1845"/>
      <c r="K30" s="1844">
        <v>129162</v>
      </c>
      <c r="L30" s="1845"/>
      <c r="M30" s="1850">
        <v>132129</v>
      </c>
      <c r="N30" s="1845"/>
      <c r="O30" s="1850">
        <v>145008</v>
      </c>
      <c r="P30" s="1845"/>
      <c r="Q30" s="1850">
        <v>136223</v>
      </c>
      <c r="R30" s="1846"/>
      <c r="S30" s="1322">
        <v>140400</v>
      </c>
      <c r="T30" s="1846"/>
      <c r="U30" s="1322">
        <f>'SCH 2'!T34</f>
        <v>158562</v>
      </c>
    </row>
    <row r="31" spans="1:21" ht="14" customHeight="1">
      <c r="A31" s="71" t="s">
        <v>112</v>
      </c>
      <c r="B31" s="141" t="s">
        <v>6</v>
      </c>
      <c r="C31" s="145">
        <v>0</v>
      </c>
      <c r="D31" s="1845"/>
      <c r="E31" s="145">
        <v>0</v>
      </c>
      <c r="F31" s="1845"/>
      <c r="G31" s="145">
        <v>0</v>
      </c>
      <c r="H31" s="1845"/>
      <c r="I31" s="145">
        <v>12835</v>
      </c>
      <c r="J31" s="1845"/>
      <c r="K31" s="1844">
        <v>81142</v>
      </c>
      <c r="L31" s="1845"/>
      <c r="M31" s="1850">
        <v>86849</v>
      </c>
      <c r="N31" s="1845"/>
      <c r="O31" s="1850">
        <v>82945</v>
      </c>
      <c r="P31" s="1845"/>
      <c r="Q31" s="1850">
        <v>85190</v>
      </c>
      <c r="R31" s="1846"/>
      <c r="S31" s="1322">
        <v>82263</v>
      </c>
      <c r="T31" s="1846"/>
      <c r="U31" s="1322">
        <f>'SCH 2'!T35</f>
        <v>73146</v>
      </c>
    </row>
    <row r="32" spans="1:21" ht="18" customHeight="1">
      <c r="A32" s="65" t="s">
        <v>113</v>
      </c>
      <c r="B32" s="140" t="s">
        <v>6</v>
      </c>
      <c r="C32" s="1848">
        <f>SUM(C22:C31)</f>
        <v>12629043</v>
      </c>
      <c r="D32" s="1845"/>
      <c r="E32" s="1848">
        <f>SUM(E22:E31)</f>
        <v>13196811</v>
      </c>
      <c r="F32" s="1845"/>
      <c r="G32" s="1848">
        <f>SUM(G22:G31)</f>
        <v>13237159</v>
      </c>
      <c r="H32" s="1845"/>
      <c r="I32" s="1848">
        <f>SUM(I22:I31)</f>
        <v>12852087</v>
      </c>
      <c r="J32" s="1845"/>
      <c r="K32" s="1848">
        <f>SUM(K22:K31)</f>
        <v>14204729</v>
      </c>
      <c r="L32" s="1845"/>
      <c r="M32" s="1848">
        <f>SUM(M22:M31)</f>
        <v>14570974</v>
      </c>
      <c r="N32" s="1845"/>
      <c r="O32" s="1848">
        <f>SUM(O22:O31)</f>
        <v>14615573</v>
      </c>
      <c r="P32" s="1845"/>
      <c r="Q32" s="1848">
        <f>SUM(Q22:Q31)</f>
        <v>15099865</v>
      </c>
      <c r="R32" s="1846"/>
      <c r="S32" s="1849">
        <f>ROUND(SUM(S22:S31),0)</f>
        <v>15384984</v>
      </c>
      <c r="T32" s="1846"/>
      <c r="U32" s="1849">
        <f>ROUND(SUM(U22:U31),0)</f>
        <v>15725343</v>
      </c>
    </row>
    <row r="33" spans="1:22" ht="11.25" customHeight="1">
      <c r="A33" s="71"/>
      <c r="B33" s="140"/>
      <c r="C33" s="1076"/>
      <c r="D33" s="1845"/>
      <c r="E33" s="1076"/>
      <c r="F33" s="1845"/>
      <c r="G33" s="1076"/>
      <c r="H33" s="1845"/>
      <c r="I33" s="1076"/>
      <c r="J33" s="1845"/>
      <c r="K33" s="1076"/>
      <c r="L33" s="1845"/>
      <c r="M33" s="1076"/>
      <c r="N33" s="1845"/>
      <c r="O33" s="1076"/>
      <c r="P33" s="1845"/>
      <c r="Q33" s="1076"/>
      <c r="R33" s="1846"/>
      <c r="S33" s="1847"/>
      <c r="T33" s="1846"/>
      <c r="U33" s="1847"/>
    </row>
    <row r="34" spans="1:22" ht="14.25" customHeight="1">
      <c r="A34" s="73" t="s">
        <v>22</v>
      </c>
      <c r="B34" s="140"/>
      <c r="C34" s="232"/>
      <c r="D34" s="1845"/>
      <c r="E34" s="232"/>
      <c r="F34" s="1845"/>
      <c r="G34" s="232"/>
      <c r="H34" s="1845"/>
      <c r="I34" s="232"/>
      <c r="J34" s="1845"/>
      <c r="K34" s="232"/>
      <c r="L34" s="1845"/>
      <c r="M34" s="232"/>
      <c r="N34" s="1845"/>
      <c r="O34" s="232"/>
      <c r="P34" s="1845"/>
      <c r="Q34" s="232"/>
      <c r="R34" s="1846"/>
      <c r="S34" s="1322"/>
      <c r="T34" s="1846"/>
      <c r="U34" s="1322"/>
    </row>
    <row r="35" spans="1:22" ht="14" customHeight="1">
      <c r="A35" s="71" t="s">
        <v>114</v>
      </c>
      <c r="B35" s="141" t="s">
        <v>6</v>
      </c>
      <c r="C35" s="1844">
        <v>4227564</v>
      </c>
      <c r="D35" s="1845"/>
      <c r="E35" s="1844">
        <v>3997344</v>
      </c>
      <c r="F35" s="1845"/>
      <c r="G35" s="1844">
        <v>3220248</v>
      </c>
      <c r="H35" s="1845"/>
      <c r="I35" s="1844">
        <v>2510832</v>
      </c>
      <c r="J35" s="1845"/>
      <c r="K35" s="1844">
        <v>2845857</v>
      </c>
      <c r="L35" s="1845"/>
      <c r="M35" s="1844">
        <v>3176226</v>
      </c>
      <c r="N35" s="1845"/>
      <c r="O35" s="1844">
        <v>3008746</v>
      </c>
      <c r="P35" s="1845"/>
      <c r="Q35" s="1844">
        <v>3811628</v>
      </c>
      <c r="R35" s="1846"/>
      <c r="S35" s="1322">
        <v>3547992</v>
      </c>
      <c r="T35" s="1846"/>
      <c r="U35" s="1322">
        <f>'SCH 2'!T39</f>
        <v>4527319</v>
      </c>
    </row>
    <row r="36" spans="1:22" ht="13.5" customHeight="1">
      <c r="A36" s="71" t="s">
        <v>115</v>
      </c>
      <c r="B36" s="141" t="s">
        <v>6</v>
      </c>
      <c r="C36" s="1844">
        <v>820263</v>
      </c>
      <c r="D36" s="1845"/>
      <c r="E36" s="1844">
        <v>801406</v>
      </c>
      <c r="F36" s="1845"/>
      <c r="G36" s="1844">
        <v>863351</v>
      </c>
      <c r="H36" s="1845"/>
      <c r="I36" s="1844">
        <v>953670</v>
      </c>
      <c r="J36" s="1845"/>
      <c r="K36" s="1844">
        <v>813646</v>
      </c>
      <c r="L36" s="1845"/>
      <c r="M36" s="1844">
        <v>796540</v>
      </c>
      <c r="N36" s="1845"/>
      <c r="O36" s="1844">
        <v>894491</v>
      </c>
      <c r="P36" s="1845"/>
      <c r="Q36" s="1844">
        <v>797293</v>
      </c>
      <c r="R36" s="1846"/>
      <c r="S36" s="1322">
        <v>727294</v>
      </c>
      <c r="T36" s="1846"/>
      <c r="U36" s="1322">
        <f>'SCH 2'!T40</f>
        <v>773852</v>
      </c>
      <c r="V36" s="141"/>
    </row>
    <row r="37" spans="1:22" ht="14" customHeight="1">
      <c r="A37" s="71" t="s">
        <v>116</v>
      </c>
      <c r="B37" s="141" t="s">
        <v>6</v>
      </c>
      <c r="C37" s="1844">
        <v>1257778</v>
      </c>
      <c r="D37" s="1845"/>
      <c r="E37" s="1844">
        <v>1219088</v>
      </c>
      <c r="F37" s="1845"/>
      <c r="G37" s="1844">
        <v>1181067</v>
      </c>
      <c r="H37" s="1845"/>
      <c r="I37" s="1844">
        <v>1490767</v>
      </c>
      <c r="J37" s="1845"/>
      <c r="K37" s="1844">
        <v>1350932</v>
      </c>
      <c r="L37" s="1845"/>
      <c r="M37" s="1844">
        <v>1413093</v>
      </c>
      <c r="N37" s="1845"/>
      <c r="O37" s="1844">
        <v>1508600</v>
      </c>
      <c r="P37" s="1845"/>
      <c r="Q37" s="1844">
        <v>1444398</v>
      </c>
      <c r="R37" s="1846"/>
      <c r="S37" s="1322">
        <v>1532832</v>
      </c>
      <c r="T37" s="1846"/>
      <c r="U37" s="1322">
        <f>'SCH 2'!T41</f>
        <v>1580071</v>
      </c>
    </row>
    <row r="38" spans="1:22" ht="14" customHeight="1">
      <c r="A38" s="71" t="s">
        <v>117</v>
      </c>
      <c r="B38" s="141" t="s">
        <v>6</v>
      </c>
      <c r="C38" s="1844">
        <v>1209823</v>
      </c>
      <c r="D38" s="1845"/>
      <c r="E38" s="1844">
        <v>1057538</v>
      </c>
      <c r="F38" s="1845"/>
      <c r="G38" s="1844">
        <v>1233215</v>
      </c>
      <c r="H38" s="1845"/>
      <c r="I38" s="1844">
        <v>1399278</v>
      </c>
      <c r="J38" s="1845"/>
      <c r="K38" s="1844">
        <v>1178239</v>
      </c>
      <c r="L38" s="1845"/>
      <c r="M38" s="1844">
        <v>1391665</v>
      </c>
      <c r="N38" s="1845"/>
      <c r="O38" s="1844">
        <v>1911860</v>
      </c>
      <c r="P38" s="1845"/>
      <c r="Q38" s="1844">
        <v>1050058</v>
      </c>
      <c r="R38" s="1846"/>
      <c r="S38" s="1322">
        <v>1536194</v>
      </c>
      <c r="T38" s="1846"/>
      <c r="U38" s="1322">
        <f>'SCH 2'!T42</f>
        <v>-121350</v>
      </c>
    </row>
    <row r="39" spans="1:22" ht="14" customHeight="1">
      <c r="A39" s="71" t="s">
        <v>118</v>
      </c>
      <c r="B39" s="141" t="s">
        <v>6</v>
      </c>
      <c r="C39" s="1844">
        <v>1090305</v>
      </c>
      <c r="D39" s="1845"/>
      <c r="E39" s="1844">
        <v>1155330</v>
      </c>
      <c r="F39" s="1845"/>
      <c r="G39" s="1844">
        <v>1106561</v>
      </c>
      <c r="H39" s="1845"/>
      <c r="I39" s="1844">
        <v>1103542</v>
      </c>
      <c r="J39" s="1845"/>
      <c r="K39" s="1844">
        <v>1090439</v>
      </c>
      <c r="L39" s="1845"/>
      <c r="M39" s="1844">
        <v>1100354</v>
      </c>
      <c r="N39" s="1845"/>
      <c r="O39" s="1844">
        <v>1139721</v>
      </c>
      <c r="P39" s="1845"/>
      <c r="Q39" s="1844">
        <v>1154510</v>
      </c>
      <c r="R39" s="1846"/>
      <c r="S39" s="1322">
        <v>1158332</v>
      </c>
      <c r="T39" s="1846"/>
      <c r="U39" s="1322">
        <f>'SCH 2'!T43</f>
        <v>1123851</v>
      </c>
    </row>
    <row r="40" spans="1:22" ht="14" customHeight="1">
      <c r="A40" s="71" t="s">
        <v>119</v>
      </c>
      <c r="B40" s="141" t="s">
        <v>6</v>
      </c>
      <c r="C40" s="1844">
        <v>2</v>
      </c>
      <c r="D40" s="1845"/>
      <c r="E40" s="1844">
        <v>1</v>
      </c>
      <c r="F40" s="1845"/>
      <c r="G40" s="1844">
        <v>1</v>
      </c>
      <c r="H40" s="1845"/>
      <c r="I40" s="1844">
        <v>3</v>
      </c>
      <c r="J40" s="1845"/>
      <c r="K40" s="1844">
        <v>2</v>
      </c>
      <c r="L40" s="1845"/>
      <c r="M40" s="1844">
        <v>0</v>
      </c>
      <c r="N40" s="1845"/>
      <c r="O40" s="144">
        <v>2</v>
      </c>
      <c r="P40" s="1845"/>
      <c r="Q40" s="1844">
        <v>1</v>
      </c>
      <c r="R40" s="1846"/>
      <c r="S40" s="1322">
        <v>1</v>
      </c>
      <c r="T40" s="1846"/>
      <c r="U40" s="1322">
        <f>'SCH 2'!T44</f>
        <v>0</v>
      </c>
    </row>
    <row r="41" spans="1:22" ht="18" customHeight="1">
      <c r="A41" s="65" t="s">
        <v>120</v>
      </c>
      <c r="B41" s="140" t="s">
        <v>6</v>
      </c>
      <c r="C41" s="1848">
        <f>SUM(C35:C40)</f>
        <v>8605735</v>
      </c>
      <c r="D41" s="1845"/>
      <c r="E41" s="1848">
        <f>SUM(E35:E40)</f>
        <v>8230707</v>
      </c>
      <c r="F41" s="1845"/>
      <c r="G41" s="1848">
        <f>SUM(G35:G40)</f>
        <v>7604443</v>
      </c>
      <c r="H41" s="1845"/>
      <c r="I41" s="1848">
        <f>SUM(I35:I40)</f>
        <v>7458092</v>
      </c>
      <c r="J41" s="1845"/>
      <c r="K41" s="1848">
        <f>SUM(K35:K40)</f>
        <v>7279115</v>
      </c>
      <c r="L41" s="1845"/>
      <c r="M41" s="1848">
        <f>SUM(M35:M40)</f>
        <v>7877878</v>
      </c>
      <c r="N41" s="1845"/>
      <c r="O41" s="1848">
        <f>SUM(O35:O40)</f>
        <v>8463420</v>
      </c>
      <c r="P41" s="1845"/>
      <c r="Q41" s="1848">
        <f>SUM(Q35:Q40)</f>
        <v>8257888</v>
      </c>
      <c r="R41" s="1846"/>
      <c r="S41" s="1849">
        <f>ROUND(SUM(S35:S40),0)</f>
        <v>8502645</v>
      </c>
      <c r="T41" s="1846"/>
      <c r="U41" s="1849">
        <f>ROUND(SUM(U35:U40),0)</f>
        <v>7883743</v>
      </c>
    </row>
    <row r="42" spans="1:22" ht="11.25" customHeight="1">
      <c r="A42" s="65"/>
      <c r="B42" s="140"/>
      <c r="C42" s="1076"/>
      <c r="D42" s="1845"/>
      <c r="E42" s="1076"/>
      <c r="F42" s="1845"/>
      <c r="G42" s="1076"/>
      <c r="H42" s="1845"/>
      <c r="I42" s="1076"/>
      <c r="J42" s="1845"/>
      <c r="K42" s="1076"/>
      <c r="L42" s="1845"/>
      <c r="M42" s="1076"/>
      <c r="N42" s="1845"/>
      <c r="O42" s="1076"/>
      <c r="P42" s="1845"/>
      <c r="Q42" s="1076"/>
      <c r="R42" s="1846"/>
      <c r="S42" s="1847"/>
      <c r="T42" s="1846"/>
      <c r="U42" s="1847"/>
    </row>
    <row r="43" spans="1:22" ht="14.25" customHeight="1">
      <c r="A43" s="73" t="s">
        <v>30</v>
      </c>
      <c r="B43" s="140"/>
      <c r="C43" s="232"/>
      <c r="D43" s="1845"/>
      <c r="E43" s="232"/>
      <c r="F43" s="1845"/>
      <c r="G43" s="232"/>
      <c r="H43" s="1845"/>
      <c r="I43" s="232"/>
      <c r="J43" s="1845"/>
      <c r="K43" s="232"/>
      <c r="L43" s="1845"/>
      <c r="M43" s="232"/>
      <c r="N43" s="1845"/>
      <c r="O43" s="232"/>
      <c r="P43" s="1845"/>
      <c r="Q43" s="232"/>
      <c r="R43" s="1846"/>
      <c r="S43" s="1322"/>
      <c r="T43" s="1846"/>
      <c r="U43" s="1322"/>
    </row>
    <row r="44" spans="1:22" ht="14" customHeight="1">
      <c r="A44" s="71" t="s">
        <v>121</v>
      </c>
      <c r="B44" s="141" t="s">
        <v>6</v>
      </c>
      <c r="C44" s="1844">
        <v>447</v>
      </c>
      <c r="D44" s="1845"/>
      <c r="E44" s="1844">
        <v>567</v>
      </c>
      <c r="F44" s="1845"/>
      <c r="G44" s="1844">
        <v>86</v>
      </c>
      <c r="H44" s="1845"/>
      <c r="I44" s="1844">
        <v>-513</v>
      </c>
      <c r="J44" s="1845"/>
      <c r="K44" s="1844">
        <v>-3</v>
      </c>
      <c r="L44" s="1845"/>
      <c r="M44" s="1844">
        <v>0</v>
      </c>
      <c r="N44" s="1845"/>
      <c r="O44" s="144">
        <v>209</v>
      </c>
      <c r="P44" s="1845"/>
      <c r="Q44" s="1844">
        <v>-159</v>
      </c>
      <c r="R44" s="1846"/>
      <c r="S44" s="1322">
        <v>39</v>
      </c>
      <c r="T44" s="1846"/>
      <c r="U44" s="1322">
        <f>'SCH 2'!T48</f>
        <v>10</v>
      </c>
    </row>
    <row r="45" spans="1:22" ht="14" customHeight="1">
      <c r="A45" s="71" t="s">
        <v>122</v>
      </c>
      <c r="B45" s="141" t="s">
        <v>6</v>
      </c>
      <c r="C45" s="1844">
        <v>1053384</v>
      </c>
      <c r="D45" s="1845"/>
      <c r="E45" s="1844">
        <v>1037532</v>
      </c>
      <c r="F45" s="1845"/>
      <c r="G45" s="1844">
        <v>1165247</v>
      </c>
      <c r="H45" s="1845"/>
      <c r="I45" s="1844">
        <v>866377</v>
      </c>
      <c r="J45" s="1845"/>
      <c r="K45" s="1844">
        <v>1219248</v>
      </c>
      <c r="L45" s="1845"/>
      <c r="M45" s="1844">
        <v>1078531</v>
      </c>
      <c r="N45" s="1845"/>
      <c r="O45" s="1844">
        <v>1014863</v>
      </c>
      <c r="P45" s="1845"/>
      <c r="Q45" s="1844">
        <v>1238321</v>
      </c>
      <c r="R45" s="1846"/>
      <c r="S45" s="1322">
        <v>1108530</v>
      </c>
      <c r="T45" s="1846"/>
      <c r="U45" s="1322">
        <f>'SCH 2'!T49</f>
        <v>1520792</v>
      </c>
    </row>
    <row r="46" spans="1:22" ht="14" customHeight="1">
      <c r="A46" s="71" t="s">
        <v>123</v>
      </c>
      <c r="B46" s="141" t="s">
        <v>6</v>
      </c>
      <c r="C46" s="1844">
        <v>20810</v>
      </c>
      <c r="D46" s="1845"/>
      <c r="E46" s="1844">
        <v>23580</v>
      </c>
      <c r="F46" s="1845"/>
      <c r="G46" s="1844">
        <v>22301</v>
      </c>
      <c r="H46" s="1845"/>
      <c r="I46" s="1844">
        <v>18818</v>
      </c>
      <c r="J46" s="1845"/>
      <c r="K46" s="1844">
        <v>17039</v>
      </c>
      <c r="L46" s="1845"/>
      <c r="M46" s="1844">
        <v>17197</v>
      </c>
      <c r="N46" s="1845"/>
      <c r="O46" s="1844">
        <v>17416</v>
      </c>
      <c r="P46" s="1845"/>
      <c r="Q46" s="1844">
        <v>16821</v>
      </c>
      <c r="R46" s="1846"/>
      <c r="S46" s="1322">
        <v>18038</v>
      </c>
      <c r="T46" s="1846"/>
      <c r="U46" s="1322">
        <f>'SCH 2'!T50</f>
        <v>17182</v>
      </c>
    </row>
    <row r="47" spans="1:22" ht="14" customHeight="1">
      <c r="A47" s="71" t="s">
        <v>124</v>
      </c>
      <c r="B47" s="141" t="s">
        <v>6</v>
      </c>
      <c r="C47" s="1844">
        <v>1022094</v>
      </c>
      <c r="D47" s="1845"/>
      <c r="E47" s="1844">
        <v>1020669</v>
      </c>
      <c r="F47" s="1845"/>
      <c r="G47" s="1844">
        <v>701164</v>
      </c>
      <c r="H47" s="1845"/>
      <c r="I47" s="1844">
        <v>493050</v>
      </c>
      <c r="J47" s="1845"/>
      <c r="K47" s="1844">
        <v>580101</v>
      </c>
      <c r="L47" s="1845"/>
      <c r="M47" s="1844">
        <v>610048</v>
      </c>
      <c r="N47" s="1845"/>
      <c r="O47" s="1844">
        <v>756355</v>
      </c>
      <c r="P47" s="1845"/>
      <c r="Q47" s="1844">
        <v>911352</v>
      </c>
      <c r="R47" s="1846"/>
      <c r="S47" s="1322">
        <v>1037880</v>
      </c>
      <c r="T47" s="1846"/>
      <c r="U47" s="1322">
        <f>'SCH 2'!T51</f>
        <v>1163060</v>
      </c>
    </row>
    <row r="48" spans="1:22" ht="14" customHeight="1">
      <c r="A48" s="71" t="s">
        <v>2529</v>
      </c>
      <c r="B48" s="141" t="s">
        <v>6</v>
      </c>
      <c r="C48" s="1844">
        <v>671</v>
      </c>
      <c r="D48" s="1845"/>
      <c r="E48" s="1844">
        <v>951</v>
      </c>
      <c r="F48" s="1845"/>
      <c r="G48" s="1844">
        <v>773</v>
      </c>
      <c r="H48" s="1845"/>
      <c r="I48" s="1844">
        <v>691</v>
      </c>
      <c r="J48" s="1845"/>
      <c r="K48" s="1844">
        <v>713</v>
      </c>
      <c r="L48" s="1845"/>
      <c r="M48" s="1844">
        <v>768</v>
      </c>
      <c r="N48" s="1845"/>
      <c r="O48" s="1844">
        <v>1029</v>
      </c>
      <c r="P48" s="1845"/>
      <c r="Q48" s="1844">
        <v>995</v>
      </c>
      <c r="R48" s="1846"/>
      <c r="S48" s="1322">
        <v>1128</v>
      </c>
      <c r="T48" s="1846"/>
      <c r="U48" s="1322">
        <f>'SCH 2'!T52</f>
        <v>1425</v>
      </c>
    </row>
    <row r="49" spans="1:21" ht="14" customHeight="1">
      <c r="A49" s="71" t="s">
        <v>125</v>
      </c>
      <c r="B49" s="141" t="s">
        <v>6</v>
      </c>
      <c r="C49" s="145">
        <v>0</v>
      </c>
      <c r="D49" s="1845"/>
      <c r="E49" s="145">
        <v>0</v>
      </c>
      <c r="F49" s="1845"/>
      <c r="G49" s="145">
        <v>0</v>
      </c>
      <c r="H49" s="1845"/>
      <c r="I49" s="145">
        <v>1227721</v>
      </c>
      <c r="J49" s="1845"/>
      <c r="K49" s="1844">
        <v>1359465</v>
      </c>
      <c r="L49" s="1845"/>
      <c r="M49" s="1844">
        <v>1375651</v>
      </c>
      <c r="N49" s="1845"/>
      <c r="O49" s="1844">
        <v>1204572</v>
      </c>
      <c r="P49" s="1845"/>
      <c r="Q49" s="1844">
        <v>1204147</v>
      </c>
      <c r="R49" s="1846"/>
      <c r="S49" s="1322">
        <v>1271303</v>
      </c>
      <c r="T49" s="1846"/>
      <c r="U49" s="1322">
        <f>'SCH 2'!T53</f>
        <v>1306235</v>
      </c>
    </row>
    <row r="50" spans="1:21" ht="18" customHeight="1">
      <c r="A50" s="65" t="s">
        <v>126</v>
      </c>
      <c r="B50" s="140" t="s">
        <v>6</v>
      </c>
      <c r="C50" s="1848">
        <f>SUM(C44:C49)</f>
        <v>2097406</v>
      </c>
      <c r="D50" s="1845"/>
      <c r="E50" s="1848">
        <f>SUM(E44:E49)</f>
        <v>2083299</v>
      </c>
      <c r="F50" s="1845"/>
      <c r="G50" s="1848">
        <f>SUM(G44:G49)</f>
        <v>1889571</v>
      </c>
      <c r="H50" s="1845"/>
      <c r="I50" s="1848">
        <f>SUM(I44:I49)</f>
        <v>2606144</v>
      </c>
      <c r="J50" s="1845"/>
      <c r="K50" s="1848">
        <f>SUM(K44:K49)</f>
        <v>3176563</v>
      </c>
      <c r="L50" s="1845"/>
      <c r="M50" s="1848">
        <f>SUM(M44:M49)</f>
        <v>3082195</v>
      </c>
      <c r="N50" s="1845"/>
      <c r="O50" s="1848">
        <f>SUM(O44:O49)</f>
        <v>2994444</v>
      </c>
      <c r="P50" s="1845"/>
      <c r="Q50" s="1848">
        <f>SUM(Q44:Q49)</f>
        <v>3371477</v>
      </c>
      <c r="R50" s="1846"/>
      <c r="S50" s="1849">
        <f>ROUND(SUM(S44:S49),0)</f>
        <v>3436918</v>
      </c>
      <c r="T50" s="1846"/>
      <c r="U50" s="1849">
        <f>ROUND(SUM(U44:U49),0)</f>
        <v>4008704</v>
      </c>
    </row>
    <row r="51" spans="1:21" ht="11.25" customHeight="1">
      <c r="A51" s="65"/>
      <c r="B51" s="140"/>
      <c r="C51" s="142"/>
      <c r="D51" s="128"/>
      <c r="E51" s="142"/>
      <c r="F51" s="128"/>
      <c r="G51" s="142"/>
      <c r="H51" s="128"/>
      <c r="I51" s="142"/>
      <c r="J51" s="128"/>
      <c r="K51" s="142"/>
      <c r="L51" s="128"/>
      <c r="M51" s="142"/>
      <c r="N51" s="128"/>
      <c r="O51" s="142"/>
      <c r="P51" s="128"/>
      <c r="Q51" s="142"/>
      <c r="S51" s="142"/>
      <c r="U51" s="142"/>
    </row>
    <row r="52" spans="1:21" s="24" customFormat="1" ht="22" customHeight="1" thickBot="1">
      <c r="A52" s="146" t="s">
        <v>127</v>
      </c>
      <c r="B52" s="147" t="s">
        <v>6</v>
      </c>
      <c r="C52" s="149">
        <f>C50+C41+C32+C19</f>
        <v>57912175</v>
      </c>
      <c r="D52" s="147"/>
      <c r="E52" s="149">
        <f>E50+E41+E32+E19</f>
        <v>60074766</v>
      </c>
      <c r="F52" s="147"/>
      <c r="G52" s="149">
        <f>G50+G41+G32+G19</f>
        <v>59571193</v>
      </c>
      <c r="H52" s="147"/>
      <c r="I52" s="149">
        <f>I50+I41+I32+I19</f>
        <v>57667704</v>
      </c>
      <c r="J52" s="147"/>
      <c r="K52" s="149">
        <f>K50+K41+K32+K19</f>
        <v>60869622</v>
      </c>
      <c r="L52" s="147"/>
      <c r="M52" s="149">
        <f>M50+M41+M32+M19</f>
        <v>64298874</v>
      </c>
      <c r="N52" s="147"/>
      <c r="O52" s="149">
        <f>O50+O41+O32+O19</f>
        <v>66300152</v>
      </c>
      <c r="P52" s="147"/>
      <c r="Q52" s="149">
        <f>Q50+Q41+Q32+Q19</f>
        <v>69690005</v>
      </c>
      <c r="S52" s="149">
        <f>ROUND(SUM(S50+S41+S32+S19),0)</f>
        <v>71034380</v>
      </c>
      <c r="U52" s="149">
        <f>ROUND(SUM(U50+U41+U32+U19),0)</f>
        <v>74673073</v>
      </c>
    </row>
    <row r="53" spans="1:21" ht="11.25" customHeight="1" thickTop="1">
      <c r="A53" s="71"/>
      <c r="B53" s="140"/>
      <c r="C53" s="150"/>
      <c r="D53" s="33"/>
      <c r="E53" s="150"/>
      <c r="F53" s="33"/>
      <c r="G53" s="150"/>
      <c r="H53" s="33"/>
      <c r="I53" s="150"/>
      <c r="J53" s="128"/>
      <c r="L53" s="128"/>
      <c r="N53" s="128"/>
      <c r="P53" s="128"/>
      <c r="R53" s="128"/>
    </row>
    <row r="54" spans="1:21">
      <c r="A54" s="1851" t="s">
        <v>6</v>
      </c>
      <c r="B54" s="62"/>
      <c r="E54" s="62"/>
      <c r="G54" s="62"/>
      <c r="I54" s="62"/>
      <c r="K54" s="62"/>
      <c r="N54" s="151"/>
      <c r="O54" s="141"/>
      <c r="P54" s="151"/>
      <c r="Q54" s="141"/>
      <c r="R54" s="151"/>
      <c r="S54" s="141"/>
      <c r="U54" s="141"/>
    </row>
    <row r="55" spans="1:21" ht="12" customHeight="1">
      <c r="A55" s="152" t="s">
        <v>6</v>
      </c>
      <c r="B55" s="62"/>
      <c r="E55" s="62"/>
      <c r="G55" s="62"/>
      <c r="I55" s="62"/>
      <c r="K55" s="62"/>
      <c r="N55" s="62"/>
      <c r="O55" s="141"/>
      <c r="P55" s="62"/>
      <c r="Q55" s="141"/>
      <c r="R55" s="62"/>
      <c r="S55" s="141"/>
      <c r="U55" s="141"/>
    </row>
    <row r="56" spans="1:21" ht="12" customHeight="1">
      <c r="A56" s="152"/>
      <c r="B56" s="62"/>
      <c r="E56" s="62"/>
      <c r="G56" s="62"/>
      <c r="I56" s="62"/>
      <c r="K56" s="62"/>
      <c r="N56" s="151"/>
      <c r="O56" s="153"/>
      <c r="P56" s="151"/>
      <c r="Q56" s="141"/>
      <c r="R56" s="151"/>
      <c r="S56" s="141"/>
      <c r="U56" s="141"/>
    </row>
    <row r="57" spans="1:21" ht="3" customHeight="1">
      <c r="A57" s="139"/>
      <c r="B57" s="154"/>
      <c r="C57" s="153" t="s">
        <v>6</v>
      </c>
      <c r="D57" s="154"/>
      <c r="E57" s="153"/>
      <c r="F57" s="154"/>
      <c r="G57" s="153"/>
      <c r="H57" s="154"/>
      <c r="I57" s="153"/>
      <c r="J57" s="151"/>
      <c r="K57" s="153"/>
      <c r="L57" s="151"/>
      <c r="M57" s="153"/>
      <c r="N57" s="151"/>
      <c r="O57" s="153"/>
      <c r="P57" s="151"/>
      <c r="Q57" s="153"/>
      <c r="R57" s="151"/>
      <c r="S57" s="153"/>
      <c r="U57" s="153"/>
    </row>
    <row r="58" spans="1:21" ht="17.25" customHeight="1">
      <c r="A58" s="155"/>
      <c r="B58" s="62"/>
      <c r="E58" s="62"/>
      <c r="G58" s="62"/>
      <c r="I58" s="62"/>
      <c r="K58" s="62"/>
    </row>
    <row r="59" spans="1:21" ht="12" customHeight="1">
      <c r="A59" s="152"/>
      <c r="B59" s="62"/>
      <c r="C59" s="62"/>
      <c r="D59" s="62"/>
      <c r="E59" s="62"/>
      <c r="F59" s="62"/>
      <c r="G59" s="62"/>
      <c r="I59" s="62"/>
      <c r="M59" s="62"/>
      <c r="O59" s="62"/>
      <c r="Q59" s="62"/>
    </row>
    <row r="60" spans="1:21">
      <c r="A60" s="156" t="s">
        <v>6</v>
      </c>
      <c r="B60" s="62"/>
      <c r="C60" s="62"/>
      <c r="D60" s="62"/>
      <c r="E60" s="62"/>
      <c r="G60" s="62"/>
      <c r="K60" s="62"/>
      <c r="M60" s="62"/>
      <c r="O60" s="62"/>
      <c r="Q60" s="62"/>
    </row>
    <row r="61" spans="1:21">
      <c r="A61" s="71" t="s">
        <v>6</v>
      </c>
      <c r="B61" s="62"/>
      <c r="C61" s="62"/>
      <c r="D61" s="62"/>
      <c r="E61" s="62"/>
      <c r="G61" s="62"/>
      <c r="K61" s="62"/>
      <c r="M61" s="62"/>
      <c r="O61" s="62"/>
      <c r="Q61" s="62"/>
    </row>
    <row r="62" spans="1:21">
      <c r="A62" s="71" t="s">
        <v>6</v>
      </c>
      <c r="B62" s="62"/>
      <c r="C62" s="62"/>
      <c r="D62" s="62"/>
      <c r="E62" s="62"/>
      <c r="G62" s="62"/>
      <c r="K62" s="62"/>
      <c r="M62" s="62"/>
      <c r="O62" s="62"/>
      <c r="Q62" s="62"/>
    </row>
    <row r="63" spans="1:21">
      <c r="A63" s="156" t="s">
        <v>6</v>
      </c>
      <c r="B63" s="62"/>
      <c r="C63" s="62"/>
      <c r="D63" s="62"/>
      <c r="E63" s="62"/>
      <c r="G63" s="62"/>
      <c r="K63" s="62"/>
      <c r="M63" s="62"/>
      <c r="O63" s="62"/>
      <c r="Q63" s="62"/>
    </row>
    <row r="64" spans="1:21">
      <c r="I64" s="62"/>
      <c r="M64" s="62"/>
      <c r="O64" s="62"/>
      <c r="Q64" s="62"/>
    </row>
    <row r="65" spans="9:17">
      <c r="I65" s="62"/>
      <c r="M65" s="62"/>
      <c r="O65" s="62"/>
      <c r="Q65" s="62"/>
    </row>
    <row r="66" spans="9:17">
      <c r="I66" s="62"/>
      <c r="M66" s="62"/>
      <c r="O66" s="62"/>
      <c r="Q66" s="62"/>
    </row>
    <row r="67" spans="9:17">
      <c r="I67" s="62"/>
      <c r="M67" s="62"/>
      <c r="O67" s="62"/>
      <c r="Q67" s="62"/>
    </row>
    <row r="68" spans="9:17">
      <c r="I68" s="62"/>
    </row>
    <row r="69" spans="9:17">
      <c r="I69" s="62"/>
    </row>
    <row r="70" spans="9:17">
      <c r="I70" s="62"/>
    </row>
    <row r="71" spans="9:17">
      <c r="I71" s="62"/>
    </row>
    <row r="72" spans="9:17">
      <c r="I72" s="62"/>
    </row>
    <row r="73" spans="9:17">
      <c r="I73" s="62"/>
    </row>
    <row r="74" spans="9:17">
      <c r="I74" s="62"/>
    </row>
    <row r="75" spans="9:17">
      <c r="I75" s="62"/>
    </row>
    <row r="76" spans="9:17">
      <c r="I76" s="62"/>
    </row>
  </sheetData>
  <pageMargins left="0.6" right="0.5" top="0.71" bottom="0.25" header="0" footer="0.25"/>
  <pageSetup scale="65" orientation="landscape"/>
  <headerFooter scaleWithDoc="0">
    <oddFooter>&amp;R&amp;8 68</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8"/>
  <sheetViews>
    <sheetView showGridLines="0" showOutlineSymbols="0" zoomScale="70" zoomScaleNormal="70" zoomScalePageLayoutView="70" workbookViewId="0"/>
  </sheetViews>
  <sheetFormatPr baseColWidth="10" defaultColWidth="8.85546875" defaultRowHeight="13" x14ac:dyDescent="0"/>
  <cols>
    <col min="1" max="1" width="50.85546875" style="67" customWidth="1"/>
    <col min="2" max="2" width="2.140625" style="67" bestFit="1" customWidth="1"/>
    <col min="3" max="3" width="14.5703125" style="67" bestFit="1" customWidth="1"/>
    <col min="4" max="4" width="1.85546875" style="67" customWidth="1"/>
    <col min="5" max="5" width="2.140625" style="67" bestFit="1" customWidth="1"/>
    <col min="6" max="6" width="18.42578125" style="67" customWidth="1"/>
    <col min="7" max="7" width="1.85546875" style="67" customWidth="1"/>
    <col min="8" max="8" width="16.140625" style="67" customWidth="1"/>
    <col min="9" max="9" width="1.85546875" style="67" customWidth="1"/>
    <col min="10" max="10" width="18.140625" style="67" bestFit="1" customWidth="1"/>
    <col min="11" max="11" width="1.85546875" style="67" customWidth="1"/>
    <col min="12" max="12" width="18.140625" style="67" customWidth="1"/>
    <col min="13" max="13" width="1.85546875" style="67" customWidth="1"/>
    <col min="14" max="14" width="15.85546875" style="67" bestFit="1" customWidth="1"/>
    <col min="15" max="15" width="1.85546875" style="67" customWidth="1"/>
    <col min="16" max="16" width="15.140625" style="67" customWidth="1"/>
    <col min="17" max="17" width="1.85546875" style="67" customWidth="1"/>
    <col min="18" max="18" width="0.140625" style="67" customWidth="1"/>
    <col min="19" max="19" width="2.140625" style="67" bestFit="1" customWidth="1"/>
    <col min="20" max="20" width="15.42578125" style="67" bestFit="1" customWidth="1"/>
    <col min="21" max="21" width="2.140625" style="67" bestFit="1" customWidth="1"/>
    <col min="22" max="22" width="14.5703125" style="67" bestFit="1" customWidth="1"/>
    <col min="23" max="23" width="2.140625" style="67" bestFit="1" customWidth="1"/>
    <col min="24" max="24" width="14.140625" style="67" bestFit="1" customWidth="1"/>
    <col min="25" max="25" width="2.140625" style="67" customWidth="1"/>
    <col min="26" max="26" width="2.140625" style="67" bestFit="1" customWidth="1"/>
    <col min="27" max="27" width="14.140625" style="67" bestFit="1" customWidth="1"/>
    <col min="28" max="28" width="2.140625" style="67" bestFit="1" customWidth="1"/>
    <col min="29" max="29" width="17.5703125" style="67" bestFit="1" customWidth="1"/>
    <col min="30" max="30" width="2.140625" style="67" customWidth="1"/>
    <col min="31" max="31" width="2.140625" style="67" bestFit="1" customWidth="1"/>
    <col min="32" max="32" width="16.140625" style="67" customWidth="1"/>
    <col min="33" max="33" width="2.140625" style="67" bestFit="1" customWidth="1"/>
    <col min="34" max="34" width="17.85546875" style="67" bestFit="1" customWidth="1"/>
    <col min="35" max="35" width="15.85546875" style="67" customWidth="1"/>
    <col min="36" max="36" width="1.85546875" style="67" customWidth="1"/>
    <col min="37" max="37" width="15.85546875" style="67" customWidth="1"/>
    <col min="38" max="38" width="25.5703125" style="67" customWidth="1"/>
    <col min="39" max="16384" width="8.85546875" style="67"/>
  </cols>
  <sheetData>
    <row r="1" spans="1:35" ht="15" customHeight="1">
      <c r="A1" s="1582" t="s">
        <v>1443</v>
      </c>
    </row>
    <row r="3" spans="1:35" s="4" customFormat="1" ht="18">
      <c r="A3" s="70" t="s">
        <v>128</v>
      </c>
      <c r="B3" s="65"/>
      <c r="C3" s="65"/>
      <c r="D3" s="65"/>
      <c r="E3" s="65"/>
      <c r="F3" s="65"/>
      <c r="G3" s="65"/>
      <c r="H3" s="65"/>
      <c r="I3" s="65"/>
      <c r="J3" s="65"/>
      <c r="K3" s="65"/>
      <c r="L3" s="65"/>
      <c r="M3" s="65"/>
      <c r="N3" s="65"/>
      <c r="O3" s="65"/>
      <c r="P3" s="65"/>
      <c r="Q3" s="65"/>
      <c r="R3" s="65"/>
      <c r="S3" s="65"/>
      <c r="T3" s="65"/>
      <c r="U3" s="65"/>
      <c r="V3" s="65"/>
      <c r="W3" s="65"/>
      <c r="X3" s="65"/>
      <c r="Y3" s="65"/>
      <c r="Z3" s="65"/>
      <c r="AA3" s="66"/>
      <c r="AB3" s="66"/>
      <c r="AC3" s="66"/>
      <c r="AD3" s="66"/>
      <c r="AE3" s="66"/>
      <c r="AF3" s="66"/>
      <c r="AG3" s="66"/>
      <c r="AH3" s="66"/>
      <c r="AI3" s="157"/>
    </row>
    <row r="4" spans="1:35" s="4" customFormat="1" ht="18">
      <c r="A4" s="70" t="s">
        <v>220</v>
      </c>
      <c r="B4" s="65"/>
      <c r="C4" s="65"/>
      <c r="D4" s="65"/>
      <c r="E4" s="65"/>
      <c r="F4" s="65"/>
      <c r="G4" s="65"/>
      <c r="H4" s="65"/>
      <c r="I4" s="65"/>
      <c r="J4" s="65"/>
      <c r="K4" s="65"/>
      <c r="L4" s="65"/>
      <c r="M4" s="65"/>
      <c r="N4" s="65"/>
      <c r="O4" s="65"/>
      <c r="P4" s="65"/>
      <c r="Q4" s="65"/>
      <c r="R4" s="65"/>
      <c r="S4" s="65"/>
      <c r="T4" s="65"/>
      <c r="U4" s="65"/>
      <c r="V4" s="65"/>
      <c r="W4" s="65"/>
      <c r="X4" s="65"/>
      <c r="Y4" s="65"/>
      <c r="Z4" s="65"/>
      <c r="AA4" s="66"/>
      <c r="AB4" s="66"/>
      <c r="AC4" s="66"/>
      <c r="AD4" s="66"/>
      <c r="AE4" s="66"/>
      <c r="AF4" s="66"/>
      <c r="AG4" s="66"/>
      <c r="AH4" s="66"/>
      <c r="AI4" s="157"/>
    </row>
    <row r="5" spans="1:35" s="4" customFormat="1" ht="20">
      <c r="A5" s="129" t="s">
        <v>129</v>
      </c>
      <c r="B5" s="65"/>
      <c r="C5" s="65"/>
      <c r="D5" s="65"/>
      <c r="E5" s="65"/>
      <c r="F5" s="65"/>
      <c r="G5" s="65"/>
      <c r="H5" s="65"/>
      <c r="I5" s="65"/>
      <c r="J5" s="65"/>
      <c r="K5" s="65"/>
      <c r="L5" s="65"/>
      <c r="M5" s="65"/>
      <c r="N5" s="65"/>
      <c r="O5" s="65"/>
      <c r="P5" s="65"/>
      <c r="Q5" s="158" t="s">
        <v>130</v>
      </c>
      <c r="R5" s="65"/>
      <c r="S5" s="65"/>
      <c r="T5" s="65"/>
      <c r="U5" s="65"/>
      <c r="V5" s="65"/>
      <c r="W5" s="65"/>
      <c r="X5" s="65"/>
      <c r="Y5" s="65"/>
      <c r="Z5" s="65"/>
      <c r="AA5" s="66"/>
      <c r="AB5" s="66"/>
      <c r="AC5" s="66"/>
      <c r="AD5" s="66"/>
      <c r="AE5" s="66"/>
      <c r="AF5" s="67"/>
      <c r="AG5" s="66"/>
      <c r="AH5" s="158" t="s">
        <v>130</v>
      </c>
      <c r="AI5" s="157"/>
    </row>
    <row r="6" spans="1:35" s="4" customFormat="1" ht="18">
      <c r="A6" s="129" t="s">
        <v>2598</v>
      </c>
      <c r="B6" s="2223"/>
      <c r="C6" s="2223"/>
      <c r="D6" s="65"/>
      <c r="E6" s="65"/>
      <c r="F6" s="65"/>
      <c r="G6" s="65"/>
      <c r="H6" s="65"/>
      <c r="I6" s="65"/>
      <c r="J6" s="65"/>
      <c r="K6" s="65"/>
      <c r="L6" s="65"/>
      <c r="M6" s="65"/>
      <c r="N6" s="65"/>
      <c r="O6" s="65"/>
      <c r="P6" s="65"/>
      <c r="Q6" s="65"/>
      <c r="R6" s="65"/>
      <c r="S6" s="65"/>
      <c r="T6" s="65"/>
      <c r="U6" s="65"/>
      <c r="V6" s="65"/>
      <c r="W6" s="65"/>
      <c r="X6" s="65"/>
      <c r="Y6" s="65"/>
      <c r="Z6" s="65"/>
      <c r="AA6" s="66"/>
      <c r="AB6" s="66"/>
      <c r="AC6" s="66"/>
      <c r="AD6" s="66"/>
      <c r="AE6" s="66"/>
      <c r="AF6" s="66"/>
      <c r="AG6" s="66"/>
      <c r="AH6" s="131" t="s">
        <v>131</v>
      </c>
      <c r="AI6" s="157"/>
    </row>
    <row r="7" spans="1:35" s="4" customFormat="1" ht="17">
      <c r="A7" s="7" t="s">
        <v>132</v>
      </c>
      <c r="B7" s="71"/>
      <c r="C7" s="65"/>
      <c r="D7" s="65"/>
      <c r="E7" s="65"/>
      <c r="F7" s="65"/>
      <c r="G7" s="65"/>
      <c r="H7" s="65"/>
      <c r="I7" s="65"/>
      <c r="J7" s="65"/>
      <c r="K7" s="65"/>
      <c r="L7" s="65"/>
      <c r="M7" s="65"/>
      <c r="N7" s="65"/>
      <c r="O7" s="65"/>
      <c r="P7" s="65"/>
      <c r="Q7" s="65"/>
      <c r="R7" s="65"/>
      <c r="S7" s="65"/>
      <c r="T7" s="65"/>
      <c r="U7" s="65"/>
      <c r="V7" s="65"/>
      <c r="W7" s="65"/>
      <c r="X7" s="65"/>
      <c r="Y7" s="65"/>
      <c r="Z7" s="65"/>
      <c r="AA7" s="67"/>
      <c r="AB7" s="67"/>
      <c r="AC7" s="67"/>
      <c r="AD7" s="67"/>
      <c r="AE7" s="67"/>
      <c r="AF7" s="67"/>
      <c r="AG7" s="67"/>
      <c r="AH7" s="67"/>
    </row>
    <row r="8" spans="1:35" s="4" customFormat="1">
      <c r="A8" s="67"/>
      <c r="B8" s="71"/>
      <c r="C8" s="65"/>
      <c r="D8" s="65"/>
      <c r="E8" s="65"/>
      <c r="F8" s="65"/>
      <c r="G8" s="65"/>
      <c r="H8" s="65"/>
      <c r="I8" s="65"/>
      <c r="J8" s="65"/>
      <c r="K8" s="65"/>
      <c r="L8" s="65"/>
      <c r="M8" s="65"/>
      <c r="N8" s="65"/>
      <c r="O8" s="65"/>
      <c r="P8" s="65"/>
      <c r="Q8" s="65"/>
      <c r="R8" s="65"/>
      <c r="S8" s="65"/>
      <c r="T8" s="65"/>
      <c r="U8" s="65"/>
      <c r="V8" s="65"/>
      <c r="W8" s="65"/>
      <c r="X8" s="65"/>
      <c r="Y8" s="65"/>
      <c r="Z8" s="65"/>
      <c r="AA8" s="67"/>
      <c r="AB8" s="67"/>
      <c r="AC8" s="67"/>
      <c r="AD8" s="67"/>
      <c r="AE8" s="67"/>
      <c r="AF8" s="67"/>
      <c r="AG8" s="67"/>
      <c r="AH8" s="67"/>
    </row>
    <row r="9" spans="1:35" s="4" customFormat="1" ht="4.5" customHeight="1">
      <c r="A9" s="70"/>
      <c r="B9" s="71"/>
      <c r="C9" s="65"/>
      <c r="D9" s="65"/>
      <c r="E9" s="65"/>
      <c r="F9" s="65"/>
      <c r="G9" s="65"/>
      <c r="H9" s="65"/>
      <c r="I9" s="65"/>
      <c r="J9" s="65"/>
      <c r="K9" s="65"/>
      <c r="L9" s="65"/>
      <c r="M9" s="65"/>
      <c r="N9" s="65"/>
      <c r="O9" s="65"/>
      <c r="P9" s="65"/>
      <c r="Q9" s="65"/>
      <c r="R9" s="65"/>
      <c r="S9" s="65"/>
      <c r="T9" s="65"/>
      <c r="U9" s="65"/>
      <c r="V9" s="65"/>
      <c r="W9" s="65"/>
      <c r="X9" s="65"/>
      <c r="Y9" s="65"/>
      <c r="Z9" s="65"/>
      <c r="AA9" s="67"/>
      <c r="AB9" s="67"/>
      <c r="AC9" s="67"/>
      <c r="AD9" s="67"/>
      <c r="AE9" s="67"/>
      <c r="AF9" s="67"/>
      <c r="AG9" s="67"/>
      <c r="AH9" s="67"/>
    </row>
    <row r="10" spans="1:35" s="4" customFormat="1" ht="16.5" customHeight="1">
      <c r="A10" s="70"/>
      <c r="B10" s="71"/>
      <c r="C10" s="65"/>
      <c r="D10" s="65"/>
      <c r="E10" s="65"/>
      <c r="F10" s="65"/>
      <c r="G10" s="65"/>
      <c r="H10" s="65"/>
      <c r="I10" s="65"/>
      <c r="J10" s="65"/>
      <c r="K10" s="65"/>
      <c r="L10" s="65"/>
      <c r="M10" s="65"/>
      <c r="N10" s="65"/>
      <c r="O10" s="65"/>
      <c r="P10" s="65"/>
      <c r="Q10" s="65"/>
      <c r="R10" s="65"/>
      <c r="S10" s="65"/>
      <c r="T10" s="65"/>
      <c r="U10" s="65"/>
      <c r="V10" s="65"/>
      <c r="W10" s="65"/>
      <c r="X10" s="65"/>
      <c r="Y10" s="65"/>
      <c r="Z10" s="65"/>
      <c r="AA10" s="67"/>
      <c r="AB10" s="67"/>
      <c r="AC10" s="67"/>
      <c r="AD10" s="67"/>
      <c r="AE10" s="67"/>
    </row>
    <row r="11" spans="1:35" s="4" customFormat="1" ht="17">
      <c r="A11" s="72"/>
      <c r="B11" s="72"/>
      <c r="C11" s="2225" t="s">
        <v>133</v>
      </c>
      <c r="D11" s="160"/>
      <c r="E11" s="161"/>
      <c r="F11" s="2401" t="s">
        <v>134</v>
      </c>
      <c r="G11" s="2401"/>
      <c r="H11" s="2401"/>
      <c r="I11" s="2401"/>
      <c r="J11" s="2401"/>
      <c r="K11" s="2401"/>
      <c r="L11" s="2401"/>
      <c r="M11" s="2401"/>
      <c r="N11" s="2401"/>
      <c r="O11" s="2401"/>
      <c r="P11" s="2401"/>
      <c r="Q11" s="2402"/>
      <c r="R11" s="2401"/>
      <c r="S11" s="73"/>
      <c r="T11" s="2401" t="s">
        <v>135</v>
      </c>
      <c r="U11" s="2401"/>
      <c r="V11" s="2401"/>
      <c r="W11" s="2401"/>
      <c r="X11" s="2401"/>
      <c r="Y11" s="2222"/>
      <c r="Z11" s="161"/>
      <c r="AA11" s="2401" t="s">
        <v>136</v>
      </c>
      <c r="AB11" s="2401"/>
      <c r="AC11" s="2401"/>
      <c r="AD11" s="2222"/>
      <c r="AE11" s="67"/>
      <c r="AF11" s="2402"/>
      <c r="AG11" s="2402"/>
      <c r="AH11" s="2402"/>
    </row>
    <row r="12" spans="1:35" s="164" customFormat="1" ht="18" customHeight="1">
      <c r="A12" s="72"/>
      <c r="B12" s="72"/>
      <c r="C12" s="160"/>
      <c r="D12" s="162"/>
      <c r="E12" s="161"/>
      <c r="F12" s="160" t="s">
        <v>137</v>
      </c>
      <c r="G12" s="160"/>
      <c r="H12" s="160"/>
      <c r="I12" s="160"/>
      <c r="J12" s="160" t="s">
        <v>138</v>
      </c>
      <c r="K12" s="160"/>
      <c r="M12" s="160"/>
      <c r="N12" s="160"/>
      <c r="O12" s="160"/>
      <c r="P12" s="160"/>
      <c r="Q12" s="163"/>
      <c r="R12" s="160"/>
      <c r="S12" s="73"/>
      <c r="T12" s="160"/>
      <c r="U12" s="160"/>
      <c r="W12" s="160"/>
      <c r="X12" s="160" t="s">
        <v>139</v>
      </c>
      <c r="Y12" s="160"/>
      <c r="Z12" s="165"/>
      <c r="AA12" s="160" t="s">
        <v>140</v>
      </c>
      <c r="AB12" s="160"/>
      <c r="AC12" s="160"/>
      <c r="AD12" s="160"/>
      <c r="AE12" s="166"/>
    </row>
    <row r="13" spans="1:35" s="164" customFormat="1" ht="18" customHeight="1">
      <c r="A13" s="72"/>
      <c r="B13" s="72"/>
      <c r="C13" s="160" t="s">
        <v>141</v>
      </c>
      <c r="D13" s="162"/>
      <c r="E13" s="161"/>
      <c r="F13" s="160" t="s">
        <v>138</v>
      </c>
      <c r="G13" s="160"/>
      <c r="H13" s="160" t="s">
        <v>2533</v>
      </c>
      <c r="I13" s="160"/>
      <c r="J13" s="160" t="s">
        <v>142</v>
      </c>
      <c r="K13" s="160"/>
      <c r="L13" s="160" t="s">
        <v>2635</v>
      </c>
      <c r="M13" s="160"/>
      <c r="N13" s="160"/>
      <c r="O13" s="160"/>
      <c r="P13" s="160" t="s">
        <v>143</v>
      </c>
      <c r="Q13" s="163"/>
      <c r="R13" s="160"/>
      <c r="S13" s="73"/>
      <c r="T13" s="160"/>
      <c r="U13" s="160"/>
      <c r="V13" s="160" t="s">
        <v>133</v>
      </c>
      <c r="W13" s="160"/>
      <c r="X13" s="160" t="s">
        <v>144</v>
      </c>
      <c r="Y13" s="160"/>
      <c r="Z13" s="165"/>
      <c r="AA13" s="160" t="s">
        <v>145</v>
      </c>
      <c r="AB13" s="160"/>
      <c r="AC13" s="160"/>
      <c r="AD13" s="160"/>
      <c r="AE13" s="166"/>
    </row>
    <row r="14" spans="1:35" s="164" customFormat="1" ht="18.75" customHeight="1">
      <c r="A14" s="72"/>
      <c r="B14" s="72"/>
      <c r="C14" s="167" t="s">
        <v>146</v>
      </c>
      <c r="D14" s="162"/>
      <c r="E14" s="161"/>
      <c r="F14" s="160" t="s">
        <v>147</v>
      </c>
      <c r="G14" s="160"/>
      <c r="H14" s="160" t="s">
        <v>148</v>
      </c>
      <c r="I14" s="160"/>
      <c r="J14" s="160" t="s">
        <v>149</v>
      </c>
      <c r="K14" s="160"/>
      <c r="L14" s="160" t="s">
        <v>2688</v>
      </c>
      <c r="M14" s="160"/>
      <c r="N14" s="160" t="s">
        <v>150</v>
      </c>
      <c r="O14" s="160"/>
      <c r="P14" s="160" t="s">
        <v>151</v>
      </c>
      <c r="Q14" s="168"/>
      <c r="R14" s="160"/>
      <c r="S14" s="73"/>
      <c r="T14" s="160" t="s">
        <v>152</v>
      </c>
      <c r="U14" s="160"/>
      <c r="V14" s="167" t="s">
        <v>153</v>
      </c>
      <c r="W14" s="160"/>
      <c r="X14" s="160" t="s">
        <v>154</v>
      </c>
      <c r="Y14" s="160"/>
      <c r="Z14" s="165"/>
      <c r="AA14" s="169" t="s">
        <v>155</v>
      </c>
      <c r="AB14" s="160"/>
      <c r="AC14" s="160" t="s">
        <v>156</v>
      </c>
      <c r="AD14" s="160"/>
      <c r="AE14" s="166"/>
      <c r="AF14" s="2403" t="s">
        <v>157</v>
      </c>
      <c r="AG14" s="2403"/>
      <c r="AH14" s="2403"/>
    </row>
    <row r="15" spans="1:35" s="164" customFormat="1" ht="18" customHeight="1">
      <c r="A15" s="72"/>
      <c r="B15" s="72"/>
      <c r="C15" s="167" t="s">
        <v>158</v>
      </c>
      <c r="D15" s="170"/>
      <c r="E15" s="171"/>
      <c r="F15" s="169" t="s">
        <v>159</v>
      </c>
      <c r="G15" s="172"/>
      <c r="H15" s="160" t="s">
        <v>160</v>
      </c>
      <c r="I15" s="172"/>
      <c r="J15" s="169" t="s">
        <v>161</v>
      </c>
      <c r="K15" s="169"/>
      <c r="L15" s="160" t="s">
        <v>2636</v>
      </c>
      <c r="M15" s="171"/>
      <c r="N15" s="160" t="s">
        <v>154</v>
      </c>
      <c r="O15" s="169"/>
      <c r="P15" s="167" t="s">
        <v>162</v>
      </c>
      <c r="Q15" s="173"/>
      <c r="R15" s="169"/>
      <c r="S15" s="172"/>
      <c r="T15" s="167" t="s">
        <v>163</v>
      </c>
      <c r="U15" s="171"/>
      <c r="V15" s="167" t="s">
        <v>164</v>
      </c>
      <c r="W15" s="172"/>
      <c r="X15" s="167" t="s">
        <v>151</v>
      </c>
      <c r="Y15" s="167"/>
      <c r="Z15" s="174"/>
      <c r="AA15" s="169" t="s">
        <v>159</v>
      </c>
      <c r="AB15" s="175"/>
      <c r="AC15" s="167" t="s">
        <v>165</v>
      </c>
      <c r="AD15" s="167"/>
      <c r="AE15" s="166"/>
      <c r="AF15" s="2401" t="s">
        <v>166</v>
      </c>
      <c r="AG15" s="2401"/>
      <c r="AH15" s="2401"/>
    </row>
    <row r="16" spans="1:35" s="164" customFormat="1" ht="21" customHeight="1">
      <c r="A16" s="2224"/>
      <c r="B16" s="2224"/>
      <c r="C16" s="2226" t="s">
        <v>167</v>
      </c>
      <c r="D16" s="163"/>
      <c r="E16" s="176"/>
      <c r="F16" s="2226" t="s">
        <v>168</v>
      </c>
      <c r="G16" s="177"/>
      <c r="H16" s="2226" t="s">
        <v>169</v>
      </c>
      <c r="I16" s="177"/>
      <c r="J16" s="2226" t="s">
        <v>170</v>
      </c>
      <c r="K16" s="178"/>
      <c r="L16" s="2226" t="s">
        <v>2637</v>
      </c>
      <c r="M16" s="176"/>
      <c r="N16" s="2226" t="s">
        <v>171</v>
      </c>
      <c r="O16" s="178"/>
      <c r="P16" s="178" t="s">
        <v>172</v>
      </c>
      <c r="Q16" s="173"/>
      <c r="R16" s="178"/>
      <c r="S16" s="177"/>
      <c r="T16" s="2226" t="s">
        <v>173</v>
      </c>
      <c r="U16" s="176"/>
      <c r="V16" s="2226" t="s">
        <v>174</v>
      </c>
      <c r="W16" s="177"/>
      <c r="X16" s="2226" t="s">
        <v>175</v>
      </c>
      <c r="Y16" s="178"/>
      <c r="Z16" s="179"/>
      <c r="AA16" s="2226" t="s">
        <v>176</v>
      </c>
      <c r="AB16" s="180"/>
      <c r="AC16" s="2226" t="s">
        <v>177</v>
      </c>
      <c r="AD16" s="178"/>
      <c r="AE16" s="181"/>
      <c r="AF16" s="2227" t="s">
        <v>2584</v>
      </c>
      <c r="AG16" s="182"/>
      <c r="AH16" s="2227" t="s">
        <v>1917</v>
      </c>
    </row>
    <row r="17" spans="1:34" s="24" customFormat="1" ht="26.25" customHeight="1">
      <c r="A17" s="7" t="s">
        <v>178</v>
      </c>
      <c r="B17" s="21" t="s">
        <v>6</v>
      </c>
      <c r="C17" s="1323">
        <v>31956762</v>
      </c>
      <c r="D17" s="1324"/>
      <c r="E17" s="1323"/>
      <c r="F17" s="1325">
        <v>0</v>
      </c>
      <c r="G17" s="1326"/>
      <c r="H17" s="1325">
        <v>0</v>
      </c>
      <c r="I17" s="1323"/>
      <c r="J17" s="1325">
        <v>0</v>
      </c>
      <c r="K17" s="1325"/>
      <c r="L17" s="1325">
        <v>0</v>
      </c>
      <c r="M17" s="1323"/>
      <c r="N17" s="2228">
        <v>0</v>
      </c>
      <c r="O17" s="1327"/>
      <c r="P17" s="1328">
        <v>3334700</v>
      </c>
      <c r="Q17" s="184"/>
      <c r="R17" s="185" t="s">
        <v>179</v>
      </c>
      <c r="S17" s="183" t="s">
        <v>6</v>
      </c>
      <c r="T17" s="2228">
        <v>0</v>
      </c>
      <c r="U17" s="1323"/>
      <c r="V17" s="2228">
        <v>11763821</v>
      </c>
      <c r="W17" s="1323"/>
      <c r="X17" s="1325">
        <v>0</v>
      </c>
      <c r="Y17" s="1325"/>
      <c r="Z17" s="1352"/>
      <c r="AA17" s="1353">
        <v>0</v>
      </c>
      <c r="AB17" s="1323"/>
      <c r="AC17" s="1353">
        <v>0</v>
      </c>
      <c r="AD17" s="1354"/>
      <c r="AE17" s="1352"/>
      <c r="AF17" s="2229">
        <f>ROUND(SUM(C17:AC17),0)</f>
        <v>47055283</v>
      </c>
      <c r="AG17" s="1323"/>
      <c r="AH17" s="2229">
        <v>43709833</v>
      </c>
    </row>
    <row r="18" spans="1:34" s="4" customFormat="1" ht="18" customHeight="1">
      <c r="A18" s="7"/>
      <c r="B18" s="186"/>
      <c r="C18" s="1329"/>
      <c r="D18" s="1330"/>
      <c r="E18" s="1331"/>
      <c r="F18" s="1329"/>
      <c r="G18" s="1332"/>
      <c r="H18" s="1329"/>
      <c r="I18" s="1331"/>
      <c r="J18" s="1329"/>
      <c r="K18" s="1333"/>
      <c r="L18" s="1329"/>
      <c r="M18" s="1331"/>
      <c r="N18" s="1333"/>
      <c r="O18" s="1333"/>
      <c r="P18" s="1333"/>
      <c r="Q18" s="168"/>
      <c r="R18" s="188"/>
      <c r="S18" s="187"/>
      <c r="T18" s="1329"/>
      <c r="U18" s="1331"/>
      <c r="V18" s="1329"/>
      <c r="W18" s="1331"/>
      <c r="X18" s="1329"/>
      <c r="Y18" s="1333"/>
      <c r="Z18" s="1355"/>
      <c r="AA18" s="1356"/>
      <c r="AB18" s="1356"/>
      <c r="AC18" s="1357"/>
      <c r="AD18" s="1357"/>
      <c r="AE18" s="1358"/>
      <c r="AF18" s="1357"/>
      <c r="AG18" s="1357"/>
      <c r="AH18" s="1357"/>
    </row>
    <row r="19" spans="1:34" s="4" customFormat="1" ht="16.5" customHeight="1">
      <c r="A19" s="7" t="s">
        <v>13</v>
      </c>
      <c r="B19" s="186"/>
      <c r="C19" s="1334"/>
      <c r="D19" s="1335"/>
      <c r="E19" s="1334"/>
      <c r="F19" s="1334"/>
      <c r="G19" s="1336"/>
      <c r="H19" s="1334"/>
      <c r="I19" s="1334"/>
      <c r="J19" s="1334"/>
      <c r="K19" s="1334"/>
      <c r="L19" s="1334"/>
      <c r="M19" s="1334"/>
      <c r="N19" s="1334"/>
      <c r="O19" s="1334"/>
      <c r="P19" s="1334"/>
      <c r="Q19" s="168"/>
      <c r="R19" s="187"/>
      <c r="S19" s="187"/>
      <c r="T19" s="1331"/>
      <c r="U19" s="1331"/>
      <c r="V19" s="1331"/>
      <c r="W19" s="1331"/>
      <c r="X19" s="1331"/>
      <c r="Y19" s="1331"/>
      <c r="Z19" s="1355"/>
      <c r="AA19" s="1356"/>
      <c r="AB19" s="1356"/>
      <c r="AC19" s="1357"/>
      <c r="AD19" s="1357"/>
      <c r="AE19" s="1358"/>
      <c r="AF19" s="1357"/>
      <c r="AG19" s="1357"/>
      <c r="AH19" s="1357"/>
    </row>
    <row r="20" spans="1:34" s="4" customFormat="1" ht="18" customHeight="1">
      <c r="A20" s="37" t="s">
        <v>180</v>
      </c>
      <c r="B20" s="186" t="s">
        <v>6</v>
      </c>
      <c r="C20" s="1337">
        <v>6242590</v>
      </c>
      <c r="D20" s="1335"/>
      <c r="E20" s="1334"/>
      <c r="F20" s="1337">
        <v>0</v>
      </c>
      <c r="G20" s="1338"/>
      <c r="H20" s="1337">
        <v>0</v>
      </c>
      <c r="I20" s="1334"/>
      <c r="J20" s="1337">
        <v>874211</v>
      </c>
      <c r="K20" s="1337"/>
      <c r="L20" s="1337">
        <v>0</v>
      </c>
      <c r="M20" s="1334"/>
      <c r="N20" s="1337">
        <v>0</v>
      </c>
      <c r="O20" s="1334"/>
      <c r="P20" s="1337">
        <v>0</v>
      </c>
      <c r="Q20" s="168"/>
      <c r="R20" s="187"/>
      <c r="S20" s="187" t="s">
        <v>6</v>
      </c>
      <c r="T20" s="1337">
        <v>0</v>
      </c>
      <c r="U20" s="1334"/>
      <c r="V20" s="1337">
        <v>3121259</v>
      </c>
      <c r="W20" s="1334"/>
      <c r="X20" s="1337">
        <v>3121260</v>
      </c>
      <c r="Y20" s="1337"/>
      <c r="Z20" s="1359"/>
      <c r="AA20" s="1337">
        <v>0</v>
      </c>
      <c r="AB20" s="1334"/>
      <c r="AC20" s="1337">
        <v>0</v>
      </c>
      <c r="AD20" s="1337"/>
      <c r="AE20" s="1359"/>
      <c r="AF20" s="1334">
        <f>ROUND(SUM(C20:AE20),0)</f>
        <v>13359320</v>
      </c>
      <c r="AG20" s="1334"/>
      <c r="AH20" s="1334">
        <v>12991656</v>
      </c>
    </row>
    <row r="21" spans="1:34" s="4" customFormat="1" ht="18" customHeight="1">
      <c r="A21" s="37" t="s">
        <v>181</v>
      </c>
      <c r="B21" s="186" t="s">
        <v>6</v>
      </c>
      <c r="C21" s="1337">
        <v>0</v>
      </c>
      <c r="D21" s="1339"/>
      <c r="E21" s="1334"/>
      <c r="F21" s="1337">
        <v>0</v>
      </c>
      <c r="G21" s="1338"/>
      <c r="H21" s="1337">
        <v>0</v>
      </c>
      <c r="I21" s="1334"/>
      <c r="J21" s="1337">
        <v>0</v>
      </c>
      <c r="K21" s="1337"/>
      <c r="L21" s="1337">
        <v>0</v>
      </c>
      <c r="M21" s="1334"/>
      <c r="N21" s="1337">
        <v>47012</v>
      </c>
      <c r="O21" s="1337"/>
      <c r="P21" s="1337">
        <v>0</v>
      </c>
      <c r="Q21" s="168"/>
      <c r="R21" s="190"/>
      <c r="S21" s="187" t="s">
        <v>6</v>
      </c>
      <c r="T21" s="1337">
        <v>0</v>
      </c>
      <c r="U21" s="1334"/>
      <c r="V21" s="1337">
        <v>0</v>
      </c>
      <c r="W21" s="1334"/>
      <c r="X21" s="1337">
        <v>0</v>
      </c>
      <c r="Y21" s="1337"/>
      <c r="Z21" s="1359"/>
      <c r="AA21" s="1337">
        <v>79064</v>
      </c>
      <c r="AB21" s="1334"/>
      <c r="AC21" s="1337">
        <v>0</v>
      </c>
      <c r="AD21" s="1337"/>
      <c r="AE21" s="1359"/>
      <c r="AF21" s="1334">
        <f t="shared" ref="AF21:AF27" si="0">ROUND(SUM(C21:AE21),0)</f>
        <v>126076</v>
      </c>
      <c r="AG21" s="1334"/>
      <c r="AH21" s="1334">
        <v>119093</v>
      </c>
    </row>
    <row r="22" spans="1:34" s="4" customFormat="1" ht="18" customHeight="1">
      <c r="A22" s="37" t="s">
        <v>182</v>
      </c>
      <c r="B22" s="186" t="s">
        <v>6</v>
      </c>
      <c r="C22" s="1337">
        <v>322233</v>
      </c>
      <c r="D22" s="1335"/>
      <c r="E22" s="1334"/>
      <c r="F22" s="1337">
        <v>0</v>
      </c>
      <c r="G22" s="1334"/>
      <c r="H22" s="1337">
        <v>928379</v>
      </c>
      <c r="I22" s="1334"/>
      <c r="J22" s="1337">
        <v>0</v>
      </c>
      <c r="K22" s="1337"/>
      <c r="L22" s="1337">
        <v>0</v>
      </c>
      <c r="M22" s="1334"/>
      <c r="N22" s="1337">
        <v>0</v>
      </c>
      <c r="O22" s="1337"/>
      <c r="P22" s="1337">
        <v>0</v>
      </c>
      <c r="Q22" s="168"/>
      <c r="R22" s="190"/>
      <c r="S22" s="187" t="s">
        <v>6</v>
      </c>
      <c r="T22" s="1337">
        <v>0</v>
      </c>
      <c r="U22" s="1334"/>
      <c r="V22" s="1337">
        <v>0</v>
      </c>
      <c r="W22" s="1334"/>
      <c r="X22" s="1337">
        <v>0</v>
      </c>
      <c r="Y22" s="1337"/>
      <c r="Z22" s="1359"/>
      <c r="AA22" s="1337">
        <v>0</v>
      </c>
      <c r="AB22" s="1334"/>
      <c r="AC22" s="1337">
        <v>0</v>
      </c>
      <c r="AD22" s="1337"/>
      <c r="AE22" s="1359"/>
      <c r="AF22" s="1334">
        <f t="shared" si="0"/>
        <v>1250612</v>
      </c>
      <c r="AG22" s="1334"/>
      <c r="AH22" s="1334">
        <v>1313758</v>
      </c>
    </row>
    <row r="23" spans="1:34" s="4" customFormat="1" ht="18" customHeight="1">
      <c r="A23" s="37" t="s">
        <v>2692</v>
      </c>
      <c r="B23" s="186" t="s">
        <v>6</v>
      </c>
      <c r="C23" s="1337">
        <v>0</v>
      </c>
      <c r="D23" s="1335"/>
      <c r="E23" s="1334"/>
      <c r="F23" s="1337">
        <v>0</v>
      </c>
      <c r="G23" s="1334"/>
      <c r="H23" s="1337">
        <v>0</v>
      </c>
      <c r="I23" s="1334"/>
      <c r="J23" s="1337">
        <v>0</v>
      </c>
      <c r="K23" s="1337"/>
      <c r="L23" s="1337">
        <v>11</v>
      </c>
      <c r="M23" s="1334"/>
      <c r="N23" s="1337">
        <v>0</v>
      </c>
      <c r="O23" s="1337"/>
      <c r="P23" s="1337">
        <v>0</v>
      </c>
      <c r="Q23" s="168"/>
      <c r="R23" s="190"/>
      <c r="S23" s="187"/>
      <c r="T23" s="1337">
        <v>0</v>
      </c>
      <c r="U23" s="1334"/>
      <c r="V23" s="1337">
        <v>0</v>
      </c>
      <c r="W23" s="1334"/>
      <c r="X23" s="1337">
        <v>0</v>
      </c>
      <c r="Y23" s="1337"/>
      <c r="Z23" s="1359"/>
      <c r="AA23" s="1337">
        <v>0</v>
      </c>
      <c r="AB23" s="1334"/>
      <c r="AC23" s="1337">
        <v>0</v>
      </c>
      <c r="AD23" s="1337"/>
      <c r="AE23" s="1359"/>
      <c r="AF23" s="1334">
        <f t="shared" si="0"/>
        <v>11</v>
      </c>
      <c r="AG23" s="1334"/>
      <c r="AH23" s="1334">
        <v>0</v>
      </c>
    </row>
    <row r="24" spans="1:34" s="4" customFormat="1" ht="18" customHeight="1">
      <c r="A24" s="191" t="s">
        <v>183</v>
      </c>
      <c r="B24" s="186" t="s">
        <v>6</v>
      </c>
      <c r="C24" s="1337">
        <v>0</v>
      </c>
      <c r="D24" s="1339"/>
      <c r="E24" s="1334"/>
      <c r="F24" s="1337">
        <v>104993</v>
      </c>
      <c r="G24" s="1334"/>
      <c r="H24" s="1337">
        <v>0</v>
      </c>
      <c r="I24" s="1334"/>
      <c r="J24" s="1337">
        <v>0</v>
      </c>
      <c r="K24" s="1337"/>
      <c r="L24" s="1337">
        <v>0</v>
      </c>
      <c r="M24" s="1334"/>
      <c r="N24" s="1337">
        <v>0</v>
      </c>
      <c r="O24" s="1337"/>
      <c r="P24" s="1337">
        <v>0</v>
      </c>
      <c r="Q24" s="168"/>
      <c r="R24" s="190"/>
      <c r="S24" s="187" t="s">
        <v>6</v>
      </c>
      <c r="T24" s="1337">
        <v>0</v>
      </c>
      <c r="U24" s="1334"/>
      <c r="V24" s="1337">
        <v>0</v>
      </c>
      <c r="W24" s="1334"/>
      <c r="X24" s="1337">
        <v>0</v>
      </c>
      <c r="Y24" s="1337"/>
      <c r="Z24" s="1359"/>
      <c r="AA24" s="1337">
        <v>398075</v>
      </c>
      <c r="AB24" s="1334"/>
      <c r="AC24" s="1337">
        <v>0</v>
      </c>
      <c r="AD24" s="1337"/>
      <c r="AE24" s="1359"/>
      <c r="AF24" s="1334">
        <f t="shared" si="0"/>
        <v>503068</v>
      </c>
      <c r="AG24" s="1334"/>
      <c r="AH24" s="1334">
        <v>486955</v>
      </c>
    </row>
    <row r="25" spans="1:34" s="4" customFormat="1" ht="18" customHeight="1">
      <c r="A25" s="191" t="s">
        <v>184</v>
      </c>
      <c r="B25" s="186" t="s">
        <v>6</v>
      </c>
      <c r="C25" s="1337">
        <v>254548</v>
      </c>
      <c r="D25" s="1335"/>
      <c r="E25" s="1334"/>
      <c r="F25" s="1337">
        <v>0</v>
      </c>
      <c r="G25" s="1334"/>
      <c r="H25" s="1337">
        <v>0</v>
      </c>
      <c r="I25" s="1334"/>
      <c r="J25" s="1337">
        <v>0</v>
      </c>
      <c r="K25" s="1337"/>
      <c r="L25" s="1337">
        <v>0</v>
      </c>
      <c r="M25" s="1334"/>
      <c r="N25" s="1337">
        <v>0</v>
      </c>
      <c r="O25" s="1337"/>
      <c r="P25" s="1337">
        <v>0</v>
      </c>
      <c r="Q25" s="168"/>
      <c r="R25" s="190"/>
      <c r="S25" s="187" t="s">
        <v>6</v>
      </c>
      <c r="T25" s="1337">
        <v>0</v>
      </c>
      <c r="U25" s="1334"/>
      <c r="V25" s="1337">
        <v>0</v>
      </c>
      <c r="W25" s="1334"/>
      <c r="X25" s="1337">
        <v>0</v>
      </c>
      <c r="Y25" s="1337"/>
      <c r="Z25" s="1359"/>
      <c r="AA25" s="1337">
        <v>0</v>
      </c>
      <c r="AB25" s="1334"/>
      <c r="AC25" s="1337">
        <v>0</v>
      </c>
      <c r="AD25" s="1337"/>
      <c r="AE25" s="1359"/>
      <c r="AF25" s="1334">
        <f t="shared" si="0"/>
        <v>254548</v>
      </c>
      <c r="AG25" s="1334"/>
      <c r="AH25" s="1334">
        <v>250859</v>
      </c>
    </row>
    <row r="26" spans="1:34" s="4" customFormat="1" ht="18" customHeight="1">
      <c r="A26" s="37" t="s">
        <v>185</v>
      </c>
      <c r="B26" s="186" t="s">
        <v>6</v>
      </c>
      <c r="C26" s="1337">
        <v>0</v>
      </c>
      <c r="D26" s="1339"/>
      <c r="E26" s="1334"/>
      <c r="F26" s="1337">
        <v>0</v>
      </c>
      <c r="G26" s="1334"/>
      <c r="H26" s="1337">
        <v>0</v>
      </c>
      <c r="I26" s="1334"/>
      <c r="J26" s="1337">
        <v>0</v>
      </c>
      <c r="K26" s="1337"/>
      <c r="L26" s="1337">
        <v>0</v>
      </c>
      <c r="M26" s="1334"/>
      <c r="N26" s="1337">
        <v>0</v>
      </c>
      <c r="O26" s="1337"/>
      <c r="P26" s="1337">
        <v>0</v>
      </c>
      <c r="Q26" s="173"/>
      <c r="R26" s="190"/>
      <c r="S26" s="187" t="s">
        <v>6</v>
      </c>
      <c r="T26" s="1337">
        <v>0</v>
      </c>
      <c r="U26" s="1334"/>
      <c r="V26" s="1337">
        <v>0</v>
      </c>
      <c r="W26" s="1334"/>
      <c r="X26" s="1337">
        <v>0</v>
      </c>
      <c r="Y26" s="1337"/>
      <c r="Z26" s="1359"/>
      <c r="AA26" s="1337">
        <v>158562</v>
      </c>
      <c r="AB26" s="1334"/>
      <c r="AC26" s="1337">
        <v>0</v>
      </c>
      <c r="AD26" s="1337"/>
      <c r="AE26" s="1359"/>
      <c r="AF26" s="1334">
        <f t="shared" si="0"/>
        <v>158562</v>
      </c>
      <c r="AG26" s="1334"/>
      <c r="AH26" s="1334">
        <v>140400</v>
      </c>
    </row>
    <row r="27" spans="1:34" s="4" customFormat="1" ht="18" customHeight="1">
      <c r="A27" s="37" t="s">
        <v>63</v>
      </c>
      <c r="B27" s="186" t="s">
        <v>6</v>
      </c>
      <c r="C27" s="1337">
        <v>0</v>
      </c>
      <c r="D27" s="1335"/>
      <c r="E27" s="1334"/>
      <c r="F27" s="1337">
        <v>0</v>
      </c>
      <c r="G27" s="1334"/>
      <c r="H27" s="1337">
        <v>0</v>
      </c>
      <c r="I27" s="1334"/>
      <c r="J27" s="1337">
        <v>0</v>
      </c>
      <c r="K27" s="1337"/>
      <c r="L27" s="1337">
        <v>0</v>
      </c>
      <c r="M27" s="1334"/>
      <c r="N27" s="1337">
        <v>73146</v>
      </c>
      <c r="O27" s="1337"/>
      <c r="P27" s="2230">
        <v>0</v>
      </c>
      <c r="Q27" s="173"/>
      <c r="R27" s="190"/>
      <c r="S27" s="187" t="s">
        <v>6</v>
      </c>
      <c r="T27" s="2230">
        <v>0</v>
      </c>
      <c r="U27" s="1334"/>
      <c r="V27" s="2230">
        <v>0</v>
      </c>
      <c r="W27" s="1344"/>
      <c r="X27" s="1337">
        <v>0</v>
      </c>
      <c r="Y27" s="1337"/>
      <c r="Z27" s="1359"/>
      <c r="AA27" s="1337">
        <v>0</v>
      </c>
      <c r="AB27" s="1344"/>
      <c r="AC27" s="2230">
        <v>0</v>
      </c>
      <c r="AD27" s="1345"/>
      <c r="AE27" s="1359"/>
      <c r="AF27" s="1334">
        <f t="shared" si="0"/>
        <v>73146</v>
      </c>
      <c r="AG27" s="1344"/>
      <c r="AH27" s="1334">
        <v>82263</v>
      </c>
    </row>
    <row r="28" spans="1:34" s="4" customFormat="1" ht="18" customHeight="1">
      <c r="A28" s="7" t="s">
        <v>186</v>
      </c>
      <c r="B28" s="186" t="s">
        <v>6</v>
      </c>
      <c r="C28" s="1340">
        <f>ROUND(SUM(C20:C27),0)</f>
        <v>6819371</v>
      </c>
      <c r="D28" s="1335"/>
      <c r="E28" s="1334"/>
      <c r="F28" s="1340">
        <f>ROUND(SUM(F20:F27),0)</f>
        <v>104993</v>
      </c>
      <c r="G28" s="1334"/>
      <c r="H28" s="1340">
        <f>ROUND(SUM(H20:H27),0)</f>
        <v>928379</v>
      </c>
      <c r="I28" s="1334"/>
      <c r="J28" s="1340">
        <f>ROUND(SUM(J20:J27),0)</f>
        <v>874211</v>
      </c>
      <c r="K28" s="1342"/>
      <c r="L28" s="1340">
        <f>ROUND(SUM(L20:L27),0)</f>
        <v>11</v>
      </c>
      <c r="M28" s="1334"/>
      <c r="N28" s="1373">
        <f>ROUND(SUM(N20:N27),0)</f>
        <v>120158</v>
      </c>
      <c r="O28" s="1342"/>
      <c r="P28" s="1346">
        <f>ROUND(SUM(P20:P27),0)</f>
        <v>0</v>
      </c>
      <c r="Q28" s="173"/>
      <c r="R28" s="192"/>
      <c r="S28" s="187" t="s">
        <v>6</v>
      </c>
      <c r="T28" s="1341">
        <f>ROUND(SUM(T20:T27),0)</f>
        <v>0</v>
      </c>
      <c r="U28" s="1334"/>
      <c r="V28" s="1341">
        <f>ROUND(SUM(V20:V27),0)</f>
        <v>3121259</v>
      </c>
      <c r="W28" s="1342"/>
      <c r="X28" s="1341">
        <f>ROUND(SUM(X20:X27),0)</f>
        <v>3121260</v>
      </c>
      <c r="Y28" s="1342"/>
      <c r="Z28" s="1359"/>
      <c r="AA28" s="1341">
        <f>ROUND(SUM(AA20:AA27),0)</f>
        <v>635701</v>
      </c>
      <c r="AB28" s="1344"/>
      <c r="AC28" s="1341">
        <f>ROUND(SUM(AC20:AC27),0)</f>
        <v>0</v>
      </c>
      <c r="AD28" s="1347"/>
      <c r="AE28" s="1359"/>
      <c r="AF28" s="1341">
        <f>ROUND(SUM(AF20:AF27),0)</f>
        <v>15725343</v>
      </c>
      <c r="AG28" s="1344"/>
      <c r="AH28" s="1341">
        <f>SUM(AH20:AH27)</f>
        <v>15384984</v>
      </c>
    </row>
    <row r="29" spans="1:34" s="4" customFormat="1" ht="17.25" customHeight="1">
      <c r="A29" s="37"/>
      <c r="B29" s="186"/>
      <c r="C29" s="1343"/>
      <c r="D29" s="1335"/>
      <c r="E29" s="1334"/>
      <c r="F29" s="1343"/>
      <c r="G29" s="1334"/>
      <c r="H29" s="1343"/>
      <c r="I29" s="1334"/>
      <c r="J29" s="1343"/>
      <c r="K29" s="1344"/>
      <c r="L29" s="1343"/>
      <c r="M29" s="1334"/>
      <c r="N29" s="1344"/>
      <c r="O29" s="1344"/>
      <c r="P29" s="1344"/>
      <c r="Q29" s="173"/>
      <c r="R29" s="188"/>
      <c r="S29" s="187"/>
      <c r="T29" s="1343"/>
      <c r="U29" s="1334"/>
      <c r="V29" s="1343"/>
      <c r="W29" s="1334"/>
      <c r="X29" s="1343"/>
      <c r="Y29" s="1344"/>
      <c r="Z29" s="1359"/>
      <c r="AA29" s="1360"/>
      <c r="AB29" s="1360"/>
      <c r="AC29" s="1361"/>
      <c r="AD29" s="1361"/>
      <c r="AE29" s="1362"/>
      <c r="AF29" s="1361"/>
      <c r="AG29" s="1361"/>
      <c r="AH29" s="1361"/>
    </row>
    <row r="30" spans="1:34" s="4" customFormat="1" ht="18" customHeight="1">
      <c r="A30" s="7" t="s">
        <v>22</v>
      </c>
      <c r="B30" s="186"/>
      <c r="C30" s="1334"/>
      <c r="D30" s="1335"/>
      <c r="E30" s="1334"/>
      <c r="F30" s="1334"/>
      <c r="G30" s="1334"/>
      <c r="H30" s="1334"/>
      <c r="I30" s="1334"/>
      <c r="J30" s="1334"/>
      <c r="K30" s="1334"/>
      <c r="L30" s="1334"/>
      <c r="M30" s="1334"/>
      <c r="N30" s="1334"/>
      <c r="O30" s="1334"/>
      <c r="P30" s="1334"/>
      <c r="Q30" s="173"/>
      <c r="R30" s="187"/>
      <c r="S30" s="187"/>
      <c r="T30" s="1334"/>
      <c r="U30" s="1334"/>
      <c r="V30" s="1334"/>
      <c r="W30" s="1334"/>
      <c r="X30" s="1334"/>
      <c r="Y30" s="1334"/>
      <c r="Z30" s="1359"/>
      <c r="AA30" s="1360"/>
      <c r="AB30" s="1360"/>
      <c r="AC30" s="1361"/>
      <c r="AD30" s="1361"/>
      <c r="AE30" s="1362"/>
      <c r="AF30" s="1361"/>
      <c r="AG30" s="1361"/>
      <c r="AH30" s="1361"/>
    </row>
    <row r="31" spans="1:34" s="4" customFormat="1" ht="18" customHeight="1">
      <c r="A31" s="191" t="s">
        <v>187</v>
      </c>
      <c r="B31" s="186" t="s">
        <v>6</v>
      </c>
      <c r="C31" s="1337">
        <v>3762975</v>
      </c>
      <c r="D31" s="1335"/>
      <c r="E31" s="1334"/>
      <c r="F31" s="1337">
        <v>0</v>
      </c>
      <c r="G31" s="1334"/>
      <c r="H31" s="1337">
        <v>0</v>
      </c>
      <c r="I31" s="1334"/>
      <c r="J31" s="1337">
        <v>764344</v>
      </c>
      <c r="K31" s="1337"/>
      <c r="L31" s="1337">
        <v>0</v>
      </c>
      <c r="M31" s="1334"/>
      <c r="N31" s="1337">
        <v>0</v>
      </c>
      <c r="O31" s="1334"/>
      <c r="P31" s="1337">
        <v>0</v>
      </c>
      <c r="Q31" s="173"/>
      <c r="R31" s="187"/>
      <c r="S31" s="187" t="s">
        <v>6</v>
      </c>
      <c r="T31" s="1337">
        <v>0</v>
      </c>
      <c r="U31" s="1334"/>
      <c r="V31" s="1337">
        <v>0</v>
      </c>
      <c r="W31" s="1334"/>
      <c r="X31" s="1337">
        <v>0</v>
      </c>
      <c r="Y31" s="1337"/>
      <c r="Z31" s="1359"/>
      <c r="AA31" s="1337">
        <v>0</v>
      </c>
      <c r="AB31" s="1360"/>
      <c r="AC31" s="1337">
        <v>0</v>
      </c>
      <c r="AD31" s="1337"/>
      <c r="AE31" s="1363"/>
      <c r="AF31" s="1334">
        <f>ROUND(SUM(C31:AC31),0)</f>
        <v>4527319</v>
      </c>
      <c r="AG31" s="1364"/>
      <c r="AH31" s="1334">
        <v>3547992</v>
      </c>
    </row>
    <row r="32" spans="1:34" s="4" customFormat="1" ht="18" customHeight="1">
      <c r="A32" s="191" t="s">
        <v>188</v>
      </c>
      <c r="B32" s="186" t="s">
        <v>6</v>
      </c>
      <c r="C32" s="1337">
        <v>593850</v>
      </c>
      <c r="D32" s="1335"/>
      <c r="E32" s="1334"/>
      <c r="F32" s="1337">
        <v>0</v>
      </c>
      <c r="G32" s="1334"/>
      <c r="H32" s="1337">
        <v>0</v>
      </c>
      <c r="I32" s="1334"/>
      <c r="J32" s="1337">
        <v>165427</v>
      </c>
      <c r="K32" s="1337"/>
      <c r="L32" s="1337">
        <v>0</v>
      </c>
      <c r="M32" s="1334"/>
      <c r="N32" s="1337">
        <v>0</v>
      </c>
      <c r="O32" s="1334"/>
      <c r="P32" s="1337">
        <v>0</v>
      </c>
      <c r="Q32" s="173"/>
      <c r="R32" s="187"/>
      <c r="S32" s="187" t="s">
        <v>6</v>
      </c>
      <c r="T32" s="1337">
        <v>0</v>
      </c>
      <c r="U32" s="1334"/>
      <c r="V32" s="1337">
        <v>0</v>
      </c>
      <c r="W32" s="1334"/>
      <c r="X32" s="1337">
        <v>0</v>
      </c>
      <c r="Y32" s="1337"/>
      <c r="Z32" s="1359"/>
      <c r="AA32" s="1337">
        <v>14575</v>
      </c>
      <c r="AB32" s="1360"/>
      <c r="AC32" s="1337">
        <v>0</v>
      </c>
      <c r="AD32" s="1337"/>
      <c r="AE32" s="1363"/>
      <c r="AF32" s="1334">
        <f t="shared" ref="AF32:AF36" si="1">ROUND(SUM(C32:AC32),0)</f>
        <v>773852</v>
      </c>
      <c r="AG32" s="1364"/>
      <c r="AH32" s="1334">
        <v>727294</v>
      </c>
    </row>
    <row r="33" spans="1:34" s="4" customFormat="1" ht="18" customHeight="1">
      <c r="A33" s="37" t="s">
        <v>189</v>
      </c>
      <c r="B33" s="186" t="s">
        <v>6</v>
      </c>
      <c r="C33" s="1337">
        <v>1419437</v>
      </c>
      <c r="D33" s="1335"/>
      <c r="E33" s="1334"/>
      <c r="F33" s="1337">
        <v>0</v>
      </c>
      <c r="G33" s="1334"/>
      <c r="H33" s="1337">
        <v>0</v>
      </c>
      <c r="I33" s="1334"/>
      <c r="J33" s="1337">
        <v>160634</v>
      </c>
      <c r="K33" s="1337"/>
      <c r="L33" s="1337">
        <v>0</v>
      </c>
      <c r="M33" s="1334"/>
      <c r="N33" s="1337">
        <v>0</v>
      </c>
      <c r="O33" s="1334"/>
      <c r="P33" s="1337">
        <v>0</v>
      </c>
      <c r="Q33" s="168"/>
      <c r="R33" s="187"/>
      <c r="S33" s="187" t="s">
        <v>6</v>
      </c>
      <c r="T33" s="1337">
        <v>0</v>
      </c>
      <c r="U33" s="1334"/>
      <c r="V33" s="1337">
        <v>0</v>
      </c>
      <c r="W33" s="1334"/>
      <c r="X33" s="1337">
        <v>0</v>
      </c>
      <c r="Y33" s="1337"/>
      <c r="Z33" s="1359"/>
      <c r="AA33" s="1337">
        <v>0</v>
      </c>
      <c r="AB33" s="1360"/>
      <c r="AC33" s="1337">
        <v>0</v>
      </c>
      <c r="AD33" s="1337"/>
      <c r="AE33" s="1363"/>
      <c r="AF33" s="1334">
        <f t="shared" si="1"/>
        <v>1580071</v>
      </c>
      <c r="AG33" s="1364"/>
      <c r="AH33" s="1334">
        <v>1532832</v>
      </c>
    </row>
    <row r="34" spans="1:34" s="4" customFormat="1" ht="18" customHeight="1">
      <c r="A34" s="37" t="s">
        <v>190</v>
      </c>
      <c r="B34" s="186" t="s">
        <v>6</v>
      </c>
      <c r="C34" s="1337">
        <v>-128954</v>
      </c>
      <c r="D34" s="1335"/>
      <c r="E34" s="1334"/>
      <c r="F34" s="1337">
        <v>0</v>
      </c>
      <c r="G34" s="1334"/>
      <c r="H34" s="1337">
        <v>0</v>
      </c>
      <c r="I34" s="1334"/>
      <c r="J34" s="1337">
        <v>7604</v>
      </c>
      <c r="K34" s="1337"/>
      <c r="L34" s="1337">
        <v>0</v>
      </c>
      <c r="M34" s="1334"/>
      <c r="N34" s="1337">
        <v>0</v>
      </c>
      <c r="O34" s="1334"/>
      <c r="P34" s="1337">
        <v>0</v>
      </c>
      <c r="Q34" s="173"/>
      <c r="R34" s="187"/>
      <c r="S34" s="187" t="s">
        <v>6</v>
      </c>
      <c r="T34" s="1337">
        <v>0</v>
      </c>
      <c r="U34" s="1334"/>
      <c r="V34" s="1337">
        <v>0</v>
      </c>
      <c r="W34" s="1334"/>
      <c r="X34" s="1337">
        <v>0</v>
      </c>
      <c r="Y34" s="1337"/>
      <c r="Z34" s="1359"/>
      <c r="AA34" s="1337">
        <v>0</v>
      </c>
      <c r="AB34" s="1360"/>
      <c r="AC34" s="1337">
        <v>0</v>
      </c>
      <c r="AD34" s="1337"/>
      <c r="AE34" s="1363"/>
      <c r="AF34" s="1334">
        <f t="shared" si="1"/>
        <v>-121350</v>
      </c>
      <c r="AG34" s="1364"/>
      <c r="AH34" s="1334">
        <v>1536194</v>
      </c>
    </row>
    <row r="35" spans="1:34" s="4" customFormat="1" ht="18" customHeight="1">
      <c r="A35" s="193" t="s">
        <v>191</v>
      </c>
      <c r="B35" s="194" t="s">
        <v>6</v>
      </c>
      <c r="C35" s="1337">
        <v>0</v>
      </c>
      <c r="D35" s="1335"/>
      <c r="E35" s="1334"/>
      <c r="F35" s="1337">
        <v>367007</v>
      </c>
      <c r="G35" s="1334"/>
      <c r="H35" s="1337">
        <v>0</v>
      </c>
      <c r="I35" s="1334"/>
      <c r="J35" s="1337">
        <v>131940</v>
      </c>
      <c r="K35" s="1337"/>
      <c r="L35" s="1337">
        <v>0</v>
      </c>
      <c r="M35" s="1334"/>
      <c r="N35" s="1337">
        <v>0</v>
      </c>
      <c r="O35" s="1334"/>
      <c r="P35" s="1337">
        <v>0</v>
      </c>
      <c r="Q35" s="173"/>
      <c r="R35" s="187"/>
      <c r="S35" s="187" t="s">
        <v>6</v>
      </c>
      <c r="T35" s="1337">
        <v>0</v>
      </c>
      <c r="U35" s="1334"/>
      <c r="V35" s="1337">
        <v>0</v>
      </c>
      <c r="W35" s="1334"/>
      <c r="X35" s="1337">
        <v>0</v>
      </c>
      <c r="Y35" s="1337"/>
      <c r="Z35" s="1359"/>
      <c r="AA35" s="1337">
        <v>624904</v>
      </c>
      <c r="AB35" s="1360"/>
      <c r="AC35" s="1337">
        <v>0</v>
      </c>
      <c r="AD35" s="1337"/>
      <c r="AE35" s="1363"/>
      <c r="AF35" s="1334">
        <f t="shared" si="1"/>
        <v>1123851</v>
      </c>
      <c r="AG35" s="1364"/>
      <c r="AH35" s="1334">
        <v>1158332</v>
      </c>
    </row>
    <row r="36" spans="1:34" s="4" customFormat="1" ht="18" customHeight="1">
      <c r="A36" s="37" t="s">
        <v>192</v>
      </c>
      <c r="B36" s="186" t="s">
        <v>6</v>
      </c>
      <c r="C36" s="1337">
        <v>0</v>
      </c>
      <c r="D36" s="1335"/>
      <c r="E36" s="1334"/>
      <c r="F36" s="1337">
        <v>0</v>
      </c>
      <c r="G36" s="1334"/>
      <c r="H36" s="2230">
        <v>0</v>
      </c>
      <c r="I36" s="1334"/>
      <c r="J36" s="2230">
        <v>0</v>
      </c>
      <c r="K36" s="1345"/>
      <c r="L36" s="2230">
        <v>0</v>
      </c>
      <c r="M36" s="1334"/>
      <c r="N36" s="2230">
        <v>0</v>
      </c>
      <c r="O36" s="1345"/>
      <c r="P36" s="2230">
        <v>0</v>
      </c>
      <c r="Q36" s="173"/>
      <c r="R36" s="195"/>
      <c r="S36" s="187" t="s">
        <v>6</v>
      </c>
      <c r="T36" s="2230">
        <v>0</v>
      </c>
      <c r="U36" s="1334"/>
      <c r="V36" s="2230">
        <v>0</v>
      </c>
      <c r="W36" s="1344"/>
      <c r="X36" s="2230">
        <v>0</v>
      </c>
      <c r="Y36" s="1345"/>
      <c r="Z36" s="1359"/>
      <c r="AA36" s="1337">
        <v>0</v>
      </c>
      <c r="AB36" s="1365"/>
      <c r="AC36" s="2230">
        <v>0</v>
      </c>
      <c r="AD36" s="1345"/>
      <c r="AE36" s="1363"/>
      <c r="AF36" s="1334">
        <f t="shared" si="1"/>
        <v>0</v>
      </c>
      <c r="AG36" s="1366"/>
      <c r="AH36" s="1337">
        <v>1</v>
      </c>
    </row>
    <row r="37" spans="1:34" s="4" customFormat="1" ht="18" customHeight="1">
      <c r="A37" s="7" t="s">
        <v>72</v>
      </c>
      <c r="B37" s="186" t="s">
        <v>6</v>
      </c>
      <c r="C37" s="1340">
        <f>ROUND(SUM(C31:C36),0)</f>
        <v>5647308</v>
      </c>
      <c r="D37" s="1335"/>
      <c r="E37" s="1334"/>
      <c r="F37" s="1340">
        <f>ROUND(SUM(F31:F36),0)</f>
        <v>367007</v>
      </c>
      <c r="G37" s="1334"/>
      <c r="H37" s="1340">
        <f>ROUND(SUM(H31:H36),0)</f>
        <v>0</v>
      </c>
      <c r="I37" s="1334"/>
      <c r="J37" s="1340">
        <f>ROUND(SUM(J31:J36),0)</f>
        <v>1229949</v>
      </c>
      <c r="K37" s="1340"/>
      <c r="L37" s="1340">
        <f>ROUND(SUM(L31:L36),0)</f>
        <v>0</v>
      </c>
      <c r="M37" s="1334"/>
      <c r="N37" s="1340">
        <f>ROUND(SUM(N31:N36),0)</f>
        <v>0</v>
      </c>
      <c r="O37" s="1342"/>
      <c r="P37" s="1340">
        <f>ROUND(SUM(P31:P36),0)</f>
        <v>0</v>
      </c>
      <c r="Q37" s="168"/>
      <c r="R37" s="192"/>
      <c r="S37" s="187" t="s">
        <v>6</v>
      </c>
      <c r="T37" s="1341">
        <f>ROUND(SUM(T30:T36),0)</f>
        <v>0</v>
      </c>
      <c r="U37" s="1334"/>
      <c r="V37" s="1341">
        <f>ROUND(SUM(V30:V36),0)</f>
        <v>0</v>
      </c>
      <c r="W37" s="1334"/>
      <c r="X37" s="1341">
        <f>ROUND(SUM(X30:X36),0)</f>
        <v>0</v>
      </c>
      <c r="Y37" s="1367"/>
      <c r="Z37" s="1359"/>
      <c r="AA37" s="1341">
        <f>ROUND(SUM(AA30:AA36),0)</f>
        <v>639479</v>
      </c>
      <c r="AB37" s="1344"/>
      <c r="AC37" s="1341">
        <f>ROUND(SUM(AC30:AC36),0)</f>
        <v>0</v>
      </c>
      <c r="AD37" s="1347"/>
      <c r="AE37" s="1359"/>
      <c r="AF37" s="1341">
        <f>ROUND(SUM(AF30:AF36),0)</f>
        <v>7883743</v>
      </c>
      <c r="AG37" s="1344"/>
      <c r="AH37" s="1341">
        <f>SUM(AH30:AH36)</f>
        <v>8502645</v>
      </c>
    </row>
    <row r="38" spans="1:34" s="4" customFormat="1" ht="17.25" customHeight="1">
      <c r="A38" s="37"/>
      <c r="B38" s="186"/>
      <c r="C38" s="1343"/>
      <c r="D38" s="1335"/>
      <c r="E38" s="1334"/>
      <c r="F38" s="1343"/>
      <c r="G38" s="1334"/>
      <c r="H38" s="1343"/>
      <c r="I38" s="1334"/>
      <c r="J38" s="1343"/>
      <c r="K38" s="1344"/>
      <c r="L38" s="1343"/>
      <c r="M38" s="1334"/>
      <c r="N38" s="1343"/>
      <c r="O38" s="1344"/>
      <c r="P38" s="1343"/>
      <c r="Q38" s="168"/>
      <c r="R38" s="188"/>
      <c r="S38" s="187"/>
      <c r="T38" s="1343"/>
      <c r="U38" s="1334"/>
      <c r="V38" s="1343"/>
      <c r="W38" s="1334"/>
      <c r="X38" s="1343"/>
      <c r="Y38" s="1344"/>
      <c r="Z38" s="1359"/>
      <c r="AA38" s="1360"/>
      <c r="AB38" s="1360"/>
      <c r="AC38" s="1361"/>
      <c r="AD38" s="1361"/>
      <c r="AE38" s="1362"/>
      <c r="AF38" s="1361"/>
      <c r="AG38" s="1361"/>
      <c r="AH38" s="1361"/>
    </row>
    <row r="39" spans="1:34" s="4" customFormat="1" ht="18" customHeight="1">
      <c r="A39" s="7" t="s">
        <v>30</v>
      </c>
      <c r="B39" s="186"/>
      <c r="C39" s="1334"/>
      <c r="D39" s="1335"/>
      <c r="E39" s="1334"/>
      <c r="F39" s="1334"/>
      <c r="G39" s="1334"/>
      <c r="H39" s="1334"/>
      <c r="I39" s="1334"/>
      <c r="J39" s="1334"/>
      <c r="K39" s="1334"/>
      <c r="L39" s="1334"/>
      <c r="M39" s="1334"/>
      <c r="N39" s="1334"/>
      <c r="O39" s="1334"/>
      <c r="P39" s="1334"/>
      <c r="Q39" s="168"/>
      <c r="R39" s="187"/>
      <c r="S39" s="187"/>
      <c r="T39" s="1334"/>
      <c r="U39" s="1334"/>
      <c r="V39" s="1334"/>
      <c r="W39" s="1334"/>
      <c r="X39" s="1334"/>
      <c r="Y39" s="1334"/>
      <c r="Z39" s="1359"/>
      <c r="AA39" s="1360"/>
      <c r="AB39" s="1360"/>
      <c r="AC39" s="1361"/>
      <c r="AD39" s="1361"/>
      <c r="AE39" s="1362"/>
      <c r="AF39" s="1361"/>
      <c r="AG39" s="1361"/>
      <c r="AH39" s="1361"/>
    </row>
    <row r="40" spans="1:34" s="4" customFormat="1" ht="18" customHeight="1">
      <c r="A40" s="191" t="s">
        <v>193</v>
      </c>
      <c r="B40" s="186" t="s">
        <v>6</v>
      </c>
      <c r="C40" s="1337">
        <v>10</v>
      </c>
      <c r="D40" s="1335"/>
      <c r="E40" s="1334"/>
      <c r="F40" s="1337">
        <v>0</v>
      </c>
      <c r="G40" s="1334"/>
      <c r="H40" s="1337">
        <v>0</v>
      </c>
      <c r="I40" s="1334"/>
      <c r="J40" s="1337">
        <v>0</v>
      </c>
      <c r="K40" s="1337"/>
      <c r="L40" s="1337">
        <v>0</v>
      </c>
      <c r="M40" s="1334"/>
      <c r="N40" s="1337">
        <v>0</v>
      </c>
      <c r="O40" s="1337"/>
      <c r="P40" s="1337">
        <v>0</v>
      </c>
      <c r="Q40" s="168"/>
      <c r="R40" s="190"/>
      <c r="S40" s="187" t="s">
        <v>6</v>
      </c>
      <c r="T40" s="1337">
        <v>0</v>
      </c>
      <c r="U40" s="1334"/>
      <c r="V40" s="1337">
        <v>0</v>
      </c>
      <c r="W40" s="1334"/>
      <c r="X40" s="1337">
        <v>0</v>
      </c>
      <c r="Y40" s="1337"/>
      <c r="Z40" s="1359"/>
      <c r="AA40" s="1337">
        <v>0</v>
      </c>
      <c r="AB40" s="1364"/>
      <c r="AC40" s="1337">
        <v>0</v>
      </c>
      <c r="AD40" s="1337"/>
      <c r="AE40" s="1363"/>
      <c r="AF40" s="1334">
        <f>ROUND(SUM(C40:AE40),0)</f>
        <v>10</v>
      </c>
      <c r="AG40" s="1364"/>
      <c r="AH40" s="1337">
        <v>39</v>
      </c>
    </row>
    <row r="41" spans="1:34" s="4" customFormat="1" ht="18" customHeight="1">
      <c r="A41" s="37" t="s">
        <v>194</v>
      </c>
      <c r="B41" s="186" t="s">
        <v>6</v>
      </c>
      <c r="C41" s="1337">
        <v>1520792</v>
      </c>
      <c r="D41" s="1335"/>
      <c r="E41" s="1334"/>
      <c r="F41" s="1337">
        <v>0</v>
      </c>
      <c r="G41" s="1334"/>
      <c r="H41" s="1337">
        <v>0</v>
      </c>
      <c r="I41" s="1334"/>
      <c r="J41" s="1337">
        <v>0</v>
      </c>
      <c r="K41" s="1337"/>
      <c r="L41" s="1337">
        <v>0</v>
      </c>
      <c r="M41" s="1334"/>
      <c r="N41" s="1337">
        <v>0</v>
      </c>
      <c r="O41" s="1337"/>
      <c r="P41" s="1337">
        <v>0</v>
      </c>
      <c r="Q41" s="168"/>
      <c r="R41" s="190"/>
      <c r="S41" s="187" t="s">
        <v>6</v>
      </c>
      <c r="T41" s="1337">
        <v>0</v>
      </c>
      <c r="U41" s="1334"/>
      <c r="V41" s="1337">
        <v>0</v>
      </c>
      <c r="W41" s="1334"/>
      <c r="X41" s="1337">
        <v>0</v>
      </c>
      <c r="Y41" s="1337"/>
      <c r="Z41" s="1359"/>
      <c r="AA41" s="1337">
        <v>0</v>
      </c>
      <c r="AB41" s="1364"/>
      <c r="AC41" s="1337">
        <v>0</v>
      </c>
      <c r="AD41" s="1337"/>
      <c r="AE41" s="1363"/>
      <c r="AF41" s="1334">
        <f t="shared" ref="AF41:AF44" si="2">ROUND(SUM(C41:AE41),0)</f>
        <v>1520792</v>
      </c>
      <c r="AG41" s="1364"/>
      <c r="AH41" s="1334">
        <v>1108530</v>
      </c>
    </row>
    <row r="42" spans="1:34" s="4" customFormat="1" ht="18" customHeight="1">
      <c r="A42" s="37" t="s">
        <v>195</v>
      </c>
      <c r="B42" s="186" t="s">
        <v>6</v>
      </c>
      <c r="C42" s="1337">
        <v>17182</v>
      </c>
      <c r="D42" s="1335"/>
      <c r="E42" s="1334"/>
      <c r="F42" s="1337">
        <v>0</v>
      </c>
      <c r="G42" s="1334"/>
      <c r="H42" s="1337">
        <v>0</v>
      </c>
      <c r="I42" s="1334"/>
      <c r="J42" s="1337">
        <v>0</v>
      </c>
      <c r="K42" s="1337"/>
      <c r="L42" s="1337">
        <v>0</v>
      </c>
      <c r="M42" s="1334"/>
      <c r="N42" s="1337">
        <v>0</v>
      </c>
      <c r="O42" s="1337"/>
      <c r="P42" s="1337">
        <v>0</v>
      </c>
      <c r="Q42" s="168"/>
      <c r="R42" s="190"/>
      <c r="S42" s="187" t="s">
        <v>6</v>
      </c>
      <c r="T42" s="1337">
        <v>0</v>
      </c>
      <c r="U42" s="1334"/>
      <c r="V42" s="1337">
        <v>0</v>
      </c>
      <c r="W42" s="1334"/>
      <c r="X42" s="1337">
        <v>0</v>
      </c>
      <c r="Y42" s="1337"/>
      <c r="Z42" s="1359"/>
      <c r="AA42" s="1337">
        <v>0</v>
      </c>
      <c r="AB42" s="1364"/>
      <c r="AC42" s="1337">
        <v>0</v>
      </c>
      <c r="AD42" s="1337"/>
      <c r="AE42" s="1363"/>
      <c r="AF42" s="1334">
        <f t="shared" si="2"/>
        <v>17182</v>
      </c>
      <c r="AG42" s="1364"/>
      <c r="AH42" s="1334">
        <v>18038</v>
      </c>
    </row>
    <row r="43" spans="1:34" s="4" customFormat="1" ht="18" customHeight="1">
      <c r="A43" s="37" t="s">
        <v>196</v>
      </c>
      <c r="B43" s="186" t="s">
        <v>6</v>
      </c>
      <c r="C43" s="1337">
        <v>0</v>
      </c>
      <c r="D43" s="1339"/>
      <c r="E43" s="1334"/>
      <c r="F43" s="1337">
        <v>0</v>
      </c>
      <c r="G43" s="1334"/>
      <c r="H43" s="1337">
        <v>0</v>
      </c>
      <c r="I43" s="1334"/>
      <c r="J43" s="1337">
        <v>0</v>
      </c>
      <c r="K43" s="1337"/>
      <c r="L43" s="1337">
        <v>0</v>
      </c>
      <c r="M43" s="1334"/>
      <c r="N43" s="1337">
        <v>0</v>
      </c>
      <c r="O43" s="1337"/>
      <c r="P43" s="1337">
        <v>0</v>
      </c>
      <c r="Q43" s="173"/>
      <c r="R43" s="190"/>
      <c r="S43" s="187" t="s">
        <v>6</v>
      </c>
      <c r="T43" s="1337">
        <v>1043960</v>
      </c>
      <c r="U43" s="1334"/>
      <c r="V43" s="1337">
        <v>0</v>
      </c>
      <c r="W43" s="1334"/>
      <c r="X43" s="1337">
        <v>0</v>
      </c>
      <c r="Y43" s="1337"/>
      <c r="Z43" s="1359"/>
      <c r="AA43" s="1337">
        <v>0</v>
      </c>
      <c r="AB43" s="1334"/>
      <c r="AC43" s="1337">
        <v>119100</v>
      </c>
      <c r="AD43" s="1337"/>
      <c r="AE43" s="1359"/>
      <c r="AF43" s="1334">
        <f t="shared" si="2"/>
        <v>1163060</v>
      </c>
      <c r="AG43" s="1334"/>
      <c r="AH43" s="1334">
        <v>1037880</v>
      </c>
    </row>
    <row r="44" spans="1:34" s="4" customFormat="1" ht="18" customHeight="1">
      <c r="A44" s="37" t="s">
        <v>2530</v>
      </c>
      <c r="B44" s="186" t="s">
        <v>6</v>
      </c>
      <c r="C44" s="1337">
        <v>1425</v>
      </c>
      <c r="D44" s="1335"/>
      <c r="E44" s="1334"/>
      <c r="F44" s="1337">
        <v>0</v>
      </c>
      <c r="G44" s="1334"/>
      <c r="H44" s="1337">
        <v>0</v>
      </c>
      <c r="I44" s="1334"/>
      <c r="J44" s="1337">
        <v>0</v>
      </c>
      <c r="K44" s="1337"/>
      <c r="L44" s="1337">
        <v>0</v>
      </c>
      <c r="M44" s="1334"/>
      <c r="N44" s="1337">
        <v>0</v>
      </c>
      <c r="O44" s="1345"/>
      <c r="P44" s="1337">
        <v>0</v>
      </c>
      <c r="Q44" s="168"/>
      <c r="R44" s="195"/>
      <c r="S44" s="187" t="s">
        <v>6</v>
      </c>
      <c r="T44" s="1337">
        <v>0</v>
      </c>
      <c r="U44" s="1334"/>
      <c r="V44" s="1337">
        <v>0</v>
      </c>
      <c r="W44" s="1334"/>
      <c r="X44" s="1337">
        <v>0</v>
      </c>
      <c r="Y44" s="1337"/>
      <c r="Z44" s="1359"/>
      <c r="AA44" s="1337">
        <v>0</v>
      </c>
      <c r="AB44" s="1366"/>
      <c r="AC44" s="1337">
        <v>0</v>
      </c>
      <c r="AD44" s="1337"/>
      <c r="AE44" s="1363"/>
      <c r="AF44" s="1334">
        <f t="shared" si="2"/>
        <v>1425</v>
      </c>
      <c r="AG44" s="1369"/>
      <c r="AH44" s="1368">
        <v>1128</v>
      </c>
    </row>
    <row r="45" spans="1:34" s="4" customFormat="1" ht="18" customHeight="1">
      <c r="A45" s="37" t="s">
        <v>78</v>
      </c>
      <c r="B45" s="186" t="s">
        <v>6</v>
      </c>
      <c r="C45" s="1337">
        <v>0</v>
      </c>
      <c r="D45" s="1335"/>
      <c r="E45" s="1334"/>
      <c r="F45" s="1337">
        <v>0</v>
      </c>
      <c r="G45" s="1334"/>
      <c r="H45" s="1337">
        <v>0</v>
      </c>
      <c r="I45" s="1334"/>
      <c r="J45" s="1337">
        <v>0</v>
      </c>
      <c r="K45" s="1337"/>
      <c r="L45" s="1337">
        <v>0</v>
      </c>
      <c r="M45" s="1334"/>
      <c r="N45" s="1337">
        <v>1306235</v>
      </c>
      <c r="O45" s="1345"/>
      <c r="P45" s="1337">
        <v>0</v>
      </c>
      <c r="Q45" s="168"/>
      <c r="R45" s="195"/>
      <c r="S45" s="187" t="s">
        <v>6</v>
      </c>
      <c r="T45" s="1337">
        <v>0</v>
      </c>
      <c r="U45" s="1334"/>
      <c r="V45" s="1337">
        <v>0</v>
      </c>
      <c r="W45" s="1334"/>
      <c r="X45" s="1337">
        <v>0</v>
      </c>
      <c r="Y45" s="1337"/>
      <c r="Z45" s="1359"/>
      <c r="AA45" s="1337">
        <v>0</v>
      </c>
      <c r="AB45" s="1364"/>
      <c r="AC45" s="2230">
        <v>0</v>
      </c>
      <c r="AD45" s="1345"/>
      <c r="AE45" s="1363"/>
      <c r="AF45" s="1334">
        <f>ROUND(SUM(C45:AE45),0)</f>
        <v>1306235</v>
      </c>
      <c r="AG45" s="1364"/>
      <c r="AH45" s="2231">
        <v>1271303</v>
      </c>
    </row>
    <row r="46" spans="1:34" s="4" customFormat="1" ht="18" customHeight="1">
      <c r="A46" s="7" t="s">
        <v>79</v>
      </c>
      <c r="B46" s="186" t="s">
        <v>6</v>
      </c>
      <c r="C46" s="1346">
        <f>ROUND(SUM(C40:C45),0)</f>
        <v>1539409</v>
      </c>
      <c r="D46" s="1335"/>
      <c r="E46" s="1334"/>
      <c r="F46" s="1346">
        <f>ROUND(SUM(F40:F45),0)</f>
        <v>0</v>
      </c>
      <c r="G46" s="1334"/>
      <c r="H46" s="1346">
        <f>ROUND(SUM(H40:H45),0)</f>
        <v>0</v>
      </c>
      <c r="I46" s="1334"/>
      <c r="J46" s="1346">
        <f>ROUND(SUM(J40:J45),0)</f>
        <v>0</v>
      </c>
      <c r="K46" s="1342"/>
      <c r="L46" s="1346">
        <f>ROUND(SUM(L40:L45),0)</f>
        <v>0</v>
      </c>
      <c r="M46" s="1334"/>
      <c r="N46" s="1346">
        <f>ROUND(SUM(N40:N45),0)</f>
        <v>1306235</v>
      </c>
      <c r="O46" s="1347"/>
      <c r="P46" s="1346">
        <f>ROUND(SUM(P40:P45),0)</f>
        <v>0</v>
      </c>
      <c r="Q46" s="168"/>
      <c r="R46" s="196"/>
      <c r="S46" s="187" t="s">
        <v>6</v>
      </c>
      <c r="T46" s="1346">
        <f>ROUND(SUM(T40:T45),0)</f>
        <v>1043960</v>
      </c>
      <c r="U46" s="1334"/>
      <c r="V46" s="1346">
        <f>ROUND(SUM(V40:V45),0)</f>
        <v>0</v>
      </c>
      <c r="W46" s="1334"/>
      <c r="X46" s="1346">
        <f>ROUND(SUM(X40:X45),0)</f>
        <v>0</v>
      </c>
      <c r="Y46" s="1347"/>
      <c r="Z46" s="1359"/>
      <c r="AA46" s="1346">
        <f>ROUND(SUM(AA40:AA45),0)</f>
        <v>0</v>
      </c>
      <c r="AB46" s="1344"/>
      <c r="AC46" s="1346">
        <f>ROUND(SUM(AC40:AC45),0)</f>
        <v>119100</v>
      </c>
      <c r="AD46" s="1347"/>
      <c r="AE46" s="1359"/>
      <c r="AF46" s="1346">
        <f>ROUND(SUM(AF40:AF45),0)</f>
        <v>4008704</v>
      </c>
      <c r="AG46" s="1344"/>
      <c r="AH46" s="2232">
        <f>SUM(AH40:AH45)</f>
        <v>3436918</v>
      </c>
    </row>
    <row r="47" spans="1:34" s="4" customFormat="1" ht="20.25" customHeight="1">
      <c r="A47" s="7"/>
      <c r="B47" s="197"/>
      <c r="C47" s="1333"/>
      <c r="D47" s="1330"/>
      <c r="E47" s="1333"/>
      <c r="F47" s="1348"/>
      <c r="G47" s="1331"/>
      <c r="H47" s="1333"/>
      <c r="I47" s="1333"/>
      <c r="J47" s="1348"/>
      <c r="K47" s="1348"/>
      <c r="L47" s="1348"/>
      <c r="M47" s="1333"/>
      <c r="N47" s="1348"/>
      <c r="O47" s="1348"/>
      <c r="P47" s="1348"/>
      <c r="Q47" s="168"/>
      <c r="R47" s="195"/>
      <c r="S47" s="188"/>
      <c r="T47" s="1333"/>
      <c r="U47" s="1333"/>
      <c r="V47" s="1333"/>
      <c r="W47" s="1333"/>
      <c r="X47" s="1333"/>
      <c r="Y47" s="1333"/>
      <c r="Z47" s="1355"/>
      <c r="AA47" s="1370"/>
      <c r="AB47" s="1370"/>
      <c r="AC47" s="1371"/>
      <c r="AD47" s="1371"/>
      <c r="AE47" s="1358"/>
      <c r="AF47" s="1357"/>
      <c r="AG47" s="1357"/>
      <c r="AH47" s="1357"/>
    </row>
    <row r="48" spans="1:34" s="24" customFormat="1" ht="18" customHeight="1" thickBot="1">
      <c r="A48" s="198" t="s">
        <v>197</v>
      </c>
      <c r="B48" s="199" t="s">
        <v>6</v>
      </c>
      <c r="C48" s="1349">
        <f>ROUND(SUM(C17)+SUM(C28)+SUM(C37)+SUM(C46),0)</f>
        <v>45962850</v>
      </c>
      <c r="D48" s="1350"/>
      <c r="E48" s="1351"/>
      <c r="F48" s="1349">
        <f>ROUND(SUM(F17)+SUM(F28)+SUM(F37)+SUM(F46),0)</f>
        <v>472000</v>
      </c>
      <c r="G48" s="1323"/>
      <c r="H48" s="1349">
        <f>ROUND(SUM(H17)+SUM(H28)+SUM(H37)+SUM(H46),0)</f>
        <v>928379</v>
      </c>
      <c r="I48" s="1351"/>
      <c r="J48" s="1349">
        <f>ROUND(SUM(J17)+SUM(J28)+SUM(J37)+SUM(J46),0)</f>
        <v>2104160</v>
      </c>
      <c r="K48" s="1327"/>
      <c r="L48" s="1349">
        <f>ROUND(SUM(L17)+SUM(L28)+SUM(L37)+SUM(L46),0)</f>
        <v>11</v>
      </c>
      <c r="M48" s="1351"/>
      <c r="N48" s="1349">
        <f>ROUND(SUM(N17)+SUM(N28)+SUM(N37)+SUM(N46),0)</f>
        <v>1426393</v>
      </c>
      <c r="O48" s="1351"/>
      <c r="P48" s="1349">
        <f>ROUND(SUM(P17)+SUM(P28)+SUM(P37)+SUM(P46),0)</f>
        <v>3334700</v>
      </c>
      <c r="Q48" s="200"/>
      <c r="R48" s="21" t="s">
        <v>179</v>
      </c>
      <c r="S48" s="21" t="s">
        <v>6</v>
      </c>
      <c r="T48" s="1349">
        <f>ROUND(SUM(T17)+SUM(T28)+SUM(T37)+SUM(T46),0)</f>
        <v>1043960</v>
      </c>
      <c r="U48" s="1351"/>
      <c r="V48" s="1349">
        <f>ROUND(SUM(V17)+SUM(V28)+SUM(V37)+SUM(V46),0)</f>
        <v>14885080</v>
      </c>
      <c r="W48" s="1351"/>
      <c r="X48" s="1349">
        <f>ROUND(SUM(X17)+SUM(X28)+SUM(X37)+SUM(X46),0)</f>
        <v>3121260</v>
      </c>
      <c r="Y48" s="1327"/>
      <c r="Z48" s="1372"/>
      <c r="AA48" s="1349">
        <f>ROUND(SUM(AA17)+SUM(AA28)+SUM(AA37)+SUM(AA46),0)</f>
        <v>1275180</v>
      </c>
      <c r="AB48" s="1327"/>
      <c r="AC48" s="1349">
        <f>ROUND(SUM(AC17)+SUM(AC28)+SUM(AC37)+SUM(AC46),0)</f>
        <v>119100</v>
      </c>
      <c r="AD48" s="1327"/>
      <c r="AE48" s="1352"/>
      <c r="AF48" s="1349">
        <f>ROUND(SUM(C48:AC48),0)</f>
        <v>74673073</v>
      </c>
      <c r="AG48" s="1327"/>
      <c r="AH48" s="1349">
        <f>SUM(AH17)+SUM(AH28)+SUM(AH37)+SUM(AH46)</f>
        <v>71034380</v>
      </c>
    </row>
    <row r="49" spans="1:34" s="4" customFormat="1" ht="7.5" customHeight="1" thickTop="1">
      <c r="A49" s="72"/>
      <c r="B49" s="77"/>
      <c r="C49" s="96"/>
      <c r="D49" s="201"/>
      <c r="E49" s="92"/>
      <c r="F49" s="201"/>
      <c r="G49" s="201"/>
      <c r="H49" s="96"/>
      <c r="I49" s="92"/>
      <c r="J49" s="96"/>
      <c r="K49" s="201"/>
      <c r="L49" s="201"/>
      <c r="M49" s="92"/>
      <c r="N49" s="201"/>
      <c r="O49" s="201"/>
      <c r="P49" s="201"/>
      <c r="Q49" s="201"/>
      <c r="R49" s="201"/>
      <c r="S49" s="92"/>
      <c r="T49" s="96"/>
      <c r="U49" s="92"/>
      <c r="W49" s="92"/>
      <c r="X49" s="96"/>
      <c r="Y49" s="201"/>
      <c r="Z49" s="92"/>
      <c r="AA49" s="71"/>
      <c r="AB49" s="71"/>
      <c r="AC49" s="71"/>
      <c r="AD49" s="71"/>
      <c r="AE49" s="67"/>
      <c r="AF49" s="67"/>
      <c r="AG49" s="86"/>
      <c r="AH49" s="67"/>
    </row>
    <row r="50" spans="1:34" s="4" customFormat="1" ht="6.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2"/>
      <c r="AA50" s="67"/>
      <c r="AB50" s="67"/>
      <c r="AC50" s="67"/>
      <c r="AD50" s="67"/>
      <c r="AE50" s="67"/>
      <c r="AF50" s="67"/>
      <c r="AG50" s="67"/>
      <c r="AH50" s="67"/>
    </row>
    <row r="51" spans="1:34" s="4" customFormat="1" ht="15.75" customHeight="1">
      <c r="A51" s="202"/>
      <c r="B51" s="67"/>
      <c r="C51" s="67"/>
      <c r="D51" s="67"/>
      <c r="E51" s="67"/>
      <c r="F51" s="67"/>
      <c r="G51" s="67"/>
      <c r="H51" s="67"/>
      <c r="I51" s="67"/>
      <c r="J51" s="67"/>
      <c r="K51" s="67"/>
      <c r="L51" s="67"/>
      <c r="M51" s="67"/>
      <c r="N51" s="67"/>
      <c r="O51" s="67"/>
      <c r="P51" s="67"/>
      <c r="Q51" s="67"/>
      <c r="R51" s="67"/>
      <c r="S51" s="67"/>
      <c r="T51" s="67"/>
      <c r="U51" s="67"/>
      <c r="V51" s="67"/>
      <c r="W51" s="67"/>
      <c r="X51" s="67"/>
      <c r="Y51" s="67"/>
      <c r="Z51" s="62"/>
      <c r="AA51" s="67"/>
      <c r="AB51" s="67"/>
      <c r="AC51" s="67"/>
      <c r="AD51" s="67"/>
      <c r="AE51" s="67"/>
      <c r="AF51" s="67"/>
      <c r="AG51" s="67"/>
      <c r="AH51" s="67"/>
    </row>
    <row r="52" spans="1:34" s="4" customFormat="1" ht="15.75" customHeight="1">
      <c r="A52" s="72"/>
      <c r="B52" s="67"/>
      <c r="C52" s="67"/>
      <c r="D52" s="67"/>
      <c r="E52" s="67"/>
      <c r="F52" s="67"/>
      <c r="G52" s="67"/>
      <c r="H52" s="67"/>
      <c r="I52" s="67"/>
      <c r="J52" s="67"/>
      <c r="K52" s="67"/>
      <c r="L52" s="67"/>
      <c r="M52" s="67"/>
      <c r="N52" s="67"/>
      <c r="O52" s="67"/>
      <c r="P52" s="67"/>
      <c r="Q52" s="67"/>
      <c r="R52" s="67"/>
      <c r="S52" s="67"/>
      <c r="T52" s="67"/>
      <c r="U52" s="67"/>
      <c r="V52" s="67"/>
      <c r="W52" s="67"/>
      <c r="X52" s="67"/>
      <c r="Y52" s="67"/>
      <c r="Z52" s="62"/>
      <c r="AA52" s="67"/>
      <c r="AB52" s="67"/>
      <c r="AC52" s="67"/>
      <c r="AD52" s="67"/>
      <c r="AE52" s="67"/>
      <c r="AF52" s="67"/>
      <c r="AG52" s="67"/>
      <c r="AH52" s="67"/>
    </row>
    <row r="53" spans="1:34" s="4" customFormat="1" ht="18.75" customHeight="1">
      <c r="A53" s="72"/>
      <c r="B53" s="67"/>
      <c r="C53" s="67"/>
      <c r="D53" s="67"/>
      <c r="E53" s="67"/>
      <c r="F53" s="67"/>
      <c r="G53" s="67"/>
      <c r="H53" s="67"/>
      <c r="I53" s="67"/>
      <c r="J53" s="67"/>
      <c r="K53" s="67"/>
      <c r="L53" s="67"/>
      <c r="M53" s="67"/>
      <c r="N53" s="67"/>
      <c r="O53" s="67"/>
      <c r="P53" s="67"/>
      <c r="Q53" s="67"/>
      <c r="R53" s="67"/>
      <c r="S53" s="67"/>
      <c r="T53" s="67"/>
      <c r="U53" s="67"/>
      <c r="V53" s="67"/>
      <c r="W53" s="67"/>
      <c r="X53" s="67"/>
      <c r="Y53" s="67"/>
      <c r="Z53" s="62"/>
      <c r="AA53" s="67"/>
      <c r="AB53" s="67"/>
      <c r="AC53" s="67"/>
      <c r="AD53" s="67"/>
      <c r="AE53" s="67"/>
      <c r="AF53" s="67"/>
      <c r="AG53" s="67"/>
      <c r="AH53" s="67"/>
    </row>
    <row r="54" spans="1:34" s="4" customFormat="1" ht="18.75" customHeight="1">
      <c r="A54" s="72"/>
      <c r="B54" s="67"/>
      <c r="C54" s="67"/>
      <c r="D54" s="67"/>
      <c r="E54" s="67"/>
      <c r="F54" s="67"/>
      <c r="G54" s="67"/>
      <c r="H54" s="67"/>
      <c r="I54" s="67"/>
      <c r="J54" s="67"/>
      <c r="K54" s="67"/>
      <c r="L54" s="67"/>
      <c r="M54" s="67"/>
      <c r="N54" s="67"/>
      <c r="O54" s="67"/>
      <c r="P54" s="67"/>
      <c r="Q54" s="67"/>
      <c r="R54" s="67"/>
      <c r="S54" s="67"/>
      <c r="T54" s="67"/>
      <c r="U54" s="67"/>
      <c r="V54" s="67"/>
      <c r="W54" s="67"/>
      <c r="X54" s="67"/>
      <c r="Y54" s="67"/>
      <c r="Z54" s="62"/>
      <c r="AA54" s="67"/>
      <c r="AB54" s="67"/>
      <c r="AC54" s="67"/>
      <c r="AD54" s="67"/>
      <c r="AE54" s="67"/>
      <c r="AF54" s="67"/>
      <c r="AG54" s="67"/>
      <c r="AH54" s="67"/>
    </row>
    <row r="55" spans="1:34" s="4" customFormat="1" ht="18.75" customHeight="1">
      <c r="A55" s="72"/>
      <c r="B55" s="67"/>
      <c r="C55" s="67"/>
      <c r="D55" s="67"/>
      <c r="E55" s="67"/>
      <c r="F55" s="67"/>
      <c r="G55" s="67"/>
      <c r="H55" s="67"/>
      <c r="I55" s="67"/>
      <c r="J55" s="67"/>
      <c r="K55" s="67"/>
      <c r="L55" s="67"/>
      <c r="M55" s="67"/>
      <c r="N55" s="67"/>
      <c r="O55" s="67"/>
      <c r="P55" s="67"/>
      <c r="Q55" s="67"/>
      <c r="R55" s="67"/>
      <c r="S55" s="67"/>
      <c r="T55" s="67"/>
      <c r="U55" s="67"/>
      <c r="V55" s="67"/>
      <c r="W55" s="67"/>
      <c r="X55" s="67"/>
      <c r="Y55" s="67"/>
      <c r="Z55" s="62"/>
      <c r="AA55" s="67"/>
      <c r="AB55" s="67"/>
      <c r="AC55" s="67"/>
      <c r="AD55" s="67"/>
      <c r="AE55" s="67"/>
      <c r="AF55" s="67"/>
      <c r="AG55" s="67"/>
      <c r="AH55" s="67"/>
    </row>
    <row r="56" spans="1:34" s="4" customFormat="1" ht="18" customHeight="1">
      <c r="A56" s="72"/>
      <c r="B56" s="67"/>
      <c r="C56" s="67"/>
      <c r="D56" s="67"/>
      <c r="E56" s="67"/>
      <c r="F56" s="67"/>
      <c r="G56" s="67"/>
      <c r="H56" s="67"/>
      <c r="I56" s="67"/>
      <c r="J56" s="67"/>
      <c r="K56" s="67"/>
      <c r="L56" s="67"/>
      <c r="M56" s="67"/>
      <c r="N56" s="67"/>
      <c r="O56" s="67"/>
      <c r="P56" s="67"/>
      <c r="Q56" s="67"/>
      <c r="R56" s="67"/>
      <c r="S56" s="67"/>
      <c r="T56" s="67"/>
      <c r="U56" s="67"/>
      <c r="V56" s="67"/>
      <c r="W56" s="67"/>
      <c r="X56" s="67"/>
      <c r="Y56" s="67"/>
      <c r="Z56" s="62"/>
      <c r="AA56" s="67"/>
      <c r="AB56" s="67"/>
      <c r="AC56" s="67"/>
      <c r="AD56" s="67"/>
      <c r="AE56" s="67"/>
      <c r="AF56" s="67"/>
      <c r="AG56" s="67"/>
      <c r="AH56" s="67"/>
    </row>
    <row r="57" spans="1:34" s="4" customFormat="1" ht="18.75" customHeight="1">
      <c r="A57" s="72"/>
      <c r="B57" s="67"/>
      <c r="C57" s="67"/>
      <c r="D57" s="67"/>
      <c r="E57" s="67"/>
      <c r="F57" s="67"/>
      <c r="G57" s="67"/>
      <c r="H57" s="67"/>
      <c r="I57" s="67"/>
      <c r="J57" s="67"/>
      <c r="K57" s="67"/>
      <c r="L57" s="67"/>
      <c r="M57" s="67"/>
      <c r="N57" s="67"/>
      <c r="O57" s="67"/>
      <c r="P57" s="67"/>
      <c r="Q57" s="67"/>
      <c r="R57" s="67"/>
      <c r="S57" s="67"/>
      <c r="T57" s="67"/>
      <c r="U57" s="67"/>
      <c r="V57" s="67"/>
      <c r="W57" s="67"/>
      <c r="X57" s="67"/>
      <c r="Y57" s="67"/>
      <c r="Z57" s="62"/>
      <c r="AA57" s="67"/>
      <c r="AB57" s="67"/>
      <c r="AC57" s="67"/>
      <c r="AD57" s="67"/>
      <c r="AE57" s="67"/>
      <c r="AF57" s="67"/>
      <c r="AG57" s="67"/>
      <c r="AH57" s="67"/>
    </row>
    <row r="58" spans="1:34" s="4" customFormat="1" ht="18.75" customHeight="1">
      <c r="A58" s="72"/>
      <c r="B58" s="67"/>
      <c r="C58" s="67"/>
      <c r="D58" s="67"/>
      <c r="E58" s="67"/>
      <c r="F58" s="67"/>
      <c r="G58" s="67"/>
      <c r="H58" s="67"/>
      <c r="I58" s="67"/>
      <c r="J58" s="67"/>
      <c r="K58" s="67"/>
      <c r="L58" s="67"/>
      <c r="M58" s="67"/>
      <c r="N58" s="67"/>
      <c r="O58" s="67"/>
      <c r="P58" s="67"/>
      <c r="Q58" s="67"/>
      <c r="R58" s="67"/>
      <c r="S58" s="67"/>
      <c r="T58" s="67"/>
      <c r="U58" s="67"/>
      <c r="V58" s="67"/>
      <c r="W58" s="67"/>
      <c r="X58" s="67"/>
      <c r="Y58" s="67"/>
      <c r="Z58" s="62"/>
      <c r="AA58" s="67"/>
      <c r="AB58" s="67"/>
      <c r="AC58" s="67"/>
      <c r="AD58" s="67"/>
      <c r="AE58" s="67"/>
      <c r="AF58" s="67"/>
      <c r="AG58" s="67"/>
      <c r="AH58" s="67"/>
    </row>
    <row r="59" spans="1:34" s="4" customFormat="1" ht="18" customHeight="1">
      <c r="A59" s="72"/>
      <c r="B59" s="67"/>
      <c r="C59" s="67"/>
      <c r="D59" s="67"/>
      <c r="E59" s="67"/>
      <c r="F59" s="67"/>
      <c r="G59" s="67"/>
      <c r="H59" s="67"/>
      <c r="I59" s="67"/>
      <c r="J59" s="67"/>
      <c r="K59" s="67"/>
      <c r="L59" s="67"/>
      <c r="M59" s="67"/>
      <c r="N59" s="67"/>
      <c r="O59" s="67"/>
      <c r="P59" s="67"/>
      <c r="Q59" s="67"/>
      <c r="R59" s="67"/>
      <c r="S59" s="67"/>
      <c r="T59" s="67"/>
      <c r="U59" s="67"/>
      <c r="V59" s="67"/>
      <c r="W59" s="67"/>
      <c r="X59" s="67"/>
      <c r="Y59" s="67"/>
      <c r="Z59" s="62"/>
      <c r="AA59" s="67"/>
      <c r="AB59" s="67"/>
      <c r="AC59" s="67"/>
      <c r="AD59" s="67"/>
      <c r="AE59" s="67"/>
      <c r="AF59" s="67"/>
      <c r="AG59" s="67"/>
      <c r="AH59" s="67"/>
    </row>
    <row r="60" spans="1:34" s="4" customForma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2"/>
      <c r="AA60" s="67"/>
      <c r="AB60" s="67"/>
      <c r="AC60" s="67"/>
      <c r="AD60" s="67"/>
      <c r="AE60" s="67"/>
      <c r="AF60" s="67"/>
      <c r="AG60" s="67"/>
      <c r="AH60" s="67"/>
    </row>
    <row r="61" spans="1:34" s="4" customForma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2"/>
      <c r="AA61" s="67"/>
      <c r="AB61" s="67"/>
      <c r="AC61" s="67"/>
      <c r="AD61" s="67"/>
      <c r="AE61" s="67"/>
      <c r="AF61" s="67"/>
      <c r="AG61" s="67"/>
      <c r="AH61" s="67"/>
    </row>
    <row r="62" spans="1:34" s="4" customForma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2"/>
      <c r="AA62" s="67"/>
      <c r="AB62" s="67"/>
      <c r="AC62" s="67"/>
      <c r="AD62" s="67"/>
      <c r="AE62" s="67"/>
      <c r="AF62" s="67"/>
      <c r="AG62" s="67"/>
      <c r="AH62" s="67"/>
    </row>
    <row r="63" spans="1:34" s="4" customForma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2"/>
      <c r="AA63" s="67"/>
      <c r="AB63" s="67"/>
      <c r="AC63" s="67"/>
      <c r="AD63" s="67"/>
      <c r="AE63" s="67"/>
      <c r="AF63" s="67"/>
      <c r="AG63" s="67"/>
      <c r="AH63" s="67"/>
    </row>
    <row r="64" spans="1:34" s="4" customForma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2"/>
      <c r="AA64" s="67"/>
      <c r="AB64" s="67"/>
      <c r="AC64" s="67"/>
      <c r="AD64" s="67"/>
      <c r="AE64" s="67"/>
      <c r="AF64" s="67"/>
      <c r="AG64" s="67"/>
      <c r="AH64" s="67"/>
    </row>
    <row r="65" spans="1:34" s="4" customForma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2"/>
      <c r="AA65" s="67"/>
      <c r="AB65" s="67"/>
      <c r="AC65" s="67"/>
      <c r="AD65" s="67"/>
      <c r="AE65" s="67"/>
      <c r="AF65" s="67"/>
      <c r="AG65" s="67"/>
      <c r="AH65" s="67"/>
    </row>
    <row r="66" spans="1:34" s="4" customFormat="1">
      <c r="A66" s="67"/>
      <c r="B66" s="67"/>
      <c r="C66" s="67"/>
      <c r="D66" s="67"/>
      <c r="E66" s="67"/>
      <c r="F66" s="67"/>
      <c r="G66" s="67"/>
      <c r="H66" s="67"/>
      <c r="I66" s="67"/>
      <c r="J66" s="67"/>
      <c r="K66" s="67"/>
      <c r="L66" s="67"/>
      <c r="M66" s="67"/>
      <c r="N66" s="67"/>
      <c r="O66" s="67"/>
      <c r="P66" s="67"/>
      <c r="Q66" s="67"/>
      <c r="R66" s="67"/>
      <c r="S66" s="67"/>
      <c r="U66" s="67"/>
      <c r="V66" s="67"/>
      <c r="W66" s="67"/>
      <c r="X66" s="67"/>
      <c r="Y66" s="67"/>
      <c r="Z66" s="62"/>
      <c r="AA66" s="67"/>
      <c r="AB66" s="67"/>
      <c r="AC66" s="67"/>
      <c r="AD66" s="67"/>
      <c r="AE66" s="67"/>
      <c r="AF66" s="67"/>
      <c r="AG66" s="67"/>
      <c r="AH66" s="67"/>
    </row>
    <row r="67" spans="1:34" s="4" customFormat="1">
      <c r="A67" s="67"/>
      <c r="B67" s="67"/>
      <c r="C67" s="67"/>
      <c r="D67" s="67"/>
      <c r="E67" s="67"/>
      <c r="F67" s="67"/>
      <c r="G67" s="67"/>
      <c r="H67" s="67"/>
      <c r="I67" s="67"/>
      <c r="J67" s="67"/>
      <c r="K67" s="67"/>
      <c r="L67" s="67"/>
      <c r="M67" s="67"/>
      <c r="N67" s="67"/>
      <c r="O67" s="67"/>
      <c r="P67" s="67"/>
      <c r="Q67" s="67"/>
      <c r="R67" s="67"/>
      <c r="S67" s="67"/>
      <c r="U67" s="67"/>
      <c r="V67" s="67"/>
      <c r="W67" s="67"/>
      <c r="X67" s="67"/>
      <c r="Y67" s="67"/>
      <c r="Z67" s="62"/>
      <c r="AA67" s="67"/>
      <c r="AB67" s="67"/>
      <c r="AC67" s="67"/>
      <c r="AD67" s="67"/>
      <c r="AE67" s="67"/>
      <c r="AF67" s="67"/>
      <c r="AG67" s="67"/>
      <c r="AH67" s="67"/>
    </row>
    <row r="68" spans="1:34" s="4" customFormat="1">
      <c r="A68" s="67"/>
      <c r="B68" s="67"/>
      <c r="C68" s="67"/>
      <c r="D68" s="67"/>
      <c r="E68" s="67"/>
      <c r="F68" s="67"/>
      <c r="G68" s="67"/>
      <c r="H68" s="67"/>
      <c r="I68" s="67"/>
      <c r="J68" s="67"/>
      <c r="K68" s="67"/>
      <c r="L68" s="67"/>
      <c r="M68" s="67"/>
      <c r="N68" s="67"/>
      <c r="O68" s="67"/>
      <c r="P68" s="67"/>
      <c r="Q68" s="67"/>
      <c r="R68" s="67"/>
      <c r="S68" s="67"/>
      <c r="U68" s="67"/>
      <c r="V68" s="67"/>
      <c r="W68" s="67"/>
      <c r="X68" s="67"/>
      <c r="Y68" s="67"/>
      <c r="Z68" s="62"/>
      <c r="AA68" s="67"/>
      <c r="AB68" s="67"/>
      <c r="AC68" s="67"/>
      <c r="AD68" s="67"/>
      <c r="AE68" s="67"/>
      <c r="AF68" s="67"/>
      <c r="AG68" s="67"/>
      <c r="AH68" s="67"/>
    </row>
    <row r="69" spans="1:34" s="4" customFormat="1">
      <c r="A69" s="67"/>
      <c r="B69" s="67"/>
      <c r="C69" s="67"/>
      <c r="D69" s="67"/>
      <c r="E69" s="67"/>
      <c r="F69" s="67"/>
      <c r="G69" s="67"/>
      <c r="H69" s="67"/>
      <c r="I69" s="67"/>
      <c r="J69" s="67"/>
      <c r="K69" s="67"/>
      <c r="L69" s="67"/>
      <c r="M69" s="67"/>
      <c r="N69" s="67"/>
      <c r="O69" s="67"/>
      <c r="P69" s="67"/>
      <c r="Q69" s="67"/>
      <c r="R69" s="67"/>
      <c r="S69" s="67"/>
      <c r="U69" s="67"/>
      <c r="V69" s="67"/>
      <c r="W69" s="67"/>
      <c r="X69" s="67"/>
      <c r="Y69" s="67"/>
      <c r="Z69" s="62"/>
      <c r="AA69" s="67"/>
      <c r="AB69" s="67"/>
      <c r="AC69" s="67"/>
      <c r="AD69" s="67"/>
      <c r="AE69" s="67"/>
      <c r="AF69" s="67"/>
      <c r="AG69" s="67"/>
      <c r="AH69" s="67"/>
    </row>
    <row r="70" spans="1:34" s="4" customFormat="1">
      <c r="A70" s="67"/>
      <c r="B70" s="67"/>
      <c r="C70" s="67"/>
      <c r="D70" s="67"/>
      <c r="E70" s="67"/>
      <c r="F70" s="67"/>
      <c r="G70" s="67"/>
      <c r="H70" s="67"/>
      <c r="I70" s="67"/>
      <c r="J70" s="67"/>
      <c r="K70" s="67"/>
      <c r="L70" s="67"/>
      <c r="M70" s="67"/>
      <c r="N70" s="67"/>
      <c r="O70" s="67"/>
      <c r="P70" s="67"/>
      <c r="Q70" s="67"/>
      <c r="R70" s="67"/>
      <c r="S70" s="67"/>
      <c r="U70" s="67"/>
      <c r="V70" s="67"/>
      <c r="W70" s="67"/>
      <c r="X70" s="67"/>
      <c r="Y70" s="67"/>
      <c r="Z70" s="62"/>
      <c r="AA70" s="67"/>
      <c r="AB70" s="67"/>
      <c r="AC70" s="67"/>
      <c r="AD70" s="67"/>
      <c r="AE70" s="67"/>
      <c r="AF70" s="67"/>
      <c r="AG70" s="67"/>
      <c r="AH70" s="67"/>
    </row>
    <row r="71" spans="1:34" s="4" customFormat="1">
      <c r="A71" s="67"/>
      <c r="B71" s="67"/>
      <c r="C71" s="67"/>
      <c r="D71" s="67"/>
      <c r="E71" s="67"/>
      <c r="F71" s="67"/>
      <c r="G71" s="67"/>
      <c r="H71" s="67"/>
      <c r="I71" s="67"/>
      <c r="J71" s="67"/>
      <c r="K71" s="67"/>
      <c r="L71" s="67"/>
      <c r="M71" s="67"/>
      <c r="N71" s="67"/>
      <c r="O71" s="67"/>
      <c r="P71" s="67"/>
      <c r="Q71" s="67"/>
      <c r="R71" s="67"/>
      <c r="S71" s="67"/>
      <c r="U71" s="67"/>
      <c r="V71" s="67"/>
      <c r="W71" s="67"/>
      <c r="X71" s="67"/>
      <c r="Y71" s="67"/>
      <c r="Z71" s="62"/>
      <c r="AA71" s="67"/>
      <c r="AB71" s="67"/>
      <c r="AC71" s="67"/>
      <c r="AD71" s="67"/>
      <c r="AE71" s="67"/>
      <c r="AF71" s="67"/>
      <c r="AG71" s="67"/>
      <c r="AH71" s="67"/>
    </row>
    <row r="72" spans="1:34" s="4" customFormat="1">
      <c r="A72" s="67"/>
      <c r="B72" s="67"/>
      <c r="C72" s="67"/>
      <c r="D72" s="67"/>
      <c r="E72" s="67"/>
      <c r="F72" s="67"/>
      <c r="G72" s="67"/>
      <c r="H72" s="67"/>
      <c r="I72" s="67"/>
      <c r="J72" s="67"/>
      <c r="K72" s="67"/>
      <c r="L72" s="67"/>
      <c r="M72" s="67"/>
      <c r="N72" s="67"/>
      <c r="O72" s="67"/>
      <c r="P72" s="67"/>
      <c r="Q72" s="67"/>
      <c r="R72" s="67"/>
      <c r="S72" s="67"/>
      <c r="U72" s="67"/>
      <c r="V72" s="67"/>
      <c r="W72" s="67"/>
      <c r="X72" s="67"/>
      <c r="Y72" s="67"/>
      <c r="Z72" s="62"/>
      <c r="AA72" s="67"/>
      <c r="AB72" s="67"/>
      <c r="AC72" s="67"/>
      <c r="AD72" s="67"/>
      <c r="AE72" s="67"/>
      <c r="AF72" s="67"/>
      <c r="AG72" s="67"/>
      <c r="AH72" s="67"/>
    </row>
    <row r="73" spans="1:34" s="4" customFormat="1">
      <c r="A73" s="67"/>
      <c r="B73" s="67"/>
      <c r="C73" s="67"/>
      <c r="D73" s="67"/>
      <c r="E73" s="67"/>
      <c r="F73" s="67"/>
      <c r="G73" s="67"/>
      <c r="H73" s="67"/>
      <c r="I73" s="67"/>
      <c r="J73" s="67"/>
      <c r="K73" s="67"/>
      <c r="L73" s="67"/>
      <c r="M73" s="67"/>
      <c r="N73" s="67"/>
      <c r="O73" s="67"/>
      <c r="P73" s="67"/>
      <c r="Q73" s="67"/>
      <c r="R73" s="67"/>
      <c r="S73" s="67"/>
      <c r="U73" s="67"/>
      <c r="V73" s="67"/>
      <c r="W73" s="67"/>
      <c r="X73" s="67"/>
      <c r="Y73" s="67"/>
      <c r="Z73" s="62"/>
      <c r="AA73" s="67"/>
      <c r="AB73" s="67"/>
      <c r="AC73" s="67"/>
      <c r="AD73" s="67"/>
      <c r="AE73" s="67"/>
      <c r="AF73" s="67"/>
      <c r="AG73" s="67"/>
      <c r="AH73" s="67"/>
    </row>
    <row r="74" spans="1:34" s="4" customFormat="1">
      <c r="A74" s="67"/>
      <c r="B74" s="67"/>
      <c r="C74" s="67"/>
      <c r="D74" s="67"/>
      <c r="E74" s="67"/>
      <c r="F74" s="67"/>
      <c r="G74" s="67"/>
      <c r="H74" s="67"/>
      <c r="I74" s="67"/>
      <c r="J74" s="67"/>
      <c r="K74" s="67"/>
      <c r="L74" s="67"/>
      <c r="M74" s="67"/>
      <c r="N74" s="67"/>
      <c r="O74" s="67"/>
      <c r="P74" s="67"/>
      <c r="Q74" s="67"/>
      <c r="R74" s="67"/>
      <c r="S74" s="67"/>
      <c r="U74" s="67"/>
      <c r="V74" s="67"/>
      <c r="W74" s="67"/>
      <c r="X74" s="67"/>
      <c r="Y74" s="67"/>
      <c r="Z74" s="62"/>
      <c r="AA74" s="67"/>
      <c r="AB74" s="67"/>
      <c r="AC74" s="67"/>
      <c r="AD74" s="67"/>
      <c r="AE74" s="67"/>
      <c r="AF74" s="67"/>
      <c r="AG74" s="67"/>
      <c r="AH74" s="67"/>
    </row>
    <row r="75" spans="1:34" s="4" customFormat="1">
      <c r="A75" s="67"/>
      <c r="B75" s="67"/>
      <c r="C75" s="67"/>
      <c r="D75" s="67"/>
      <c r="E75" s="67"/>
      <c r="F75" s="67"/>
      <c r="G75" s="67"/>
      <c r="H75" s="67"/>
      <c r="I75" s="67"/>
      <c r="J75" s="67"/>
      <c r="K75" s="67"/>
      <c r="L75" s="67"/>
      <c r="M75" s="67"/>
      <c r="N75" s="67"/>
      <c r="O75" s="67"/>
      <c r="P75" s="67"/>
      <c r="Q75" s="67"/>
      <c r="R75" s="67"/>
      <c r="S75" s="67"/>
      <c r="U75" s="67"/>
      <c r="V75" s="67"/>
      <c r="W75" s="67"/>
      <c r="X75" s="67"/>
      <c r="Y75" s="67"/>
      <c r="Z75" s="62"/>
      <c r="AA75" s="67"/>
      <c r="AB75" s="67"/>
      <c r="AC75" s="67"/>
      <c r="AD75" s="67"/>
      <c r="AE75" s="67"/>
      <c r="AF75" s="67"/>
      <c r="AG75" s="67"/>
      <c r="AH75" s="67"/>
    </row>
    <row r="76" spans="1:34" s="4" customFormat="1">
      <c r="A76" s="67"/>
      <c r="B76" s="67"/>
      <c r="C76" s="67"/>
      <c r="D76" s="67"/>
      <c r="E76" s="67"/>
      <c r="F76" s="67"/>
      <c r="G76" s="67"/>
      <c r="H76" s="67"/>
      <c r="I76" s="67"/>
      <c r="J76" s="67"/>
      <c r="K76" s="67"/>
      <c r="L76" s="67"/>
      <c r="M76" s="67"/>
      <c r="N76" s="67"/>
      <c r="O76" s="67"/>
      <c r="P76" s="67"/>
      <c r="Q76" s="67"/>
      <c r="R76" s="67"/>
      <c r="S76" s="67"/>
      <c r="U76" s="67"/>
      <c r="V76" s="67"/>
      <c r="W76" s="67"/>
      <c r="X76" s="67"/>
      <c r="Y76" s="67"/>
      <c r="Z76" s="62"/>
      <c r="AA76" s="67"/>
      <c r="AB76" s="67"/>
      <c r="AC76" s="67"/>
      <c r="AD76" s="67"/>
      <c r="AE76" s="67"/>
      <c r="AF76" s="67"/>
      <c r="AG76" s="67"/>
      <c r="AH76" s="67"/>
    </row>
    <row r="77" spans="1:34" s="4" customFormat="1">
      <c r="A77" s="67"/>
      <c r="B77" s="67"/>
      <c r="C77" s="67"/>
      <c r="D77" s="67"/>
      <c r="E77" s="67"/>
      <c r="F77" s="67"/>
      <c r="G77" s="67"/>
      <c r="H77" s="67"/>
      <c r="I77" s="67"/>
      <c r="J77" s="67"/>
      <c r="K77" s="67"/>
      <c r="L77" s="67"/>
      <c r="M77" s="67"/>
      <c r="N77" s="67"/>
      <c r="O77" s="67"/>
      <c r="P77" s="67"/>
      <c r="Q77" s="67"/>
      <c r="R77" s="67"/>
      <c r="S77" s="67"/>
      <c r="U77" s="67"/>
      <c r="V77" s="67"/>
      <c r="W77" s="67"/>
      <c r="X77" s="67"/>
      <c r="Y77" s="67"/>
      <c r="Z77" s="62"/>
      <c r="AA77" s="67"/>
      <c r="AB77" s="67"/>
      <c r="AC77" s="67"/>
      <c r="AD77" s="67"/>
      <c r="AE77" s="67"/>
      <c r="AF77" s="67"/>
      <c r="AG77" s="67"/>
      <c r="AH77" s="67"/>
    </row>
    <row r="78" spans="1:34" s="4" customFormat="1">
      <c r="A78" s="67"/>
      <c r="B78" s="67"/>
      <c r="C78" s="67"/>
      <c r="D78" s="67"/>
      <c r="E78" s="67"/>
      <c r="F78" s="67"/>
      <c r="G78" s="67"/>
      <c r="H78" s="67"/>
      <c r="I78" s="67"/>
      <c r="J78" s="67"/>
      <c r="K78" s="67"/>
      <c r="L78" s="67"/>
      <c r="M78" s="67"/>
      <c r="N78" s="67"/>
      <c r="O78" s="67"/>
      <c r="P78" s="67"/>
      <c r="Q78" s="67"/>
      <c r="R78" s="67"/>
      <c r="S78" s="67"/>
      <c r="U78" s="67"/>
      <c r="V78" s="67"/>
      <c r="W78" s="67"/>
      <c r="X78" s="67"/>
      <c r="Y78" s="67"/>
      <c r="Z78" s="62"/>
      <c r="AA78" s="67"/>
      <c r="AB78" s="67"/>
      <c r="AC78" s="67"/>
      <c r="AD78" s="67"/>
      <c r="AE78" s="67"/>
      <c r="AF78" s="67"/>
      <c r="AG78" s="67"/>
      <c r="AH78" s="67"/>
    </row>
    <row r="79" spans="1:34" s="4" customFormat="1">
      <c r="A79" s="67"/>
      <c r="B79" s="67"/>
      <c r="C79" s="67"/>
      <c r="D79" s="67"/>
      <c r="E79" s="67"/>
      <c r="F79" s="67"/>
      <c r="G79" s="67"/>
      <c r="H79" s="67"/>
      <c r="I79" s="67"/>
      <c r="J79" s="67"/>
      <c r="K79" s="67"/>
      <c r="L79" s="67"/>
      <c r="M79" s="67"/>
      <c r="N79" s="67"/>
      <c r="O79" s="67"/>
      <c r="P79" s="67"/>
      <c r="Q79" s="67"/>
      <c r="R79" s="67"/>
      <c r="S79" s="67"/>
      <c r="U79" s="67"/>
      <c r="V79" s="67"/>
      <c r="W79" s="67"/>
      <c r="X79" s="67"/>
      <c r="Y79" s="67"/>
      <c r="Z79" s="62"/>
      <c r="AA79" s="67"/>
      <c r="AB79" s="67"/>
      <c r="AC79" s="67"/>
      <c r="AD79" s="67"/>
      <c r="AE79" s="67"/>
      <c r="AF79" s="67"/>
      <c r="AG79" s="67"/>
      <c r="AH79" s="67"/>
    </row>
    <row r="80" spans="1:34" s="4" customFormat="1">
      <c r="A80" s="67"/>
      <c r="B80" s="67"/>
      <c r="C80" s="67"/>
      <c r="D80" s="67"/>
      <c r="E80" s="67"/>
      <c r="F80" s="67"/>
      <c r="G80" s="67"/>
      <c r="H80" s="67"/>
      <c r="I80" s="67"/>
      <c r="J80" s="67"/>
      <c r="K80" s="67"/>
      <c r="L80" s="67"/>
      <c r="M80" s="67"/>
      <c r="N80" s="67"/>
      <c r="O80" s="67"/>
      <c r="P80" s="67"/>
      <c r="Q80" s="67"/>
      <c r="R80" s="67"/>
      <c r="S80" s="67"/>
      <c r="U80" s="67"/>
      <c r="V80" s="67"/>
      <c r="W80" s="67"/>
      <c r="X80" s="67"/>
      <c r="Y80" s="67"/>
      <c r="Z80" s="62"/>
      <c r="AA80" s="67"/>
      <c r="AB80" s="67"/>
      <c r="AC80" s="67"/>
      <c r="AD80" s="67"/>
      <c r="AE80" s="67"/>
      <c r="AF80" s="67"/>
      <c r="AG80" s="67"/>
      <c r="AH80" s="67"/>
    </row>
    <row r="81" spans="1:34" s="4" customFormat="1">
      <c r="A81" s="67"/>
      <c r="B81" s="67"/>
      <c r="C81" s="67"/>
      <c r="D81" s="67"/>
      <c r="E81" s="67"/>
      <c r="F81" s="67"/>
      <c r="G81" s="67"/>
      <c r="H81" s="67"/>
      <c r="I81" s="67"/>
      <c r="J81" s="67"/>
      <c r="K81" s="67"/>
      <c r="L81" s="67"/>
      <c r="M81" s="67"/>
      <c r="N81" s="67"/>
      <c r="O81" s="67"/>
      <c r="P81" s="67"/>
      <c r="Q81" s="67"/>
      <c r="R81" s="67"/>
      <c r="S81" s="67"/>
      <c r="U81" s="67"/>
      <c r="V81" s="67"/>
      <c r="W81" s="67"/>
      <c r="X81" s="67"/>
      <c r="Y81" s="67"/>
      <c r="Z81" s="62"/>
      <c r="AA81" s="67"/>
      <c r="AB81" s="67"/>
      <c r="AC81" s="67"/>
      <c r="AD81" s="67"/>
      <c r="AE81" s="67"/>
      <c r="AF81" s="67"/>
      <c r="AG81" s="67"/>
      <c r="AH81" s="67"/>
    </row>
    <row r="82" spans="1:34" s="4" customFormat="1">
      <c r="A82" s="67"/>
      <c r="B82" s="67"/>
      <c r="C82" s="67"/>
      <c r="D82" s="67"/>
      <c r="E82" s="67"/>
      <c r="F82" s="67"/>
      <c r="G82" s="67"/>
      <c r="H82" s="67"/>
      <c r="I82" s="67"/>
      <c r="J82" s="67"/>
      <c r="K82" s="67"/>
      <c r="L82" s="67"/>
      <c r="M82" s="67"/>
      <c r="N82" s="67"/>
      <c r="O82" s="67"/>
      <c r="P82" s="67"/>
      <c r="Q82" s="67"/>
      <c r="R82" s="67"/>
      <c r="S82" s="67"/>
      <c r="U82" s="67"/>
      <c r="V82" s="67"/>
      <c r="W82" s="67"/>
      <c r="X82" s="67"/>
      <c r="Y82" s="67"/>
      <c r="Z82" s="62"/>
      <c r="AA82" s="67"/>
      <c r="AB82" s="67"/>
      <c r="AC82" s="67"/>
      <c r="AD82" s="67"/>
      <c r="AE82" s="67"/>
      <c r="AF82" s="67"/>
      <c r="AG82" s="67"/>
      <c r="AH82" s="67"/>
    </row>
    <row r="83" spans="1:34" s="4" customFormat="1">
      <c r="A83" s="67"/>
      <c r="B83" s="67"/>
      <c r="C83" s="67"/>
      <c r="D83" s="67"/>
      <c r="E83" s="67"/>
      <c r="F83" s="67"/>
      <c r="G83" s="67"/>
      <c r="H83" s="67"/>
      <c r="I83" s="67"/>
      <c r="J83" s="67"/>
      <c r="K83" s="67"/>
      <c r="L83" s="67"/>
      <c r="M83" s="67"/>
      <c r="N83" s="67"/>
      <c r="O83" s="67"/>
      <c r="P83" s="67"/>
      <c r="Q83" s="67"/>
      <c r="R83" s="67"/>
      <c r="S83" s="67"/>
      <c r="U83" s="67"/>
      <c r="V83" s="67"/>
      <c r="W83" s="67"/>
      <c r="X83" s="67"/>
      <c r="Y83" s="67"/>
      <c r="Z83" s="62"/>
      <c r="AA83" s="67"/>
      <c r="AB83" s="67"/>
      <c r="AC83" s="67"/>
      <c r="AD83" s="67"/>
      <c r="AE83" s="67"/>
      <c r="AF83" s="67"/>
      <c r="AG83" s="67"/>
      <c r="AH83" s="67"/>
    </row>
    <row r="84" spans="1:34" s="4" customFormat="1">
      <c r="A84" s="67"/>
      <c r="B84" s="67"/>
      <c r="C84" s="67"/>
      <c r="D84" s="67"/>
      <c r="E84" s="67"/>
      <c r="F84" s="67"/>
      <c r="G84" s="67"/>
      <c r="H84" s="67"/>
      <c r="I84" s="67"/>
      <c r="J84" s="67"/>
      <c r="K84" s="67"/>
      <c r="L84" s="67"/>
      <c r="M84" s="67"/>
      <c r="N84" s="67"/>
      <c r="O84" s="67"/>
      <c r="P84" s="67"/>
      <c r="Q84" s="67"/>
      <c r="R84" s="67"/>
      <c r="S84" s="67"/>
      <c r="U84" s="67"/>
      <c r="V84" s="67"/>
      <c r="W84" s="67"/>
      <c r="X84" s="67"/>
      <c r="Y84" s="67"/>
      <c r="Z84" s="62"/>
      <c r="AA84" s="67"/>
      <c r="AB84" s="67"/>
      <c r="AC84" s="67"/>
      <c r="AD84" s="67"/>
      <c r="AE84" s="67"/>
      <c r="AF84" s="67"/>
      <c r="AG84" s="67"/>
      <c r="AH84" s="67"/>
    </row>
    <row r="85" spans="1:34" s="4" customFormat="1">
      <c r="A85" s="67"/>
      <c r="B85" s="67"/>
      <c r="C85" s="67"/>
      <c r="D85" s="67"/>
      <c r="E85" s="67"/>
      <c r="F85" s="67"/>
      <c r="G85" s="67"/>
      <c r="H85" s="67"/>
      <c r="I85" s="67"/>
      <c r="J85" s="67"/>
      <c r="K85" s="67"/>
      <c r="L85" s="67"/>
      <c r="M85" s="67"/>
      <c r="N85" s="67"/>
      <c r="O85" s="67"/>
      <c r="P85" s="67"/>
      <c r="Q85" s="67"/>
      <c r="R85" s="67"/>
      <c r="S85" s="67"/>
      <c r="U85" s="67"/>
      <c r="V85" s="67"/>
      <c r="W85" s="67"/>
      <c r="X85" s="67"/>
      <c r="Y85" s="67"/>
      <c r="Z85" s="62"/>
      <c r="AA85" s="67"/>
      <c r="AB85" s="67"/>
      <c r="AC85" s="67"/>
      <c r="AD85" s="67"/>
      <c r="AE85" s="67"/>
      <c r="AF85" s="67"/>
      <c r="AG85" s="67"/>
      <c r="AH85" s="67"/>
    </row>
    <row r="86" spans="1:34" s="4" customFormat="1">
      <c r="A86" s="67"/>
      <c r="B86" s="67"/>
      <c r="C86" s="67"/>
      <c r="D86" s="67"/>
      <c r="E86" s="67"/>
      <c r="F86" s="67"/>
      <c r="G86" s="67"/>
      <c r="H86" s="67"/>
      <c r="I86" s="67"/>
      <c r="J86" s="67"/>
      <c r="K86" s="67"/>
      <c r="L86" s="67"/>
      <c r="M86" s="67"/>
      <c r="N86" s="67"/>
      <c r="O86" s="67"/>
      <c r="P86" s="67"/>
      <c r="Q86" s="67"/>
      <c r="R86" s="67"/>
      <c r="S86" s="67"/>
      <c r="U86" s="67"/>
      <c r="V86" s="67"/>
      <c r="W86" s="67"/>
      <c r="X86" s="67"/>
      <c r="Y86" s="67"/>
      <c r="Z86" s="62"/>
      <c r="AA86" s="67"/>
      <c r="AB86" s="67"/>
      <c r="AC86" s="67"/>
      <c r="AD86" s="67"/>
      <c r="AE86" s="67"/>
      <c r="AF86" s="67"/>
      <c r="AG86" s="67"/>
      <c r="AH86" s="67"/>
    </row>
    <row r="87" spans="1:34" s="4" customFormat="1">
      <c r="A87" s="67"/>
      <c r="B87" s="67"/>
      <c r="C87" s="67"/>
      <c r="D87" s="67"/>
      <c r="E87" s="67"/>
      <c r="F87" s="67"/>
      <c r="G87" s="67"/>
      <c r="H87" s="67"/>
      <c r="I87" s="67"/>
      <c r="J87" s="67"/>
      <c r="K87" s="67"/>
      <c r="L87" s="67"/>
      <c r="M87" s="67"/>
      <c r="N87" s="67"/>
      <c r="O87" s="67"/>
      <c r="P87" s="67"/>
      <c r="Q87" s="67"/>
      <c r="R87" s="67"/>
      <c r="S87" s="67"/>
      <c r="U87" s="67"/>
      <c r="V87" s="67"/>
      <c r="W87" s="67"/>
      <c r="X87" s="67"/>
      <c r="Y87" s="67"/>
      <c r="Z87" s="67"/>
      <c r="AA87" s="67"/>
      <c r="AB87" s="67"/>
      <c r="AC87" s="67"/>
      <c r="AD87" s="67"/>
      <c r="AE87" s="67"/>
      <c r="AF87" s="67"/>
      <c r="AG87" s="67"/>
      <c r="AH87" s="67"/>
    </row>
    <row r="88" spans="1:34" s="4" customFormat="1">
      <c r="A88" s="67"/>
      <c r="B88" s="67"/>
      <c r="C88" s="67"/>
      <c r="D88" s="67"/>
      <c r="E88" s="67"/>
      <c r="F88" s="67"/>
      <c r="G88" s="67"/>
      <c r="H88" s="67"/>
      <c r="I88" s="67"/>
      <c r="J88" s="67"/>
      <c r="K88" s="67"/>
      <c r="L88" s="67"/>
      <c r="M88" s="67"/>
      <c r="N88" s="67"/>
      <c r="O88" s="67"/>
      <c r="P88" s="67"/>
      <c r="Q88" s="67"/>
      <c r="R88" s="67"/>
      <c r="S88" s="67"/>
      <c r="U88" s="67"/>
      <c r="V88" s="67"/>
      <c r="W88" s="67"/>
      <c r="X88" s="67"/>
      <c r="Y88" s="67"/>
      <c r="Z88" s="67"/>
      <c r="AA88" s="67"/>
      <c r="AB88" s="67"/>
      <c r="AC88" s="67"/>
      <c r="AD88" s="67"/>
      <c r="AE88" s="67"/>
      <c r="AF88" s="67"/>
      <c r="AG88" s="67"/>
      <c r="AH88" s="67"/>
    </row>
    <row r="89" spans="1:34" s="4" customFormat="1">
      <c r="A89" s="67"/>
      <c r="B89" s="67"/>
      <c r="C89" s="67"/>
      <c r="D89" s="67"/>
      <c r="E89" s="67"/>
      <c r="F89" s="67"/>
      <c r="G89" s="67"/>
      <c r="H89" s="67"/>
      <c r="I89" s="67"/>
      <c r="J89" s="67"/>
      <c r="K89" s="67"/>
      <c r="L89" s="67"/>
      <c r="M89" s="67"/>
      <c r="N89" s="67"/>
      <c r="O89" s="67"/>
      <c r="P89" s="67"/>
      <c r="Q89" s="67"/>
      <c r="R89" s="67"/>
      <c r="S89" s="67"/>
      <c r="U89" s="67"/>
      <c r="V89" s="67"/>
      <c r="W89" s="67"/>
      <c r="X89" s="67"/>
      <c r="Y89" s="67"/>
      <c r="Z89" s="67"/>
      <c r="AA89" s="67"/>
      <c r="AB89" s="67"/>
      <c r="AC89" s="67"/>
      <c r="AD89" s="67"/>
      <c r="AE89" s="67"/>
      <c r="AF89" s="67"/>
      <c r="AG89" s="67"/>
      <c r="AH89" s="67"/>
    </row>
    <row r="90" spans="1:34" s="4" customFormat="1">
      <c r="A90" s="67"/>
      <c r="B90" s="67"/>
      <c r="C90" s="67"/>
      <c r="D90" s="67"/>
      <c r="E90" s="67"/>
      <c r="F90" s="67"/>
      <c r="G90" s="67"/>
      <c r="H90" s="67"/>
      <c r="I90" s="67"/>
      <c r="J90" s="67"/>
      <c r="K90" s="67"/>
      <c r="L90" s="67"/>
      <c r="M90" s="67"/>
      <c r="N90" s="67"/>
      <c r="O90" s="67"/>
      <c r="P90" s="67"/>
      <c r="Q90" s="67"/>
      <c r="R90" s="67"/>
      <c r="S90" s="67"/>
      <c r="U90" s="67"/>
      <c r="V90" s="67"/>
      <c r="W90" s="67"/>
      <c r="X90" s="67"/>
      <c r="Y90" s="67"/>
      <c r="Z90" s="67"/>
      <c r="AA90" s="67"/>
      <c r="AB90" s="67"/>
      <c r="AC90" s="67"/>
      <c r="AD90" s="67"/>
      <c r="AE90" s="67"/>
      <c r="AF90" s="67"/>
      <c r="AG90" s="67"/>
      <c r="AH90" s="67"/>
    </row>
    <row r="91" spans="1:34" s="4" customFormat="1">
      <c r="A91" s="67"/>
      <c r="B91" s="67"/>
      <c r="C91" s="67"/>
      <c r="D91" s="67"/>
      <c r="E91" s="67"/>
      <c r="F91" s="67"/>
      <c r="G91" s="67"/>
      <c r="H91" s="67"/>
      <c r="I91" s="67"/>
      <c r="J91" s="67"/>
      <c r="K91" s="67"/>
      <c r="L91" s="67"/>
      <c r="M91" s="67"/>
      <c r="N91" s="67"/>
      <c r="O91" s="67"/>
      <c r="P91" s="67"/>
      <c r="Q91" s="67"/>
      <c r="R91" s="67"/>
      <c r="S91" s="67"/>
      <c r="U91" s="67"/>
      <c r="V91" s="67"/>
      <c r="W91" s="67"/>
      <c r="X91" s="67"/>
      <c r="Y91" s="67"/>
      <c r="Z91" s="67"/>
      <c r="AA91" s="67"/>
      <c r="AB91" s="67"/>
      <c r="AC91" s="67"/>
      <c r="AD91" s="67"/>
      <c r="AE91" s="67"/>
      <c r="AF91" s="67"/>
      <c r="AG91" s="67"/>
      <c r="AH91" s="67"/>
    </row>
    <row r="92" spans="1:34" s="4" customFormat="1">
      <c r="A92" s="67"/>
      <c r="B92" s="67"/>
      <c r="C92" s="67"/>
      <c r="D92" s="67"/>
      <c r="E92" s="67"/>
      <c r="F92" s="67"/>
      <c r="G92" s="67"/>
      <c r="H92" s="67"/>
      <c r="I92" s="67"/>
      <c r="J92" s="67"/>
      <c r="K92" s="67"/>
      <c r="L92" s="67"/>
      <c r="M92" s="67"/>
      <c r="N92" s="67"/>
      <c r="O92" s="67"/>
      <c r="P92" s="67"/>
      <c r="Q92" s="67"/>
      <c r="R92" s="67"/>
      <c r="S92" s="67"/>
      <c r="U92" s="67"/>
      <c r="V92" s="67"/>
      <c r="W92" s="67"/>
      <c r="X92" s="67"/>
      <c r="Y92" s="67"/>
      <c r="Z92" s="67"/>
      <c r="AA92" s="67"/>
      <c r="AB92" s="67"/>
      <c r="AC92" s="67"/>
      <c r="AD92" s="67"/>
      <c r="AE92" s="67"/>
      <c r="AF92" s="67"/>
      <c r="AG92" s="67"/>
      <c r="AH92" s="67"/>
    </row>
    <row r="93" spans="1:34" s="4" customFormat="1">
      <c r="A93" s="67"/>
      <c r="B93" s="67"/>
      <c r="C93" s="67"/>
      <c r="D93" s="67"/>
      <c r="E93" s="67"/>
      <c r="F93" s="67"/>
      <c r="G93" s="67"/>
      <c r="H93" s="67"/>
      <c r="I93" s="67"/>
      <c r="J93" s="67"/>
      <c r="K93" s="67"/>
      <c r="L93" s="67"/>
      <c r="M93" s="67"/>
      <c r="N93" s="67"/>
      <c r="O93" s="67"/>
      <c r="P93" s="67"/>
      <c r="Q93" s="67"/>
      <c r="R93" s="67"/>
      <c r="S93" s="67"/>
      <c r="U93" s="67"/>
      <c r="V93" s="67"/>
      <c r="W93" s="67"/>
      <c r="X93" s="67"/>
      <c r="Y93" s="67"/>
      <c r="Z93" s="67"/>
      <c r="AA93" s="67"/>
      <c r="AB93" s="67"/>
      <c r="AC93" s="67"/>
      <c r="AD93" s="67"/>
      <c r="AE93" s="67"/>
      <c r="AF93" s="67"/>
      <c r="AG93" s="67"/>
      <c r="AH93" s="67"/>
    </row>
    <row r="94" spans="1:34" s="4" customFormat="1">
      <c r="A94" s="67"/>
      <c r="B94" s="67"/>
      <c r="C94" s="67"/>
      <c r="D94" s="67"/>
      <c r="E94" s="67"/>
      <c r="F94" s="67"/>
      <c r="G94" s="67"/>
      <c r="H94" s="67"/>
      <c r="I94" s="67"/>
      <c r="J94" s="67"/>
      <c r="K94" s="67"/>
      <c r="L94" s="67"/>
      <c r="M94" s="67"/>
      <c r="N94" s="67"/>
      <c r="O94" s="67"/>
      <c r="P94" s="67"/>
      <c r="Q94" s="67"/>
      <c r="R94" s="67"/>
      <c r="S94" s="67"/>
      <c r="U94" s="67"/>
      <c r="V94" s="67"/>
      <c r="W94" s="67"/>
      <c r="X94" s="67"/>
      <c r="Y94" s="67"/>
      <c r="Z94" s="67"/>
      <c r="AA94" s="67"/>
      <c r="AB94" s="67"/>
      <c r="AC94" s="67"/>
      <c r="AD94" s="67"/>
      <c r="AE94" s="67"/>
      <c r="AF94" s="67"/>
      <c r="AG94" s="67"/>
      <c r="AH94" s="67"/>
    </row>
    <row r="95" spans="1:34" s="4" customFormat="1">
      <c r="A95" s="67"/>
      <c r="B95" s="67"/>
      <c r="C95" s="67"/>
      <c r="D95" s="67"/>
      <c r="E95" s="67"/>
      <c r="F95" s="67"/>
      <c r="G95" s="67"/>
      <c r="H95" s="67"/>
      <c r="I95" s="67"/>
      <c r="J95" s="67"/>
      <c r="K95" s="67"/>
      <c r="L95" s="67"/>
      <c r="M95" s="67"/>
      <c r="N95" s="67"/>
      <c r="O95" s="67"/>
      <c r="P95" s="67"/>
      <c r="Q95" s="67"/>
      <c r="R95" s="67"/>
      <c r="S95" s="67"/>
      <c r="U95" s="67"/>
      <c r="V95" s="67"/>
      <c r="W95" s="67"/>
      <c r="X95" s="67"/>
      <c r="Y95" s="67"/>
      <c r="Z95" s="67"/>
      <c r="AA95" s="67"/>
      <c r="AB95" s="67"/>
      <c r="AC95" s="67"/>
      <c r="AD95" s="67"/>
      <c r="AE95" s="67"/>
      <c r="AF95" s="67"/>
      <c r="AG95" s="67"/>
      <c r="AH95" s="67"/>
    </row>
    <row r="96" spans="1:34" s="4" customFormat="1">
      <c r="A96" s="67"/>
      <c r="B96" s="67"/>
      <c r="C96" s="67"/>
      <c r="D96" s="67"/>
      <c r="E96" s="67"/>
      <c r="F96" s="67"/>
      <c r="G96" s="67"/>
      <c r="H96" s="67"/>
      <c r="I96" s="67"/>
      <c r="J96" s="67"/>
      <c r="K96" s="67"/>
      <c r="L96" s="67"/>
      <c r="M96" s="67"/>
      <c r="N96" s="67"/>
      <c r="O96" s="67"/>
      <c r="P96" s="67"/>
      <c r="Q96" s="67"/>
      <c r="R96" s="67"/>
      <c r="S96" s="67"/>
      <c r="U96" s="67"/>
      <c r="V96" s="67"/>
      <c r="W96" s="67"/>
      <c r="X96" s="67"/>
      <c r="Y96" s="67"/>
      <c r="Z96" s="67"/>
      <c r="AA96" s="67"/>
      <c r="AB96" s="67"/>
      <c r="AC96" s="67"/>
      <c r="AD96" s="67"/>
      <c r="AE96" s="67"/>
      <c r="AF96" s="67"/>
      <c r="AG96" s="67"/>
      <c r="AH96" s="67"/>
    </row>
    <row r="97" spans="1:34" s="4" customFormat="1">
      <c r="A97" s="67"/>
      <c r="B97" s="67"/>
      <c r="C97" s="67"/>
      <c r="D97" s="67"/>
      <c r="E97" s="67"/>
      <c r="F97" s="67"/>
      <c r="G97" s="67"/>
      <c r="H97" s="67"/>
      <c r="I97" s="67"/>
      <c r="J97" s="67"/>
      <c r="K97" s="67"/>
      <c r="L97" s="67"/>
      <c r="M97" s="67"/>
      <c r="N97" s="67"/>
      <c r="O97" s="67"/>
      <c r="P97" s="67"/>
      <c r="Q97" s="67"/>
      <c r="R97" s="67"/>
      <c r="S97" s="67"/>
      <c r="U97" s="67"/>
      <c r="V97" s="67"/>
      <c r="W97" s="67"/>
      <c r="X97" s="67"/>
      <c r="Y97" s="67"/>
      <c r="Z97" s="67"/>
      <c r="AA97" s="67"/>
      <c r="AB97" s="67"/>
      <c r="AC97" s="67"/>
      <c r="AD97" s="67"/>
      <c r="AE97" s="67"/>
      <c r="AF97" s="67"/>
      <c r="AG97" s="67"/>
      <c r="AH97" s="67"/>
    </row>
    <row r="98" spans="1:34" s="4" customFormat="1">
      <c r="A98" s="67"/>
      <c r="B98" s="67"/>
      <c r="C98" s="67"/>
      <c r="D98" s="67"/>
      <c r="E98" s="67"/>
      <c r="F98" s="67"/>
      <c r="G98" s="67"/>
      <c r="H98" s="67"/>
      <c r="I98" s="67"/>
      <c r="J98" s="67"/>
      <c r="K98" s="67"/>
      <c r="L98" s="67"/>
      <c r="M98" s="67"/>
      <c r="N98" s="67"/>
      <c r="O98" s="67"/>
      <c r="P98" s="67"/>
      <c r="Q98" s="67"/>
      <c r="R98" s="67"/>
      <c r="S98" s="67"/>
      <c r="U98" s="67"/>
      <c r="V98" s="67"/>
      <c r="W98" s="67"/>
      <c r="X98" s="67"/>
      <c r="Y98" s="67"/>
      <c r="Z98" s="67"/>
      <c r="AA98" s="67"/>
      <c r="AB98" s="67"/>
      <c r="AC98" s="67"/>
      <c r="AD98" s="67"/>
      <c r="AE98" s="67"/>
      <c r="AF98" s="67"/>
      <c r="AG98" s="67"/>
      <c r="AH98" s="67"/>
    </row>
  </sheetData>
  <mergeCells count="6">
    <mergeCell ref="AF15:AH15"/>
    <mergeCell ref="F11:R11"/>
    <mergeCell ref="T11:X11"/>
    <mergeCell ref="AA11:AC11"/>
    <mergeCell ref="AF11:AH11"/>
    <mergeCell ref="AF14:AH14"/>
  </mergeCells>
  <pageMargins left="0.55000000000000004" right="0.5" top="0.66" bottom="0.25" header="0.19" footer="0.25"/>
  <pageSetup scale="50" firstPageNumber="69" fitToWidth="2" orientation="landscape" useFirstPageNumber="1"/>
  <headerFooter scaleWithDoc="0">
    <oddFooter>&amp;R&amp;8&amp;P</oddFooter>
  </headerFooter>
  <colBreaks count="1" manualBreakCount="1">
    <brk id="18" min="2" max="51"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83"/>
  <sheetViews>
    <sheetView showGridLines="0" showOutlineSymbols="0" zoomScale="80" zoomScaleNormal="80" zoomScaleSheetLayoutView="85" zoomScalePageLayoutView="80" workbookViewId="0"/>
  </sheetViews>
  <sheetFormatPr baseColWidth="10" defaultColWidth="9.5703125" defaultRowHeight="12" x14ac:dyDescent="0"/>
  <cols>
    <col min="1" max="1" width="19.5703125" style="3" customWidth="1"/>
    <col min="2" max="2" width="3.5703125" style="3" customWidth="1"/>
    <col min="3" max="3" width="9.140625" style="3" customWidth="1"/>
    <col min="4" max="4" width="1.5703125" style="3" customWidth="1"/>
    <col min="5" max="5" width="9.5703125" style="3" customWidth="1"/>
    <col min="6" max="6" width="1.5703125" style="3" customWidth="1"/>
    <col min="7" max="7" width="9.5703125" style="3" customWidth="1"/>
    <col min="8" max="8" width="1.5703125" style="3" customWidth="1"/>
    <col min="9" max="9" width="9.5703125" style="3" customWidth="1"/>
    <col min="10" max="10" width="1.5703125" style="3" customWidth="1"/>
    <col min="11" max="11" width="9.5703125" style="3" customWidth="1"/>
    <col min="12" max="12" width="1.5703125" style="3" customWidth="1"/>
    <col min="13" max="13" width="9.5703125" style="3" customWidth="1"/>
    <col min="14" max="14" width="1.5703125" style="3" customWidth="1"/>
    <col min="15" max="15" width="9.5703125" style="3" customWidth="1"/>
    <col min="16" max="16" width="1.5703125" style="3" customWidth="1"/>
    <col min="17" max="17" width="9.5703125" style="3" customWidth="1"/>
    <col min="18" max="18" width="1.5703125" style="3" customWidth="1"/>
    <col min="19" max="19" width="9.5703125" style="3"/>
    <col min="20" max="20" width="1.5703125" style="3" customWidth="1"/>
    <col min="21" max="21" width="9.5703125" style="3"/>
    <col min="22" max="22" width="1.5703125" style="3" customWidth="1"/>
    <col min="23" max="23" width="12.140625" style="3" bestFit="1" customWidth="1"/>
    <col min="24" max="16384" width="9.5703125" style="3"/>
  </cols>
  <sheetData>
    <row r="1" spans="1:26" ht="15" customHeight="1">
      <c r="A1" s="1582" t="s">
        <v>1443</v>
      </c>
    </row>
    <row r="3" spans="1:26" ht="15" customHeight="1">
      <c r="A3" s="203" t="s">
        <v>0</v>
      </c>
      <c r="B3" s="2"/>
      <c r="C3" s="2"/>
      <c r="D3" s="204"/>
    </row>
    <row r="4" spans="1:26" ht="15" customHeight="1">
      <c r="A4" s="203" t="s">
        <v>1</v>
      </c>
      <c r="B4" s="2"/>
      <c r="C4" s="2"/>
      <c r="F4" s="205"/>
      <c r="H4" s="205"/>
      <c r="I4" s="205"/>
      <c r="J4" s="205"/>
      <c r="K4" s="205"/>
      <c r="L4" s="205"/>
      <c r="M4" s="205"/>
      <c r="N4" s="205"/>
      <c r="O4" s="205"/>
      <c r="P4" s="205"/>
      <c r="S4" s="205"/>
      <c r="U4" s="205"/>
      <c r="W4" s="205" t="s">
        <v>198</v>
      </c>
      <c r="X4" s="205"/>
    </row>
    <row r="5" spans="1:26" ht="15" customHeight="1">
      <c r="A5" s="206" t="s">
        <v>199</v>
      </c>
      <c r="B5" s="2"/>
      <c r="C5" s="2"/>
    </row>
    <row r="6" spans="1:26" ht="15" customHeight="1">
      <c r="A6" s="206" t="s">
        <v>2590</v>
      </c>
    </row>
    <row r="7" spans="1:26" ht="15" customHeight="1">
      <c r="A7" s="207"/>
      <c r="B7" s="208"/>
      <c r="C7" s="208"/>
      <c r="D7" s="208"/>
    </row>
    <row r="8" spans="1:26" ht="15">
      <c r="A8" s="208"/>
      <c r="B8" s="208"/>
      <c r="C8" s="208"/>
      <c r="D8" s="208"/>
      <c r="E8" s="209"/>
    </row>
    <row r="9" spans="1:26" ht="15">
      <c r="A9" s="208"/>
      <c r="B9" s="208"/>
      <c r="C9" s="208"/>
      <c r="D9" s="208"/>
      <c r="W9" s="210"/>
    </row>
    <row r="10" spans="1:26" ht="15">
      <c r="A10" s="208"/>
      <c r="B10" s="208"/>
      <c r="C10" s="208"/>
      <c r="D10" s="208"/>
      <c r="P10" s="211"/>
    </row>
    <row r="11" spans="1:26" ht="15">
      <c r="A11" s="208"/>
      <c r="B11" s="208"/>
      <c r="C11" s="208"/>
      <c r="D11" s="208"/>
      <c r="P11" s="211"/>
    </row>
    <row r="12" spans="1:26" ht="15">
      <c r="A12" s="208"/>
      <c r="B12" s="208"/>
      <c r="C12" s="208"/>
      <c r="D12" s="208"/>
      <c r="E12" s="213" t="s">
        <v>91</v>
      </c>
      <c r="F12" s="214"/>
      <c r="G12" s="213" t="s">
        <v>92</v>
      </c>
      <c r="H12" s="214"/>
      <c r="I12" s="213" t="s">
        <v>93</v>
      </c>
      <c r="J12" s="214"/>
      <c r="K12" s="212" t="s">
        <v>94</v>
      </c>
      <c r="M12" s="212" t="s">
        <v>95</v>
      </c>
      <c r="O12" s="212" t="s">
        <v>96</v>
      </c>
      <c r="Q12" s="212" t="s">
        <v>10</v>
      </c>
      <c r="S12" s="212" t="s">
        <v>9</v>
      </c>
      <c r="U12" s="212" t="s">
        <v>1917</v>
      </c>
      <c r="W12" s="212" t="s">
        <v>2584</v>
      </c>
      <c r="X12" s="215"/>
    </row>
    <row r="13" spans="1:26" ht="15">
      <c r="A13" s="207" t="s">
        <v>1445</v>
      </c>
      <c r="B13" s="208"/>
      <c r="C13" s="208"/>
      <c r="D13" s="208"/>
      <c r="F13" s="211"/>
      <c r="H13" s="211"/>
      <c r="J13" s="211"/>
      <c r="L13" s="211"/>
    </row>
    <row r="14" spans="1:26" ht="15">
      <c r="A14" s="216" t="s">
        <v>200</v>
      </c>
      <c r="B14" s="208"/>
      <c r="C14" s="208"/>
      <c r="D14" s="208" t="s">
        <v>6</v>
      </c>
      <c r="E14" s="217">
        <v>34580</v>
      </c>
      <c r="F14" s="217"/>
      <c r="G14" s="217">
        <v>36564</v>
      </c>
      <c r="H14" s="217"/>
      <c r="I14" s="217">
        <v>36840</v>
      </c>
      <c r="J14" s="218"/>
      <c r="K14" s="220">
        <v>34751</v>
      </c>
      <c r="L14" s="219"/>
      <c r="M14" s="217">
        <v>36209</v>
      </c>
      <c r="N14" s="219"/>
      <c r="O14" s="221">
        <v>38768</v>
      </c>
      <c r="P14" s="219"/>
      <c r="Q14" s="221">
        <v>40227</v>
      </c>
      <c r="R14" s="219"/>
      <c r="S14" s="221">
        <v>42961</v>
      </c>
      <c r="T14" s="219"/>
      <c r="U14" s="221">
        <v>43710</v>
      </c>
      <c r="V14" s="219"/>
      <c r="W14" s="221">
        <v>47055</v>
      </c>
      <c r="X14" s="222"/>
      <c r="Z14" s="223"/>
    </row>
    <row r="15" spans="1:26" ht="15">
      <c r="A15" s="216" t="s">
        <v>201</v>
      </c>
      <c r="B15" s="208"/>
      <c r="C15" s="208"/>
      <c r="D15" s="208" t="s">
        <v>6</v>
      </c>
      <c r="E15" s="225">
        <f>(ROUND(SUM(E14/E38),4))</f>
        <v>0.59709999999999996</v>
      </c>
      <c r="F15" s="225"/>
      <c r="G15" s="225">
        <f>(ROUND(SUM(G14/G38),4))</f>
        <v>0.60860000000000003</v>
      </c>
      <c r="H15" s="225"/>
      <c r="I15" s="225">
        <f>(ROUND(SUM(I14/I38),4))</f>
        <v>0.61839999999999995</v>
      </c>
      <c r="J15" s="226"/>
      <c r="K15" s="225">
        <f>(ROUND(SUM(K14/K38),4))</f>
        <v>0.60260000000000002</v>
      </c>
      <c r="L15" s="209"/>
      <c r="M15" s="227">
        <f>(ROUND(SUM(36208/M38),4))</f>
        <v>0.5948</v>
      </c>
      <c r="N15" s="209"/>
      <c r="O15" s="227">
        <f>(ROUND(SUM(38770/O38),4))</f>
        <v>0.60299999999999998</v>
      </c>
      <c r="P15" s="209"/>
      <c r="Q15" s="225">
        <f>(ROUND(SUM(Q14/Q38),4))</f>
        <v>0.60670000000000002</v>
      </c>
      <c r="R15" s="209"/>
      <c r="S15" s="225">
        <f>(ROUND(SUM(42960/S38),4))</f>
        <v>0.61639999999999995</v>
      </c>
      <c r="T15" s="209"/>
      <c r="U15" s="225">
        <f>(ROUND(SUM(U14/U38),4))</f>
        <v>0.61529999999999996</v>
      </c>
      <c r="V15" s="209"/>
      <c r="W15" s="225">
        <f>(ROUND(SUM(W14/W38),4))</f>
        <v>0.63009999999999999</v>
      </c>
      <c r="X15" s="228"/>
      <c r="Z15" s="223"/>
    </row>
    <row r="16" spans="1:26" ht="15">
      <c r="A16" s="216" t="s">
        <v>202</v>
      </c>
      <c r="B16" s="208"/>
      <c r="C16" s="208"/>
      <c r="D16" s="208" t="s">
        <v>6</v>
      </c>
      <c r="E16" s="229">
        <v>0.12230000000000001</v>
      </c>
      <c r="F16" s="225"/>
      <c r="G16" s="229">
        <f>ROUND(SUM(+G14-E14)/(E14),4)</f>
        <v>5.74E-2</v>
      </c>
      <c r="H16" s="225"/>
      <c r="I16" s="229">
        <f>ROUND(SUM(+I14-G14)/(G14),4)</f>
        <v>7.4999999999999997E-3</v>
      </c>
      <c r="J16" s="226"/>
      <c r="K16" s="229">
        <f>ROUND(SUM(+K14-I14)/(I14),4)</f>
        <v>-5.67E-2</v>
      </c>
      <c r="L16" s="209"/>
      <c r="M16" s="229">
        <f>ROUND(SUM(+M14-K14)/(K14),4)</f>
        <v>4.2000000000000003E-2</v>
      </c>
      <c r="N16" s="209"/>
      <c r="O16" s="229">
        <f>ROUND(SUM(+O14-M14)/(M14),4)</f>
        <v>7.0699999999999999E-2</v>
      </c>
      <c r="P16" s="209"/>
      <c r="Q16" s="229">
        <f>ROUND(SUM(+Q14-O14)/(O14),4)</f>
        <v>3.7600000000000001E-2</v>
      </c>
      <c r="R16" s="209"/>
      <c r="S16" s="229">
        <f>ROUND(SUM(+S14-Q14)/(Q14),3)</f>
        <v>6.8000000000000005E-2</v>
      </c>
      <c r="T16" s="209"/>
      <c r="U16" s="229">
        <f>ROUND(SUM(+U14-S14)/(S14),3)</f>
        <v>1.7000000000000001E-2</v>
      </c>
      <c r="V16" s="209"/>
      <c r="W16" s="229">
        <f>ROUND(SUM(+W14-U14)/(U14),3)</f>
        <v>7.6999999999999999E-2</v>
      </c>
      <c r="X16" s="228"/>
      <c r="Z16" s="223"/>
    </row>
    <row r="17" spans="1:26" ht="15">
      <c r="A17" s="216" t="s">
        <v>203</v>
      </c>
      <c r="B17" s="216"/>
      <c r="C17" s="208"/>
      <c r="D17" s="208" t="s">
        <v>6</v>
      </c>
      <c r="E17" s="230">
        <f>(ROUND(SUM(E14/19.3),4))</f>
        <v>1791.7098000000001</v>
      </c>
      <c r="F17" s="230"/>
      <c r="G17" s="230">
        <f>ROUND(SUM(G14/19.4),4)</f>
        <v>1884.7422999999999</v>
      </c>
      <c r="H17" s="230"/>
      <c r="I17" s="230">
        <f>ROUND(SUM(I14/19.5),4)</f>
        <v>1889.2308</v>
      </c>
      <c r="J17" s="231"/>
      <c r="K17" s="233">
        <f>ROUND(SUM(K14/19.5),4)</f>
        <v>1782.1025999999999</v>
      </c>
      <c r="L17" s="232"/>
      <c r="M17" s="230">
        <f>ROUND(SUM(M14/19.4),4)</f>
        <v>1866.4432999999999</v>
      </c>
      <c r="N17" s="232"/>
      <c r="O17" s="234">
        <f>ROUND(SUM(O14/19.5),4)</f>
        <v>1988.1025999999999</v>
      </c>
      <c r="P17" s="232"/>
      <c r="Q17" s="234">
        <f>ROUND(SUM(Q14/19.6),4)</f>
        <v>2052.3980000000001</v>
      </c>
      <c r="R17" s="232"/>
      <c r="S17" s="234">
        <f>ROUND(SUM(S14/19.7),4)</f>
        <v>2180.7613999999999</v>
      </c>
      <c r="T17" s="232"/>
      <c r="U17" s="234">
        <f>ROUND(SUM(U14/19.7),4)</f>
        <v>2218.7817</v>
      </c>
      <c r="V17" s="232"/>
      <c r="W17" s="234">
        <f>ROUND(SUM(W14/19.8),4)</f>
        <v>2376.5151999999998</v>
      </c>
      <c r="X17" s="222"/>
      <c r="Z17" s="223"/>
    </row>
    <row r="18" spans="1:26" ht="15">
      <c r="A18" s="208"/>
      <c r="B18" s="208"/>
      <c r="C18" s="208"/>
      <c r="D18" s="208"/>
      <c r="J18" s="211"/>
      <c r="O18" s="235"/>
      <c r="Q18" s="235"/>
      <c r="S18" s="235"/>
      <c r="U18" s="235"/>
      <c r="W18" s="235"/>
      <c r="X18" s="235"/>
    </row>
    <row r="19" spans="1:26" ht="15">
      <c r="A19" s="207" t="s">
        <v>204</v>
      </c>
      <c r="B19" s="208"/>
      <c r="C19" s="208"/>
      <c r="D19" s="208"/>
      <c r="O19" s="235"/>
      <c r="Q19" s="235"/>
      <c r="S19" s="235"/>
      <c r="U19" s="235"/>
      <c r="W19" s="235"/>
      <c r="X19" s="235"/>
    </row>
    <row r="20" spans="1:26" ht="15">
      <c r="A20" s="216" t="s">
        <v>205</v>
      </c>
      <c r="B20" s="208"/>
      <c r="C20" s="208"/>
      <c r="D20" s="208" t="s">
        <v>6</v>
      </c>
      <c r="E20" s="2205">
        <v>12629</v>
      </c>
      <c r="F20" s="111"/>
      <c r="G20" s="2205">
        <v>13197</v>
      </c>
      <c r="H20" s="111"/>
      <c r="I20" s="2205">
        <v>13237</v>
      </c>
      <c r="J20" s="111"/>
      <c r="K20" s="2205">
        <v>12852</v>
      </c>
      <c r="L20" s="232"/>
      <c r="M20" s="2205">
        <v>14205</v>
      </c>
      <c r="N20" s="232"/>
      <c r="O20" s="2204">
        <v>14571</v>
      </c>
      <c r="P20" s="232"/>
      <c r="Q20" s="2204">
        <v>14616</v>
      </c>
      <c r="R20" s="232"/>
      <c r="S20" s="234">
        <v>15100</v>
      </c>
      <c r="T20" s="232"/>
      <c r="U20" s="234">
        <v>15385</v>
      </c>
      <c r="V20" s="232"/>
      <c r="W20" s="234">
        <v>15725</v>
      </c>
      <c r="X20" s="237"/>
    </row>
    <row r="21" spans="1:26" ht="15">
      <c r="A21" s="216" t="s">
        <v>201</v>
      </c>
      <c r="B21" s="208"/>
      <c r="C21" s="208"/>
      <c r="D21" s="208" t="s">
        <v>6</v>
      </c>
      <c r="E21" s="226">
        <f>(ROUND(SUM(E20/E38),4))</f>
        <v>0.21809999999999999</v>
      </c>
      <c r="F21" s="224"/>
      <c r="G21" s="226">
        <f>(ROUND(SUM(G20/G38),4))</f>
        <v>0.21970000000000001</v>
      </c>
      <c r="H21" s="224"/>
      <c r="I21" s="226">
        <f>(ROUND(SUM(I20/I38),4))</f>
        <v>0.22220000000000001</v>
      </c>
      <c r="J21" s="224"/>
      <c r="K21" s="226">
        <f>(ROUND(SUM(K20/K38),4))</f>
        <v>0.22289999999999999</v>
      </c>
      <c r="M21" s="226">
        <f>(ROUND(SUM(M20/M38),4))</f>
        <v>0.2334</v>
      </c>
      <c r="O21" s="226">
        <f>(ROUND(SUM(O20/O38),4))</f>
        <v>0.2266</v>
      </c>
      <c r="Q21" s="238">
        <f>(ROUND(SUM(14615/Q38),4))</f>
        <v>0.22040000000000001</v>
      </c>
      <c r="S21" s="226">
        <f>(ROUND(SUM(S20/S38),4))</f>
        <v>0.2167</v>
      </c>
      <c r="U21" s="226">
        <f>(ROUND(SUM(U20/U38),4))</f>
        <v>0.21659999999999999</v>
      </c>
      <c r="W21" s="226">
        <f>(ROUND(SUM(W20/W38),4))</f>
        <v>0.21060000000000001</v>
      </c>
      <c r="X21" s="228"/>
    </row>
    <row r="22" spans="1:26" ht="15">
      <c r="A22" s="216" t="s">
        <v>206</v>
      </c>
      <c r="B22" s="208"/>
      <c r="C22" s="208"/>
      <c r="D22" s="208" t="s">
        <v>6</v>
      </c>
      <c r="E22" s="229">
        <v>-3.5499999999999997E-2</v>
      </c>
      <c r="F22" s="224"/>
      <c r="G22" s="229">
        <f>ROUND(SUM(+G20-E20)/(E20),4)</f>
        <v>4.4999999999999998E-2</v>
      </c>
      <c r="H22" s="224"/>
      <c r="I22" s="229">
        <f>ROUND(SUM(+I20-G20)/(G20),4)</f>
        <v>3.0000000000000001E-3</v>
      </c>
      <c r="J22" s="224"/>
      <c r="K22" s="229">
        <f>ROUND(SUM(+K20-I20)/(I20),4)</f>
        <v>-2.9100000000000001E-2</v>
      </c>
      <c r="M22" s="229">
        <f>ROUND(SUM(+M20-K20)/(K20),4)</f>
        <v>0.1053</v>
      </c>
      <c r="O22" s="229">
        <f>ROUND(SUM(+O20-M20)/(M20),4)</f>
        <v>2.58E-2</v>
      </c>
      <c r="Q22" s="229">
        <f>ROUND(SUM(+Q20-O20)/(O20),4)</f>
        <v>3.0999999999999999E-3</v>
      </c>
      <c r="S22" s="229">
        <f>ROUND(SUM(+S20-Q20)/(Q20),4)</f>
        <v>3.3099999999999997E-2</v>
      </c>
      <c r="U22" s="229">
        <f>ROUND(SUM(+U20-S20)/(S20),4)</f>
        <v>1.89E-2</v>
      </c>
      <c r="W22" s="229">
        <f>ROUND(SUM(+W20-U20)/(U20),4)</f>
        <v>2.2100000000000002E-2</v>
      </c>
      <c r="X22" s="228"/>
    </row>
    <row r="23" spans="1:26" ht="15">
      <c r="A23" s="216" t="s">
        <v>207</v>
      </c>
      <c r="B23" s="216"/>
      <c r="C23" s="208"/>
      <c r="D23" s="208" t="s">
        <v>6</v>
      </c>
      <c r="E23" s="230">
        <f>ROUND(SUM(E20/19.3),4)</f>
        <v>654.35230000000001</v>
      </c>
      <c r="F23" s="230"/>
      <c r="G23" s="230">
        <f>ROUND(SUM(G20/19.4),4)</f>
        <v>680.2577</v>
      </c>
      <c r="H23" s="230"/>
      <c r="I23" s="230">
        <f>ROUND(SUM(I20/19.5),4)</f>
        <v>678.82050000000004</v>
      </c>
      <c r="J23" s="230"/>
      <c r="K23" s="230">
        <f>ROUND(SUM(K20/19.5),4)</f>
        <v>659.07690000000002</v>
      </c>
      <c r="L23" s="232"/>
      <c r="M23" s="230">
        <f>ROUND(SUM(M20/19.4),4)</f>
        <v>732.2165</v>
      </c>
      <c r="N23" s="232"/>
      <c r="O23" s="230">
        <f>ROUND(SUM(O20/19.5),4)</f>
        <v>747.23080000000004</v>
      </c>
      <c r="P23" s="232"/>
      <c r="Q23" s="230">
        <f>ROUND(SUM(Q20/19.6),4)</f>
        <v>745.71429999999998</v>
      </c>
      <c r="R23" s="232"/>
      <c r="S23" s="230">
        <f>ROUND(SUM(S20/19.7),4)</f>
        <v>766.49749999999995</v>
      </c>
      <c r="T23" s="232"/>
      <c r="U23" s="230">
        <f>ROUND(SUM(U20/19.7),4)</f>
        <v>780.96450000000004</v>
      </c>
      <c r="V23" s="232"/>
      <c r="W23" s="230">
        <f>ROUND(SUM(W20/19.8),4)</f>
        <v>794.19190000000003</v>
      </c>
      <c r="X23" s="222"/>
    </row>
    <row r="24" spans="1:26" ht="15">
      <c r="A24" s="208"/>
      <c r="B24" s="208"/>
      <c r="C24" s="208"/>
      <c r="D24" s="208"/>
      <c r="O24" s="235"/>
      <c r="Q24" s="235"/>
      <c r="S24" s="235"/>
      <c r="U24" s="235"/>
      <c r="W24" s="235"/>
      <c r="X24" s="235"/>
    </row>
    <row r="25" spans="1:26" ht="15">
      <c r="A25" s="207" t="s">
        <v>208</v>
      </c>
      <c r="B25" s="208"/>
      <c r="C25" s="208"/>
      <c r="D25" s="208"/>
      <c r="O25" s="235"/>
      <c r="Q25" s="235"/>
      <c r="S25" s="235"/>
      <c r="U25" s="235"/>
      <c r="W25" s="235"/>
      <c r="X25" s="235"/>
    </row>
    <row r="26" spans="1:26" ht="15">
      <c r="A26" s="216" t="s">
        <v>209</v>
      </c>
      <c r="B26" s="208"/>
      <c r="C26" s="208"/>
      <c r="D26" s="208" t="s">
        <v>6</v>
      </c>
      <c r="E26" s="230">
        <v>8606</v>
      </c>
      <c r="F26" s="230"/>
      <c r="G26" s="230">
        <v>8231</v>
      </c>
      <c r="H26" s="230"/>
      <c r="I26" s="230">
        <v>7604</v>
      </c>
      <c r="J26" s="230"/>
      <c r="K26" s="230">
        <v>7458</v>
      </c>
      <c r="L26" s="232"/>
      <c r="M26" s="230">
        <v>7279</v>
      </c>
      <c r="N26" s="232"/>
      <c r="O26" s="234">
        <v>7878</v>
      </c>
      <c r="P26" s="232"/>
      <c r="Q26" s="234">
        <v>8463</v>
      </c>
      <c r="R26" s="232"/>
      <c r="S26" s="234">
        <v>8258</v>
      </c>
      <c r="T26" s="232"/>
      <c r="U26" s="234">
        <v>8502</v>
      </c>
      <c r="V26" s="232"/>
      <c r="W26" s="234">
        <v>7884</v>
      </c>
      <c r="X26" s="222"/>
    </row>
    <row r="27" spans="1:26" ht="15">
      <c r="A27" s="216" t="s">
        <v>201</v>
      </c>
      <c r="B27" s="208"/>
      <c r="C27" s="208"/>
      <c r="D27" s="208" t="s">
        <v>6</v>
      </c>
      <c r="E27" s="226">
        <f>(ROUND(SUM(E26/E38),4))</f>
        <v>0.14860000000000001</v>
      </c>
      <c r="F27" s="224"/>
      <c r="G27" s="226">
        <f>(ROUND(SUM(G26/G38),4))</f>
        <v>0.13700000000000001</v>
      </c>
      <c r="H27" s="224"/>
      <c r="I27" s="226">
        <f>(ROUND(SUM(I26/I38),4))</f>
        <v>0.12759999999999999</v>
      </c>
      <c r="J27" s="224"/>
      <c r="K27" s="226">
        <f>(ROUND(SUM(K26/K38),4))</f>
        <v>0.1293</v>
      </c>
      <c r="M27" s="226">
        <f>(ROUND(SUM(M26/M38),4))</f>
        <v>0.1196</v>
      </c>
      <c r="O27" s="226">
        <f>(ROUND(SUM(O26/O38),4))</f>
        <v>0.1225</v>
      </c>
      <c r="Q27" s="226">
        <f>(ROUND(SUM((Q26+1)/Q38),4))</f>
        <v>0.12770000000000001</v>
      </c>
      <c r="S27" s="226">
        <f>(ROUND(SUM(S26/S38),4))</f>
        <v>0.11849999999999999</v>
      </c>
      <c r="U27" s="226">
        <f>(ROUND(SUM(U26/U38),4))</f>
        <v>0.1197</v>
      </c>
      <c r="W27" s="226">
        <f>(ROUND(SUM(W26/W38),4))</f>
        <v>0.1056</v>
      </c>
      <c r="X27" s="228"/>
    </row>
    <row r="28" spans="1:26" ht="15">
      <c r="A28" s="216" t="s">
        <v>210</v>
      </c>
      <c r="B28" s="208"/>
      <c r="C28" s="208"/>
      <c r="D28" s="208" t="s">
        <v>6</v>
      </c>
      <c r="E28" s="229">
        <v>0.2142</v>
      </c>
      <c r="F28" s="224"/>
      <c r="G28" s="229">
        <f>ROUND(SUM(+G26-E26)/(E26),4)</f>
        <v>-4.36E-2</v>
      </c>
      <c r="H28" s="224"/>
      <c r="I28" s="229">
        <f>ROUND(SUM(+I26-G26)/(G26),4)</f>
        <v>-7.6200000000000004E-2</v>
      </c>
      <c r="J28" s="224"/>
      <c r="K28" s="229">
        <f>ROUND(SUM(+K26-I26)/(I26),4)</f>
        <v>-1.9199999999999998E-2</v>
      </c>
      <c r="M28" s="229">
        <f>ROUND(SUM(+M26-K26)/(K26),4)</f>
        <v>-2.4E-2</v>
      </c>
      <c r="O28" s="229">
        <f>ROUND(SUM(+O26-M26)/(M26),4)</f>
        <v>8.2299999999999998E-2</v>
      </c>
      <c r="Q28" s="229">
        <f>ROUND(SUM(+Q26-O26)/(O26),4)</f>
        <v>7.4300000000000005E-2</v>
      </c>
      <c r="S28" s="229">
        <f>ROUND(SUM(+S26-Q26)/(Q26),4)</f>
        <v>-2.4199999999999999E-2</v>
      </c>
      <c r="U28" s="229">
        <f>ROUND(SUM(+U26-S26)/(S26),4)</f>
        <v>2.9499999999999998E-2</v>
      </c>
      <c r="W28" s="229">
        <f>ROUND(SUM(+W26-U26)/(U26),4)</f>
        <v>-7.2700000000000001E-2</v>
      </c>
      <c r="X28" s="228"/>
    </row>
    <row r="29" spans="1:26" ht="15">
      <c r="A29" s="216" t="s">
        <v>211</v>
      </c>
      <c r="B29" s="216"/>
      <c r="C29" s="208"/>
      <c r="D29" s="208" t="s">
        <v>6</v>
      </c>
      <c r="E29" s="230">
        <f>ROUND(SUM(E26/19.3),4)</f>
        <v>445.9067</v>
      </c>
      <c r="F29" s="230"/>
      <c r="G29" s="230">
        <f>ROUND(SUM(G26/19.4),4)</f>
        <v>424.27839999999998</v>
      </c>
      <c r="H29" s="230"/>
      <c r="I29" s="230">
        <f>ROUND(SUM(I26/19.5),4)</f>
        <v>389.94869999999997</v>
      </c>
      <c r="J29" s="230"/>
      <c r="K29" s="230">
        <f>ROUND(SUM(K26/19.5),4)</f>
        <v>382.4615</v>
      </c>
      <c r="L29" s="232"/>
      <c r="M29" s="230">
        <f>ROUND(SUM(M26/19.4),4)</f>
        <v>375.20620000000002</v>
      </c>
      <c r="N29" s="232"/>
      <c r="O29" s="230">
        <f>ROUND(SUM(O26/19.5),4)</f>
        <v>404</v>
      </c>
      <c r="P29" s="232"/>
      <c r="Q29" s="230">
        <f>ROUND(SUM(Q26/19.6),4)</f>
        <v>431.78570000000002</v>
      </c>
      <c r="R29" s="232"/>
      <c r="S29" s="230">
        <f>ROUND(SUM(S26/19.7),4)</f>
        <v>419.18779999999998</v>
      </c>
      <c r="T29" s="232"/>
      <c r="U29" s="230">
        <f>ROUND(SUM(U26/19.7),4)</f>
        <v>431.5736</v>
      </c>
      <c r="V29" s="232"/>
      <c r="W29" s="230">
        <f>ROUND(SUM(W26/19.8),4)</f>
        <v>398.18180000000001</v>
      </c>
      <c r="X29" s="222"/>
    </row>
    <row r="30" spans="1:26" ht="15">
      <c r="A30" s="208"/>
      <c r="B30" s="208"/>
      <c r="C30" s="208"/>
      <c r="D30" s="208"/>
      <c r="O30" s="235"/>
      <c r="Q30" s="235"/>
      <c r="S30" s="235"/>
      <c r="U30" s="235"/>
      <c r="W30" s="235"/>
      <c r="X30" s="235"/>
    </row>
    <row r="31" spans="1:26" ht="15">
      <c r="A31" s="207" t="s">
        <v>212</v>
      </c>
      <c r="B31" s="208"/>
      <c r="C31" s="208"/>
      <c r="D31" s="208"/>
      <c r="O31" s="235"/>
      <c r="Q31" s="235"/>
      <c r="S31" s="235"/>
      <c r="U31" s="235"/>
      <c r="W31" s="235"/>
      <c r="X31" s="235"/>
    </row>
    <row r="32" spans="1:26" ht="15">
      <c r="A32" s="216" t="s">
        <v>213</v>
      </c>
      <c r="B32" s="208"/>
      <c r="C32" s="208"/>
      <c r="D32" s="208" t="s">
        <v>6</v>
      </c>
      <c r="E32" s="230">
        <v>2097</v>
      </c>
      <c r="F32" s="230"/>
      <c r="G32" s="230">
        <v>2083</v>
      </c>
      <c r="H32" s="230"/>
      <c r="I32" s="230">
        <v>1890</v>
      </c>
      <c r="J32" s="230"/>
      <c r="K32" s="230">
        <v>2606</v>
      </c>
      <c r="L32" s="232"/>
      <c r="M32" s="230">
        <v>3177</v>
      </c>
      <c r="N32" s="232"/>
      <c r="O32" s="234">
        <v>3082</v>
      </c>
      <c r="P32" s="232"/>
      <c r="Q32" s="234">
        <v>2994</v>
      </c>
      <c r="R32" s="232"/>
      <c r="S32" s="234">
        <v>3371</v>
      </c>
      <c r="T32" s="232"/>
      <c r="U32" s="234">
        <v>3437</v>
      </c>
      <c r="V32" s="232"/>
      <c r="W32" s="234">
        <v>4009</v>
      </c>
      <c r="X32" s="222"/>
    </row>
    <row r="33" spans="1:24" ht="15">
      <c r="A33" s="216" t="s">
        <v>201</v>
      </c>
      <c r="B33" s="208"/>
      <c r="C33" s="208"/>
      <c r="D33" s="208" t="s">
        <v>6</v>
      </c>
      <c r="E33" s="226">
        <f>(ROUND(SUM(E32/E38),4))</f>
        <v>3.6200000000000003E-2</v>
      </c>
      <c r="F33" s="224"/>
      <c r="G33" s="226">
        <f>(ROUND(SUM(G32/G38),4))</f>
        <v>3.4700000000000002E-2</v>
      </c>
      <c r="H33" s="224"/>
      <c r="I33" s="226">
        <f>(ROUND(SUM(1892/I38),4))</f>
        <v>3.1800000000000002E-2</v>
      </c>
      <c r="J33" s="224"/>
      <c r="K33" s="226">
        <f>(ROUND(SUM(K32/K38),4))</f>
        <v>4.5199999999999997E-2</v>
      </c>
      <c r="M33" s="226">
        <f>(ROUND(SUM(M32/M38),4))</f>
        <v>5.2200000000000003E-2</v>
      </c>
      <c r="O33" s="226">
        <f>(ROUND(SUM(O32/O38),4))</f>
        <v>4.7899999999999998E-2</v>
      </c>
      <c r="Q33" s="226">
        <f>(ROUND(SUM(Q32/Q38),4))</f>
        <v>4.5199999999999997E-2</v>
      </c>
      <c r="S33" s="226">
        <f>(ROUND(SUM((S32)/S38),4))</f>
        <v>4.8399999999999999E-2</v>
      </c>
      <c r="U33" s="226">
        <f>(ROUND(SUM((U32)/U38),4))</f>
        <v>4.8399999999999999E-2</v>
      </c>
      <c r="W33" s="226">
        <f>(ROUND(SUM((W32)/W38),4))</f>
        <v>5.3699999999999998E-2</v>
      </c>
      <c r="X33" s="228"/>
    </row>
    <row r="34" spans="1:24" ht="15">
      <c r="A34" s="216" t="s">
        <v>214</v>
      </c>
      <c r="B34" s="208"/>
      <c r="C34" s="208"/>
      <c r="D34" s="208" t="s">
        <v>6</v>
      </c>
      <c r="E34" s="229">
        <v>0.1522</v>
      </c>
      <c r="F34" s="224"/>
      <c r="G34" s="229">
        <f>ROUND(SUM(+G32-E32)/(E32),4)</f>
        <v>-6.7000000000000002E-3</v>
      </c>
      <c r="H34" s="224"/>
      <c r="I34" s="229">
        <f>ROUND(SUM(+I32-G32)/(G32),4)</f>
        <v>-9.2700000000000005E-2</v>
      </c>
      <c r="J34" s="224"/>
      <c r="K34" s="229">
        <f>ROUND(SUM(+K32-I32)/(I32),4)</f>
        <v>0.37880000000000003</v>
      </c>
      <c r="M34" s="229">
        <f>ROUND(SUM(+M32-K32)/(K32),4)</f>
        <v>0.21909999999999999</v>
      </c>
      <c r="O34" s="229">
        <f>ROUND(SUM(+O32-M32)/(M32),4)</f>
        <v>-2.9899999999999999E-2</v>
      </c>
      <c r="Q34" s="229">
        <f>ROUND(SUM(+Q32-O32)/(O32),4)</f>
        <v>-2.86E-2</v>
      </c>
      <c r="S34" s="229">
        <f>ROUND(SUM(+S32-Q32)/(Q32),4)</f>
        <v>0.12590000000000001</v>
      </c>
      <c r="U34" s="229">
        <f>ROUND(SUM(+U32-S32)/(S32),4)</f>
        <v>1.9599999999999999E-2</v>
      </c>
      <c r="W34" s="229">
        <f>ROUND(SUM(+W32-U32)/(U32),4)</f>
        <v>0.16639999999999999</v>
      </c>
      <c r="X34" s="228"/>
    </row>
    <row r="35" spans="1:24" ht="15">
      <c r="A35" s="216" t="s">
        <v>211</v>
      </c>
      <c r="B35" s="216"/>
      <c r="C35" s="208"/>
      <c r="D35" s="208" t="s">
        <v>6</v>
      </c>
      <c r="E35" s="230">
        <f>ROUND(SUM(E32/19.3),4)</f>
        <v>108.6528</v>
      </c>
      <c r="F35" s="230"/>
      <c r="G35" s="230">
        <f>ROUND(SUM(G32/19.4),4)</f>
        <v>107.3711</v>
      </c>
      <c r="H35" s="230"/>
      <c r="I35" s="230">
        <f>ROUND(SUM(I32/19.5),4)</f>
        <v>96.923100000000005</v>
      </c>
      <c r="J35" s="230"/>
      <c r="K35" s="230">
        <f>ROUND(SUM(K32/19.5),4)</f>
        <v>133.64099999999999</v>
      </c>
      <c r="L35" s="232"/>
      <c r="M35" s="230">
        <f>ROUND(SUM(M32/19.4),4)</f>
        <v>163.7629</v>
      </c>
      <c r="N35" s="232"/>
      <c r="O35" s="230">
        <f>ROUND(SUM(O32/19.5),4)</f>
        <v>158.0513</v>
      </c>
      <c r="P35" s="232"/>
      <c r="Q35" s="230">
        <f>ROUND(SUM(Q32/19.6),4)</f>
        <v>152.7551</v>
      </c>
      <c r="R35" s="232"/>
      <c r="S35" s="230">
        <f>ROUND(SUM(S32/19.7),4)</f>
        <v>171.11680000000001</v>
      </c>
      <c r="T35" s="232"/>
      <c r="U35" s="230">
        <f>ROUND(SUM(U32/19.7),4)</f>
        <v>174.46700000000001</v>
      </c>
      <c r="V35" s="232"/>
      <c r="W35" s="230">
        <f>ROUND(SUM(W32/19.8),4)</f>
        <v>202.47470000000001</v>
      </c>
      <c r="X35" s="222"/>
    </row>
    <row r="36" spans="1:24" ht="15">
      <c r="A36" s="208"/>
      <c r="B36" s="208"/>
      <c r="C36" s="208"/>
      <c r="D36" s="239"/>
      <c r="M36" s="240"/>
      <c r="N36" s="240"/>
      <c r="O36" s="241"/>
      <c r="P36" s="240"/>
      <c r="Q36" s="242"/>
      <c r="S36" s="241"/>
      <c r="U36" s="241"/>
      <c r="W36" s="241"/>
      <c r="X36" s="242"/>
    </row>
    <row r="37" spans="1:24" ht="15">
      <c r="A37" s="207" t="s">
        <v>215</v>
      </c>
      <c r="B37" s="208"/>
      <c r="C37" s="208"/>
      <c r="D37" s="239"/>
      <c r="E37" s="243"/>
      <c r="F37" s="243"/>
      <c r="G37" s="243"/>
      <c r="H37" s="243"/>
      <c r="I37" s="243"/>
      <c r="J37" s="243"/>
      <c r="K37" s="243"/>
      <c r="L37" s="244"/>
      <c r="O37" s="235"/>
      <c r="Q37" s="245"/>
      <c r="R37" s="244"/>
      <c r="S37" s="235"/>
      <c r="T37" s="244"/>
      <c r="U37" s="235"/>
      <c r="V37" s="244"/>
      <c r="W37" s="235"/>
      <c r="X37" s="235"/>
    </row>
    <row r="38" spans="1:24" ht="15">
      <c r="A38" s="246" t="s">
        <v>216</v>
      </c>
      <c r="B38" s="207"/>
      <c r="C38" s="207"/>
      <c r="D38" s="207" t="s">
        <v>6</v>
      </c>
      <c r="E38" s="248">
        <f>E14+E20+E26+E32</f>
        <v>57912</v>
      </c>
      <c r="F38" s="248"/>
      <c r="G38" s="248">
        <f>G14+G20+G26+G32</f>
        <v>60075</v>
      </c>
      <c r="H38" s="248"/>
      <c r="I38" s="248">
        <f>I14+I20+I26+I32</f>
        <v>59571</v>
      </c>
      <c r="J38" s="248"/>
      <c r="K38" s="248">
        <f>K14+K20+K26+K32</f>
        <v>57667</v>
      </c>
      <c r="L38" s="148"/>
      <c r="M38" s="248">
        <f>M14+M20+M26+M32</f>
        <v>60870</v>
      </c>
      <c r="N38" s="248"/>
      <c r="O38" s="249">
        <f>O14+O20+O26+O32</f>
        <v>64299</v>
      </c>
      <c r="P38" s="248"/>
      <c r="Q38" s="249">
        <f>Q14+Q20+Q26+Q32</f>
        <v>66300</v>
      </c>
      <c r="R38" s="148"/>
      <c r="S38" s="249">
        <f>S14+S20+S26+S32</f>
        <v>69690</v>
      </c>
      <c r="T38" s="148"/>
      <c r="U38" s="249">
        <f>U14+U20+U26+U32</f>
        <v>71034</v>
      </c>
      <c r="V38" s="148"/>
      <c r="W38" s="249">
        <f>W14+W20+W26+W32</f>
        <v>74673</v>
      </c>
      <c r="X38" s="222"/>
    </row>
    <row r="39" spans="1:24" ht="15">
      <c r="A39" s="246" t="s">
        <v>201</v>
      </c>
      <c r="B39" s="207"/>
      <c r="C39" s="207"/>
      <c r="D39" s="207" t="s">
        <v>6</v>
      </c>
      <c r="E39" s="250">
        <f>E15+E21+E27+E33</f>
        <v>1</v>
      </c>
      <c r="F39" s="250"/>
      <c r="G39" s="250">
        <f>G15+G21+G27+G33</f>
        <v>1</v>
      </c>
      <c r="H39" s="250"/>
      <c r="I39" s="250">
        <f>I15+I21+I27+I33</f>
        <v>1</v>
      </c>
      <c r="J39" s="250"/>
      <c r="K39" s="250">
        <f>K15+K21+K27+K33</f>
        <v>1</v>
      </c>
      <c r="L39" s="2"/>
      <c r="M39" s="250">
        <f>M15+M21+M27+M33</f>
        <v>1</v>
      </c>
      <c r="N39" s="250"/>
      <c r="O39" s="251">
        <f>O15+O21+O27+O33</f>
        <v>1</v>
      </c>
      <c r="P39" s="250"/>
      <c r="Q39" s="251">
        <f>Q15+Q21+Q27+Q33</f>
        <v>1</v>
      </c>
      <c r="R39" s="2"/>
      <c r="S39" s="251">
        <f>S15+S21+S27+S33</f>
        <v>1</v>
      </c>
      <c r="T39" s="2"/>
      <c r="U39" s="251">
        <f>U15+U21+U27+U33</f>
        <v>1</v>
      </c>
      <c r="V39" s="2"/>
      <c r="W39" s="251">
        <f>W15+W21+W27+W33</f>
        <v>1</v>
      </c>
      <c r="X39" s="228"/>
    </row>
    <row r="40" spans="1:24" ht="15">
      <c r="A40" s="246" t="s">
        <v>217</v>
      </c>
      <c r="B40" s="207"/>
      <c r="C40" s="207"/>
      <c r="D40" s="207" t="s">
        <v>6</v>
      </c>
      <c r="E40" s="250">
        <v>9.6500000000000002E-2</v>
      </c>
      <c r="F40" s="250"/>
      <c r="G40" s="250">
        <f>ROUND(SUM(G38-E38)/(E38),4)</f>
        <v>3.73E-2</v>
      </c>
      <c r="H40" s="250"/>
      <c r="I40" s="250">
        <f>ROUND(SUM(I38-G38)/(G38),4)</f>
        <v>-8.3999999999999995E-3</v>
      </c>
      <c r="J40" s="250"/>
      <c r="K40" s="250">
        <f>ROUND(SUM(-3.2%),4)</f>
        <v>-3.2000000000000001E-2</v>
      </c>
      <c r="L40" s="2"/>
      <c r="M40" s="250">
        <f>ROUND(SUM(+M38-K38)/(K38),4)</f>
        <v>5.5500000000000001E-2</v>
      </c>
      <c r="N40" s="250"/>
      <c r="O40" s="250">
        <f>ROUND(SUM(+O38-M38)/(M38),4)</f>
        <v>5.6300000000000003E-2</v>
      </c>
      <c r="P40" s="250"/>
      <c r="Q40" s="250">
        <f>ROUND(SUM(+Q38-O38)/(O38),4)</f>
        <v>3.1099999999999999E-2</v>
      </c>
      <c r="R40" s="2"/>
      <c r="S40" s="250">
        <f>ROUND(SUM(+S38-Q38)/(Q38),4)</f>
        <v>5.11E-2</v>
      </c>
      <c r="T40" s="2"/>
      <c r="U40" s="250">
        <f>ROUND(SUM(+U38-S38)/(S38),4)</f>
        <v>1.9300000000000001E-2</v>
      </c>
      <c r="V40" s="2"/>
      <c r="W40" s="250">
        <f>ROUND(SUM(+W38-U38)/(U38),4)</f>
        <v>5.1200000000000002E-2</v>
      </c>
      <c r="X40" s="228"/>
    </row>
    <row r="41" spans="1:24" ht="15">
      <c r="A41" s="246" t="s">
        <v>218</v>
      </c>
      <c r="B41" s="246"/>
      <c r="C41" s="207"/>
      <c r="D41" s="207" t="s">
        <v>6</v>
      </c>
      <c r="E41" s="248">
        <f>ROUND(SUM(E38/19.3),4)</f>
        <v>3000.6217999999999</v>
      </c>
      <c r="F41" s="248"/>
      <c r="G41" s="248">
        <f>ROUND(SUM(G38/19.4),4)</f>
        <v>3096.6495</v>
      </c>
      <c r="H41" s="248"/>
      <c r="I41" s="248">
        <f>ROUND(SUM(I38/19.5),4)</f>
        <v>3054.9231</v>
      </c>
      <c r="J41" s="248"/>
      <c r="K41" s="248">
        <f>ROUND(SUM(K38/19.5),4)</f>
        <v>2957.2820999999999</v>
      </c>
      <c r="L41" s="148"/>
      <c r="M41" s="248">
        <f>ROUND(SUM((M38-3)/19.4),4)</f>
        <v>3137.4742000000001</v>
      </c>
      <c r="N41" s="248"/>
      <c r="O41" s="248">
        <f>ROUND(SUM(O38/19.5),4)</f>
        <v>3297.3845999999999</v>
      </c>
      <c r="P41" s="248"/>
      <c r="Q41" s="248">
        <f>ROUND(SUM(Q38/19.6),4)</f>
        <v>3382.6531</v>
      </c>
      <c r="R41" s="148"/>
      <c r="S41" s="248">
        <f>ROUND(SUM((S38-2)/19.7),4)</f>
        <v>3537.4618999999998</v>
      </c>
      <c r="T41" s="148"/>
      <c r="U41" s="248">
        <f>ROUND(SUM((U38-2)/19.7),4)</f>
        <v>3605.6853000000001</v>
      </c>
      <c r="V41" s="148"/>
      <c r="W41" s="248">
        <f>ROUND(SUM((W38)/19.8),4)</f>
        <v>3771.3636000000001</v>
      </c>
      <c r="X41" s="222"/>
    </row>
    <row r="42" spans="1:24" ht="16" thickBot="1">
      <c r="A42" s="252"/>
      <c r="D42" s="211"/>
      <c r="G42" s="254"/>
      <c r="I42" s="254"/>
      <c r="K42" s="254"/>
      <c r="M42" s="254"/>
      <c r="N42" s="254"/>
      <c r="O42" s="254"/>
      <c r="P42" s="254"/>
      <c r="Q42" s="254"/>
      <c r="R42" s="254"/>
      <c r="S42" s="254"/>
      <c r="T42" s="254"/>
      <c r="U42" s="255"/>
      <c r="V42" s="254"/>
      <c r="W42" s="255"/>
      <c r="X42" s="242"/>
    </row>
    <row r="43" spans="1:24" ht="13" thickTop="1">
      <c r="A43" s="204"/>
      <c r="B43" s="204"/>
      <c r="C43" s="204"/>
      <c r="D43" s="256"/>
      <c r="E43" s="257"/>
      <c r="F43" s="257"/>
      <c r="G43" s="257"/>
      <c r="H43" s="257"/>
      <c r="J43" s="257"/>
      <c r="L43" s="257"/>
      <c r="N43" s="257"/>
    </row>
    <row r="44" spans="1:24">
      <c r="A44" s="258" t="s">
        <v>219</v>
      </c>
    </row>
    <row r="45" spans="1:24">
      <c r="A45" s="71" t="s">
        <v>6</v>
      </c>
      <c r="B45" s="99"/>
    </row>
    <row r="46" spans="1:24">
      <c r="A46" s="71" t="s">
        <v>6</v>
      </c>
      <c r="B46" s="99"/>
    </row>
    <row r="47" spans="1:24">
      <c r="A47" s="259"/>
    </row>
    <row r="48" spans="1:24">
      <c r="A48" s="71"/>
    </row>
    <row r="54" spans="3:4">
      <c r="D54" s="253"/>
    </row>
    <row r="56" spans="3:4">
      <c r="C56" s="260"/>
    </row>
    <row r="57" spans="3:4">
      <c r="C57" s="261"/>
    </row>
    <row r="58" spans="3:4">
      <c r="C58" s="261"/>
    </row>
    <row r="59" spans="3:4">
      <c r="C59" s="260"/>
    </row>
    <row r="60" spans="3:4">
      <c r="D60" s="253"/>
    </row>
    <row r="62" spans="3:4">
      <c r="C62" s="260"/>
    </row>
    <row r="63" spans="3:4">
      <c r="C63" s="261"/>
    </row>
    <row r="64" spans="3:4">
      <c r="C64" s="261"/>
    </row>
    <row r="65" spans="3:4">
      <c r="C65" s="260"/>
    </row>
    <row r="66" spans="3:4">
      <c r="D66" s="253"/>
    </row>
    <row r="68" spans="3:4">
      <c r="C68" s="260"/>
    </row>
    <row r="69" spans="3:4">
      <c r="C69" s="261"/>
    </row>
    <row r="70" spans="3:4">
      <c r="C70" s="261"/>
    </row>
    <row r="71" spans="3:4">
      <c r="C71" s="260"/>
    </row>
    <row r="72" spans="3:4">
      <c r="D72" s="253"/>
    </row>
    <row r="74" spans="3:4">
      <c r="C74" s="260"/>
    </row>
    <row r="75" spans="3:4">
      <c r="C75" s="261"/>
    </row>
    <row r="76" spans="3:4">
      <c r="C76" s="261"/>
    </row>
    <row r="77" spans="3:4">
      <c r="C77" s="260"/>
    </row>
    <row r="78" spans="3:4">
      <c r="D78" s="253"/>
    </row>
    <row r="80" spans="3:4">
      <c r="C80" s="260"/>
    </row>
    <row r="81" spans="3:3">
      <c r="C81" s="261"/>
    </row>
    <row r="82" spans="3:3">
      <c r="C82" s="261"/>
    </row>
    <row r="83" spans="3:3">
      <c r="C83" s="260"/>
    </row>
  </sheetData>
  <pageMargins left="0.6" right="0.5" top="1" bottom="0.25" header="0" footer="0.25"/>
  <pageSetup scale="72" orientation="landscape"/>
  <headerFooter scaleWithDoc="0">
    <oddFooter>&amp;R&amp;8 71</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showGridLines="0" showOutlineSymbols="0" zoomScale="80" zoomScaleNormal="80" zoomScalePageLayoutView="80" workbookViewId="0"/>
  </sheetViews>
  <sheetFormatPr baseColWidth="10" defaultColWidth="8.85546875" defaultRowHeight="12" x14ac:dyDescent="0"/>
  <cols>
    <col min="1" max="1" width="55.5703125" style="264" customWidth="1"/>
    <col min="2" max="2" width="2.5703125" style="264" customWidth="1"/>
    <col min="3" max="3" width="12.42578125" style="264" customWidth="1"/>
    <col min="4" max="4" width="2.5703125" style="264" customWidth="1"/>
    <col min="5" max="5" width="12.140625" style="264" customWidth="1"/>
    <col min="6" max="6" width="2.5703125" style="264" customWidth="1"/>
    <col min="7" max="7" width="12.140625" style="264" customWidth="1"/>
    <col min="8" max="8" width="2.5703125" style="264" customWidth="1"/>
    <col min="9" max="9" width="12.85546875" style="264" customWidth="1"/>
    <col min="10" max="10" width="2.5703125" style="264" customWidth="1"/>
    <col min="11" max="11" width="12.85546875" style="264" customWidth="1"/>
    <col min="12" max="12" width="2.5703125" style="264" customWidth="1"/>
    <col min="13" max="13" width="12.85546875" style="264" customWidth="1"/>
    <col min="14" max="14" width="2.5703125" style="264" customWidth="1"/>
    <col min="15" max="15" width="12.85546875" style="264" customWidth="1"/>
    <col min="16" max="16" width="2.5703125" style="264" customWidth="1"/>
    <col min="17" max="17" width="12.42578125" style="264" customWidth="1"/>
    <col min="18" max="18" width="2.5703125" style="264" customWidth="1"/>
    <col min="19" max="19" width="12.42578125" style="264" customWidth="1"/>
    <col min="20" max="20" width="2.5703125" style="264" customWidth="1"/>
    <col min="21" max="21" width="12.42578125" style="264" customWidth="1"/>
    <col min="22" max="22" width="14.42578125" style="264" customWidth="1"/>
    <col min="23" max="16384" width="8.85546875" style="264"/>
  </cols>
  <sheetData>
    <row r="1" spans="1:21" ht="15" customHeight="1">
      <c r="A1" s="1582" t="s">
        <v>1443</v>
      </c>
    </row>
    <row r="3" spans="1:21" ht="20.25" customHeight="1">
      <c r="A3" s="262" t="s">
        <v>0</v>
      </c>
      <c r="B3" s="263"/>
    </row>
    <row r="4" spans="1:21" ht="18" customHeight="1">
      <c r="A4" s="262" t="s">
        <v>220</v>
      </c>
      <c r="B4" s="263"/>
    </row>
    <row r="5" spans="1:21" ht="18" customHeight="1">
      <c r="A5" s="262" t="s">
        <v>221</v>
      </c>
      <c r="B5" s="263"/>
      <c r="E5" s="265"/>
      <c r="G5" s="265"/>
      <c r="H5" s="265"/>
      <c r="I5" s="265"/>
      <c r="J5" s="265"/>
      <c r="K5" s="266"/>
      <c r="L5" s="265"/>
      <c r="Q5" s="266"/>
      <c r="S5" s="266"/>
      <c r="U5" s="266" t="s">
        <v>222</v>
      </c>
    </row>
    <row r="6" spans="1:21" ht="18.75" customHeight="1">
      <c r="A6" s="262" t="s">
        <v>223</v>
      </c>
      <c r="B6" s="263"/>
    </row>
    <row r="7" spans="1:21" ht="28" customHeight="1">
      <c r="A7" s="267" t="s">
        <v>2591</v>
      </c>
      <c r="B7" s="268"/>
      <c r="I7" s="269"/>
    </row>
    <row r="8" spans="1:21" ht="18" customHeight="1">
      <c r="A8" s="270" t="s">
        <v>132</v>
      </c>
      <c r="B8" s="263"/>
    </row>
    <row r="9" spans="1:21" ht="14" customHeight="1">
      <c r="A9" s="271"/>
      <c r="B9" s="271"/>
      <c r="Q9" s="272"/>
      <c r="S9" s="272"/>
      <c r="U9" s="272"/>
    </row>
    <row r="10" spans="1:21" ht="14" customHeight="1">
      <c r="A10" s="271"/>
      <c r="B10" s="271"/>
      <c r="C10" s="273" t="s">
        <v>91</v>
      </c>
      <c r="D10" s="274"/>
      <c r="E10" s="273" t="s">
        <v>92</v>
      </c>
      <c r="F10" s="274"/>
      <c r="G10" s="273" t="s">
        <v>93</v>
      </c>
      <c r="H10" s="274"/>
      <c r="I10" s="275" t="s">
        <v>94</v>
      </c>
      <c r="J10" s="273"/>
      <c r="K10" s="275" t="s">
        <v>95</v>
      </c>
      <c r="L10" s="274"/>
      <c r="M10" s="276" t="s">
        <v>96</v>
      </c>
      <c r="N10" s="274"/>
      <c r="O10" s="276" t="s">
        <v>10</v>
      </c>
      <c r="P10" s="274"/>
      <c r="Q10" s="276" t="s">
        <v>9</v>
      </c>
      <c r="R10" s="274"/>
      <c r="S10" s="1651" t="s">
        <v>1917</v>
      </c>
      <c r="T10" s="274"/>
      <c r="U10" s="1651" t="s">
        <v>2584</v>
      </c>
    </row>
    <row r="11" spans="1:21" ht="14" customHeight="1">
      <c r="A11" s="270" t="s">
        <v>224</v>
      </c>
      <c r="B11" s="271"/>
      <c r="C11" s="277"/>
      <c r="D11" s="278"/>
      <c r="E11" s="277"/>
      <c r="F11" s="278"/>
      <c r="G11" s="277"/>
      <c r="H11" s="278"/>
      <c r="I11" s="277"/>
      <c r="J11" s="278"/>
      <c r="L11" s="278"/>
      <c r="N11" s="278"/>
      <c r="P11" s="278"/>
      <c r="R11" s="278"/>
      <c r="T11" s="278"/>
    </row>
    <row r="12" spans="1:21" ht="14" customHeight="1">
      <c r="A12" s="1852" t="s">
        <v>253</v>
      </c>
      <c r="B12" s="280" t="s">
        <v>6</v>
      </c>
      <c r="C12" s="281">
        <v>34579991</v>
      </c>
      <c r="D12" s="282"/>
      <c r="E12" s="281">
        <v>36563949</v>
      </c>
      <c r="F12" s="282"/>
      <c r="G12" s="281">
        <v>36840020</v>
      </c>
      <c r="H12" s="283"/>
      <c r="I12" s="281">
        <v>34751381</v>
      </c>
      <c r="J12" s="283"/>
      <c r="K12" s="281">
        <v>36209215</v>
      </c>
      <c r="L12" s="283"/>
      <c r="M12" s="281">
        <v>38767827</v>
      </c>
      <c r="N12" s="283"/>
      <c r="O12" s="281">
        <v>40226715</v>
      </c>
      <c r="P12" s="283"/>
      <c r="Q12" s="281">
        <v>42960775</v>
      </c>
      <c r="R12" s="283"/>
      <c r="S12" s="281">
        <v>43709833</v>
      </c>
      <c r="T12" s="283"/>
      <c r="U12" s="281">
        <v>47055283</v>
      </c>
    </row>
    <row r="13" spans="1:21" ht="14" customHeight="1">
      <c r="A13" s="284" t="s">
        <v>225</v>
      </c>
      <c r="B13" s="285" t="s">
        <v>6</v>
      </c>
      <c r="C13" s="286">
        <v>12629043</v>
      </c>
      <c r="E13" s="286">
        <v>13196811</v>
      </c>
      <c r="F13" s="287"/>
      <c r="G13" s="286">
        <v>13237159</v>
      </c>
      <c r="H13" s="287"/>
      <c r="I13" s="286">
        <v>12852087</v>
      </c>
      <c r="J13" s="287"/>
      <c r="K13" s="286">
        <v>14204729</v>
      </c>
      <c r="L13" s="287"/>
      <c r="M13" s="286">
        <v>14570974</v>
      </c>
      <c r="N13" s="287"/>
      <c r="O13" s="286">
        <v>14615573</v>
      </c>
      <c r="P13" s="287"/>
      <c r="Q13" s="286">
        <v>15099865</v>
      </c>
      <c r="R13" s="287"/>
      <c r="S13" s="286">
        <v>15384984</v>
      </c>
      <c r="T13" s="287"/>
      <c r="U13" s="286">
        <v>15725343</v>
      </c>
    </row>
    <row r="14" spans="1:21" ht="14" customHeight="1">
      <c r="A14" s="288" t="s">
        <v>226</v>
      </c>
      <c r="B14" s="280" t="s">
        <v>6</v>
      </c>
      <c r="C14" s="286">
        <v>8605735</v>
      </c>
      <c r="E14" s="286">
        <v>8230707</v>
      </c>
      <c r="F14" s="287"/>
      <c r="G14" s="286">
        <v>7604443</v>
      </c>
      <c r="H14" s="287"/>
      <c r="I14" s="286">
        <v>7458092</v>
      </c>
      <c r="J14" s="287"/>
      <c r="K14" s="286">
        <v>7279115</v>
      </c>
      <c r="L14" s="287"/>
      <c r="M14" s="286">
        <v>7877878</v>
      </c>
      <c r="N14" s="287"/>
      <c r="O14" s="286">
        <v>8463420</v>
      </c>
      <c r="P14" s="287"/>
      <c r="Q14" s="286">
        <v>8257888</v>
      </c>
      <c r="R14" s="287"/>
      <c r="S14" s="286">
        <v>8502645</v>
      </c>
      <c r="T14" s="287"/>
      <c r="U14" s="286">
        <v>7883743</v>
      </c>
    </row>
    <row r="15" spans="1:21" ht="14" customHeight="1">
      <c r="A15" s="288" t="s">
        <v>227</v>
      </c>
      <c r="B15" s="280" t="s">
        <v>6</v>
      </c>
      <c r="C15" s="286">
        <v>2097406</v>
      </c>
      <c r="E15" s="286">
        <v>2083299</v>
      </c>
      <c r="F15" s="287"/>
      <c r="G15" s="286">
        <v>1889571</v>
      </c>
      <c r="H15" s="287"/>
      <c r="I15" s="286">
        <v>2606144</v>
      </c>
      <c r="J15" s="287"/>
      <c r="K15" s="286">
        <v>3176563</v>
      </c>
      <c r="L15" s="287"/>
      <c r="M15" s="286">
        <v>3082195</v>
      </c>
      <c r="N15" s="287"/>
      <c r="O15" s="286">
        <v>2994444</v>
      </c>
      <c r="P15" s="287"/>
      <c r="Q15" s="286">
        <v>3371477</v>
      </c>
      <c r="R15" s="287"/>
      <c r="S15" s="286">
        <v>3436918</v>
      </c>
      <c r="T15" s="287"/>
      <c r="U15" s="286">
        <v>4008704</v>
      </c>
    </row>
    <row r="16" spans="1:21" ht="14" customHeight="1">
      <c r="A16" s="288" t="s">
        <v>228</v>
      </c>
      <c r="B16" s="280" t="s">
        <v>6</v>
      </c>
      <c r="C16" s="286">
        <v>18905393</v>
      </c>
      <c r="E16" s="286">
        <v>20438905</v>
      </c>
      <c r="F16" s="287"/>
      <c r="G16" s="286">
        <v>20830802</v>
      </c>
      <c r="H16" s="287"/>
      <c r="I16" s="286">
        <v>23556702</v>
      </c>
      <c r="J16" s="287"/>
      <c r="K16" s="286">
        <v>23148031</v>
      </c>
      <c r="L16" s="287"/>
      <c r="M16" s="286">
        <v>23836115</v>
      </c>
      <c r="N16" s="287"/>
      <c r="O16" s="286">
        <v>24030850</v>
      </c>
      <c r="P16" s="287"/>
      <c r="Q16" s="286">
        <v>24233835</v>
      </c>
      <c r="R16" s="287"/>
      <c r="S16" s="286">
        <v>29437525</v>
      </c>
      <c r="T16" s="287"/>
      <c r="U16" s="286">
        <v>27268336</v>
      </c>
    </row>
    <row r="17" spans="1:21" ht="14" customHeight="1">
      <c r="A17" s="2202" t="s">
        <v>2557</v>
      </c>
      <c r="B17" s="280" t="s">
        <v>6</v>
      </c>
      <c r="C17" s="286">
        <v>35579052</v>
      </c>
      <c r="D17" s="289"/>
      <c r="E17" s="286">
        <v>34909118</v>
      </c>
      <c r="F17" s="289"/>
      <c r="G17" s="286">
        <v>38833165</v>
      </c>
      <c r="H17" s="289"/>
      <c r="I17" s="286">
        <v>45523753</v>
      </c>
      <c r="J17" s="287"/>
      <c r="K17" s="286">
        <v>49303727</v>
      </c>
      <c r="L17" s="289"/>
      <c r="M17" s="286">
        <v>44609856</v>
      </c>
      <c r="N17" s="289"/>
      <c r="O17" s="286">
        <v>42842927</v>
      </c>
      <c r="P17" s="289"/>
      <c r="Q17" s="286">
        <v>43789256</v>
      </c>
      <c r="R17" s="289"/>
      <c r="S17" s="286">
        <v>48636693</v>
      </c>
      <c r="T17" s="289"/>
      <c r="U17" s="286">
        <v>51323529</v>
      </c>
    </row>
    <row r="18" spans="1:21" ht="18.75" customHeight="1">
      <c r="A18" s="290" t="s">
        <v>229</v>
      </c>
      <c r="B18" s="291" t="s">
        <v>6</v>
      </c>
      <c r="C18" s="292">
        <f>ROUND(SUM(C12:C17),1)</f>
        <v>112396620</v>
      </c>
      <c r="D18" s="293"/>
      <c r="E18" s="292">
        <f>ROUND(SUM(E12:E17),1)</f>
        <v>115422789</v>
      </c>
      <c r="F18" s="293"/>
      <c r="G18" s="292">
        <f>ROUND(SUM(G12:G17),1)</f>
        <v>119235160</v>
      </c>
      <c r="H18" s="293"/>
      <c r="I18" s="292">
        <f>ROUND(SUM(I12:I17),1)</f>
        <v>126748159</v>
      </c>
      <c r="J18" s="293"/>
      <c r="K18" s="292">
        <f>ROUND(SUM(K12:K17),1)</f>
        <v>133321380</v>
      </c>
      <c r="L18" s="293"/>
      <c r="M18" s="292">
        <f>ROUND(SUM(M12:M17),1)</f>
        <v>132744845</v>
      </c>
      <c r="N18" s="293"/>
      <c r="O18" s="292">
        <f>ROUND(SUM(O12:O17),1)</f>
        <v>133173929</v>
      </c>
      <c r="P18" s="293"/>
      <c r="Q18" s="292">
        <f>ROUND(SUM(Q12:Q17),1)</f>
        <v>137713096</v>
      </c>
      <c r="R18" s="293"/>
      <c r="S18" s="292">
        <f>ROUND(SUM(S12:S17),1)</f>
        <v>149108598</v>
      </c>
      <c r="T18" s="293"/>
      <c r="U18" s="292">
        <f>ROUND(SUM(U12:U17),1)</f>
        <v>153264938</v>
      </c>
    </row>
    <row r="19" spans="1:21" ht="12" customHeight="1">
      <c r="A19" s="288"/>
      <c r="B19" s="72"/>
      <c r="C19" s="294"/>
      <c r="D19" s="295"/>
      <c r="E19" s="294"/>
      <c r="F19" s="295"/>
      <c r="G19" s="294"/>
      <c r="H19" s="295"/>
      <c r="I19" s="294"/>
      <c r="J19" s="295"/>
      <c r="K19" s="294"/>
      <c r="L19" s="295"/>
      <c r="M19" s="294"/>
      <c r="N19" s="295"/>
      <c r="O19" s="294"/>
      <c r="P19" s="295"/>
      <c r="Q19" s="294"/>
      <c r="R19" s="295"/>
      <c r="S19" s="294"/>
      <c r="T19" s="295"/>
      <c r="U19" s="294"/>
    </row>
    <row r="20" spans="1:21" ht="14" customHeight="1">
      <c r="A20" s="290" t="s">
        <v>230</v>
      </c>
      <c r="B20" s="72"/>
      <c r="C20" s="296"/>
      <c r="D20" s="297"/>
      <c r="E20" s="296"/>
      <c r="F20" s="297"/>
      <c r="G20" s="296"/>
      <c r="H20" s="297"/>
      <c r="I20" s="296"/>
      <c r="J20" s="297"/>
      <c r="K20" s="296"/>
      <c r="L20" s="297"/>
      <c r="M20" s="296"/>
      <c r="N20" s="297"/>
      <c r="O20" s="296"/>
      <c r="P20" s="297"/>
      <c r="Q20" s="296"/>
      <c r="R20" s="297"/>
      <c r="S20" s="296"/>
      <c r="T20" s="297"/>
      <c r="U20" s="296"/>
    </row>
    <row r="21" spans="1:21" ht="14" customHeight="1">
      <c r="A21" s="288" t="s">
        <v>231</v>
      </c>
      <c r="B21" s="72"/>
      <c r="C21" s="296"/>
      <c r="D21" s="297"/>
      <c r="E21" s="296"/>
      <c r="F21" s="297"/>
      <c r="G21" s="296"/>
      <c r="H21" s="297"/>
      <c r="I21" s="296"/>
      <c r="J21" s="297"/>
      <c r="K21" s="296"/>
      <c r="L21" s="297"/>
      <c r="M21" s="296"/>
      <c r="N21" s="297"/>
      <c r="O21" s="296"/>
      <c r="P21" s="297"/>
      <c r="Q21" s="296"/>
      <c r="R21" s="297"/>
      <c r="S21" s="296"/>
      <c r="T21" s="297"/>
      <c r="U21" s="296"/>
    </row>
    <row r="22" spans="1:21" ht="14.25" customHeight="1">
      <c r="A22" s="298" t="s">
        <v>232</v>
      </c>
      <c r="B22" s="72" t="s">
        <v>6</v>
      </c>
      <c r="C22" s="299">
        <v>0</v>
      </c>
      <c r="D22" s="289"/>
      <c r="E22" s="299">
        <v>0</v>
      </c>
      <c r="F22" s="289"/>
      <c r="G22" s="299">
        <v>0</v>
      </c>
      <c r="H22" s="289"/>
      <c r="I22" s="299">
        <v>0</v>
      </c>
      <c r="J22" s="289"/>
      <c r="K22" s="299">
        <v>0</v>
      </c>
      <c r="L22" s="289"/>
      <c r="M22" s="299">
        <v>0</v>
      </c>
      <c r="N22" s="289"/>
      <c r="O22" s="300">
        <v>31275884</v>
      </c>
      <c r="P22" s="289"/>
      <c r="Q22" s="300">
        <v>32273478</v>
      </c>
      <c r="R22" s="289"/>
      <c r="S22" s="300">
        <v>33347534</v>
      </c>
      <c r="T22" s="289"/>
      <c r="U22" s="300">
        <v>35349565</v>
      </c>
    </row>
    <row r="23" spans="1:21" ht="14.25" customHeight="1">
      <c r="A23" s="298" t="s">
        <v>233</v>
      </c>
      <c r="B23" s="72" t="s">
        <v>6</v>
      </c>
      <c r="C23" s="299">
        <v>0</v>
      </c>
      <c r="D23" s="289"/>
      <c r="E23" s="299">
        <v>0</v>
      </c>
      <c r="F23" s="289"/>
      <c r="G23" s="299">
        <v>0</v>
      </c>
      <c r="H23" s="289"/>
      <c r="I23" s="299">
        <v>0</v>
      </c>
      <c r="J23" s="289"/>
      <c r="K23" s="299">
        <v>0</v>
      </c>
      <c r="L23" s="289"/>
      <c r="M23" s="299">
        <v>0</v>
      </c>
      <c r="N23" s="289"/>
      <c r="O23" s="300">
        <v>452989</v>
      </c>
      <c r="P23" s="289"/>
      <c r="Q23" s="300">
        <v>455295</v>
      </c>
      <c r="R23" s="289"/>
      <c r="S23" s="300">
        <v>315309</v>
      </c>
      <c r="T23" s="289"/>
      <c r="U23" s="300">
        <v>321479</v>
      </c>
    </row>
    <row r="24" spans="1:21" ht="14.25" customHeight="1">
      <c r="A24" s="298" t="s">
        <v>234</v>
      </c>
      <c r="B24" s="72" t="s">
        <v>6</v>
      </c>
      <c r="C24" s="299">
        <v>0</v>
      </c>
      <c r="D24" s="289"/>
      <c r="E24" s="299">
        <v>0</v>
      </c>
      <c r="F24" s="289"/>
      <c r="G24" s="299">
        <v>0</v>
      </c>
      <c r="H24" s="289"/>
      <c r="I24" s="299">
        <v>0</v>
      </c>
      <c r="J24" s="289"/>
      <c r="K24" s="299">
        <v>0</v>
      </c>
      <c r="L24" s="289"/>
      <c r="M24" s="299">
        <v>0</v>
      </c>
      <c r="N24" s="289"/>
      <c r="O24" s="300">
        <v>1190751</v>
      </c>
      <c r="P24" s="289"/>
      <c r="Q24" s="300">
        <v>1369339</v>
      </c>
      <c r="R24" s="289"/>
      <c r="S24" s="300">
        <v>1358364</v>
      </c>
      <c r="T24" s="289"/>
      <c r="U24" s="300">
        <v>1573960</v>
      </c>
    </row>
    <row r="25" spans="1:21" ht="14.25" customHeight="1">
      <c r="A25" s="298" t="s">
        <v>235</v>
      </c>
      <c r="B25" s="72" t="s">
        <v>6</v>
      </c>
      <c r="C25" s="301" t="s">
        <v>6</v>
      </c>
      <c r="D25" s="289"/>
      <c r="E25" s="301" t="s">
        <v>6</v>
      </c>
      <c r="F25" s="289"/>
      <c r="G25" s="301"/>
      <c r="H25" s="289"/>
      <c r="I25" s="301" t="s">
        <v>6</v>
      </c>
      <c r="J25" s="289"/>
      <c r="K25" s="301" t="s">
        <v>6</v>
      </c>
      <c r="L25" s="289"/>
      <c r="M25" s="301" t="s">
        <v>6</v>
      </c>
      <c r="N25" s="289"/>
      <c r="O25" s="300"/>
      <c r="P25" s="289"/>
      <c r="Q25" s="300"/>
      <c r="R25" s="289"/>
      <c r="S25" s="300"/>
      <c r="T25" s="289"/>
      <c r="U25" s="300"/>
    </row>
    <row r="26" spans="1:21" ht="14.25" customHeight="1">
      <c r="A26" s="302" t="s">
        <v>236</v>
      </c>
      <c r="B26" s="72" t="s">
        <v>6</v>
      </c>
      <c r="C26" s="299">
        <v>0</v>
      </c>
      <c r="D26" s="289"/>
      <c r="E26" s="299">
        <v>0</v>
      </c>
      <c r="F26" s="289"/>
      <c r="G26" s="299">
        <v>0</v>
      </c>
      <c r="H26" s="289"/>
      <c r="I26" s="299">
        <v>0</v>
      </c>
      <c r="J26" s="289"/>
      <c r="K26" s="299">
        <v>0</v>
      </c>
      <c r="L26" s="289"/>
      <c r="M26" s="299">
        <v>0</v>
      </c>
      <c r="N26" s="289"/>
      <c r="O26" s="300">
        <v>41585429</v>
      </c>
      <c r="P26" s="289"/>
      <c r="Q26" s="300">
        <v>42125677</v>
      </c>
      <c r="R26" s="289"/>
      <c r="S26" s="300">
        <v>47642930</v>
      </c>
      <c r="T26" s="289"/>
      <c r="U26" s="300">
        <v>49664291</v>
      </c>
    </row>
    <row r="27" spans="1:21" ht="14.25" customHeight="1">
      <c r="A27" s="1601" t="s">
        <v>2531</v>
      </c>
      <c r="B27" s="72" t="s">
        <v>6</v>
      </c>
      <c r="C27" s="299">
        <v>0</v>
      </c>
      <c r="D27" s="289"/>
      <c r="E27" s="299">
        <v>0</v>
      </c>
      <c r="F27" s="289"/>
      <c r="G27" s="299">
        <v>0</v>
      </c>
      <c r="H27" s="289"/>
      <c r="I27" s="299">
        <v>0</v>
      </c>
      <c r="J27" s="289"/>
      <c r="K27" s="299">
        <v>0</v>
      </c>
      <c r="L27" s="289"/>
      <c r="M27" s="299">
        <v>0</v>
      </c>
      <c r="N27" s="289"/>
      <c r="O27" s="300">
        <v>5812015</v>
      </c>
      <c r="P27" s="289"/>
      <c r="Q27" s="300">
        <v>5788874</v>
      </c>
      <c r="R27" s="289"/>
      <c r="S27" s="300">
        <v>5154862</v>
      </c>
      <c r="T27" s="289"/>
      <c r="U27" s="300">
        <v>6873429</v>
      </c>
    </row>
    <row r="28" spans="1:21" ht="14.25" customHeight="1">
      <c r="A28" s="1601" t="s">
        <v>2553</v>
      </c>
      <c r="B28" s="72" t="s">
        <v>6</v>
      </c>
      <c r="C28" s="299">
        <v>0</v>
      </c>
      <c r="D28" s="289"/>
      <c r="E28" s="299">
        <v>0</v>
      </c>
      <c r="F28" s="289"/>
      <c r="G28" s="299">
        <v>0</v>
      </c>
      <c r="H28" s="289"/>
      <c r="I28" s="299">
        <v>0</v>
      </c>
      <c r="J28" s="289"/>
      <c r="K28" s="299">
        <v>0</v>
      </c>
      <c r="L28" s="289"/>
      <c r="M28" s="299">
        <v>0</v>
      </c>
      <c r="N28" s="289"/>
      <c r="O28" s="300">
        <v>1802631</v>
      </c>
      <c r="P28" s="289"/>
      <c r="Q28" s="300">
        <v>2123277</v>
      </c>
      <c r="R28" s="289"/>
      <c r="S28" s="300">
        <v>2718169</v>
      </c>
      <c r="T28" s="289"/>
      <c r="U28" s="300">
        <v>2229061</v>
      </c>
    </row>
    <row r="29" spans="1:21" ht="14.25" customHeight="1">
      <c r="A29" s="1601" t="s">
        <v>2556</v>
      </c>
      <c r="B29" s="72" t="s">
        <v>6</v>
      </c>
      <c r="C29" s="299">
        <v>0</v>
      </c>
      <c r="D29" s="289"/>
      <c r="E29" s="299">
        <v>0</v>
      </c>
      <c r="F29" s="289"/>
      <c r="G29" s="299">
        <v>0</v>
      </c>
      <c r="H29" s="289"/>
      <c r="I29" s="299">
        <v>0</v>
      </c>
      <c r="J29" s="289"/>
      <c r="K29" s="299">
        <v>0</v>
      </c>
      <c r="L29" s="289"/>
      <c r="M29" s="299">
        <v>0</v>
      </c>
      <c r="N29" s="289"/>
      <c r="O29" s="300">
        <v>7836605</v>
      </c>
      <c r="P29" s="289"/>
      <c r="Q29" s="300">
        <v>8132748</v>
      </c>
      <c r="R29" s="289"/>
      <c r="S29" s="300">
        <v>7597686</v>
      </c>
      <c r="T29" s="289"/>
      <c r="U29" s="300">
        <v>7806779</v>
      </c>
    </row>
    <row r="30" spans="1:21" ht="14.25" customHeight="1">
      <c r="A30" s="1601" t="s">
        <v>2551</v>
      </c>
      <c r="B30" s="72" t="s">
        <v>6</v>
      </c>
      <c r="C30" s="299">
        <v>0</v>
      </c>
      <c r="D30" s="289"/>
      <c r="E30" s="299">
        <v>0</v>
      </c>
      <c r="F30" s="289"/>
      <c r="G30" s="299">
        <v>0</v>
      </c>
      <c r="H30" s="289"/>
      <c r="I30" s="299">
        <v>0</v>
      </c>
      <c r="J30" s="289"/>
      <c r="K30" s="299">
        <v>0</v>
      </c>
      <c r="L30" s="289"/>
      <c r="M30" s="299">
        <v>0</v>
      </c>
      <c r="N30" s="289"/>
      <c r="O30" s="300">
        <v>691811</v>
      </c>
      <c r="P30" s="289"/>
      <c r="Q30" s="300">
        <v>802690</v>
      </c>
      <c r="R30" s="289"/>
      <c r="S30" s="300">
        <v>657668</v>
      </c>
      <c r="T30" s="289"/>
      <c r="U30" s="300">
        <v>796912</v>
      </c>
    </row>
    <row r="31" spans="1:21" ht="14.25" customHeight="1">
      <c r="A31" s="1601" t="s">
        <v>2552</v>
      </c>
      <c r="B31" s="72" t="s">
        <v>6</v>
      </c>
      <c r="C31" s="299">
        <v>0</v>
      </c>
      <c r="D31" s="289"/>
      <c r="E31" s="299">
        <v>0</v>
      </c>
      <c r="F31" s="289"/>
      <c r="G31" s="299">
        <v>0</v>
      </c>
      <c r="H31" s="289"/>
      <c r="I31" s="299">
        <v>0</v>
      </c>
      <c r="J31" s="289"/>
      <c r="K31" s="299">
        <v>0</v>
      </c>
      <c r="L31" s="289"/>
      <c r="M31" s="299">
        <v>0</v>
      </c>
      <c r="N31" s="289"/>
      <c r="O31" s="300">
        <v>5052837</v>
      </c>
      <c r="P31" s="289"/>
      <c r="Q31" s="300">
        <v>5497814</v>
      </c>
      <c r="R31" s="289"/>
      <c r="S31" s="300">
        <v>5931129</v>
      </c>
      <c r="T31" s="289"/>
      <c r="U31" s="300">
        <v>5698151</v>
      </c>
    </row>
    <row r="32" spans="1:21" ht="14.25" customHeight="1">
      <c r="A32" s="298"/>
      <c r="B32" s="72"/>
      <c r="C32" s="299"/>
      <c r="D32" s="289"/>
      <c r="E32" s="299"/>
      <c r="F32" s="289"/>
      <c r="G32" s="299"/>
      <c r="H32" s="289"/>
      <c r="I32" s="299"/>
      <c r="J32" s="289"/>
      <c r="K32" s="299"/>
      <c r="L32" s="289"/>
      <c r="M32" s="299"/>
      <c r="N32" s="289"/>
      <c r="O32" s="300"/>
      <c r="P32" s="289"/>
      <c r="Q32" s="300"/>
      <c r="R32" s="289"/>
      <c r="S32" s="300"/>
      <c r="T32" s="289"/>
      <c r="U32" s="300"/>
    </row>
    <row r="33" spans="1:25" ht="14.25" customHeight="1">
      <c r="A33" s="2202" t="s">
        <v>2693</v>
      </c>
      <c r="B33" s="280" t="s">
        <v>6</v>
      </c>
      <c r="C33" s="286">
        <v>1187014</v>
      </c>
      <c r="D33" s="287"/>
      <c r="E33" s="286">
        <v>935006</v>
      </c>
      <c r="F33" s="287"/>
      <c r="G33" s="286">
        <v>1219661</v>
      </c>
      <c r="H33" s="287"/>
      <c r="I33" s="286">
        <v>1252195</v>
      </c>
      <c r="J33" s="287"/>
      <c r="K33" s="286">
        <v>1036641</v>
      </c>
      <c r="L33" s="287"/>
      <c r="M33" s="286">
        <v>956091</v>
      </c>
      <c r="N33" s="287"/>
      <c r="O33" s="299">
        <v>0</v>
      </c>
      <c r="P33" s="287"/>
      <c r="Q33" s="299">
        <v>0</v>
      </c>
      <c r="R33" s="287"/>
      <c r="S33" s="299">
        <v>0</v>
      </c>
      <c r="T33" s="287"/>
      <c r="U33" s="299">
        <v>0</v>
      </c>
    </row>
    <row r="34" spans="1:25" ht="14.25" customHeight="1">
      <c r="A34" s="2202" t="s">
        <v>2694</v>
      </c>
      <c r="B34" s="280" t="s">
        <v>6</v>
      </c>
      <c r="C34" s="286">
        <v>27985891</v>
      </c>
      <c r="D34" s="287"/>
      <c r="E34" s="286">
        <v>29792268</v>
      </c>
      <c r="F34" s="287"/>
      <c r="G34" s="286">
        <v>31200821</v>
      </c>
      <c r="H34" s="287"/>
      <c r="I34" s="286">
        <v>30295799</v>
      </c>
      <c r="J34" s="287"/>
      <c r="K34" s="286">
        <v>35055672</v>
      </c>
      <c r="L34" s="287"/>
      <c r="M34" s="286">
        <v>31872529</v>
      </c>
      <c r="N34" s="287"/>
      <c r="O34" s="299">
        <v>0</v>
      </c>
      <c r="P34" s="287"/>
      <c r="Q34" s="299">
        <v>0</v>
      </c>
      <c r="R34" s="287"/>
      <c r="S34" s="299">
        <v>0</v>
      </c>
      <c r="T34" s="287"/>
      <c r="U34" s="299">
        <v>0</v>
      </c>
    </row>
    <row r="35" spans="1:25" ht="14.25" customHeight="1">
      <c r="A35" s="2202" t="s">
        <v>2695</v>
      </c>
      <c r="B35" s="280" t="s">
        <v>6</v>
      </c>
      <c r="C35" s="286">
        <v>33592159</v>
      </c>
      <c r="D35" s="287"/>
      <c r="E35" s="286">
        <f>32539606</f>
        <v>32539606</v>
      </c>
      <c r="F35" s="287"/>
      <c r="G35" s="286">
        <f>34015519</f>
        <v>34015519</v>
      </c>
      <c r="H35" s="287"/>
      <c r="I35" s="286">
        <v>38441781</v>
      </c>
      <c r="J35" s="287"/>
      <c r="K35" s="286">
        <v>40495297</v>
      </c>
      <c r="L35" s="287"/>
      <c r="M35" s="286">
        <v>41127169</v>
      </c>
      <c r="N35" s="287"/>
      <c r="O35" s="299">
        <v>0</v>
      </c>
      <c r="P35" s="287"/>
      <c r="Q35" s="299">
        <v>0</v>
      </c>
      <c r="R35" s="287"/>
      <c r="S35" s="299">
        <v>0</v>
      </c>
      <c r="T35" s="287"/>
      <c r="U35" s="299">
        <v>0</v>
      </c>
    </row>
    <row r="36" spans="1:25" ht="14.25" customHeight="1">
      <c r="A36" s="2202" t="s">
        <v>2696</v>
      </c>
      <c r="B36" s="280" t="s">
        <v>6</v>
      </c>
      <c r="C36" s="286">
        <v>6334245</v>
      </c>
      <c r="D36" s="287"/>
      <c r="E36" s="286">
        <f>6820511</f>
        <v>6820511</v>
      </c>
      <c r="F36" s="287"/>
      <c r="G36" s="286">
        <v>7287230</v>
      </c>
      <c r="H36" s="287"/>
      <c r="I36" s="286">
        <v>7637529</v>
      </c>
      <c r="J36" s="287"/>
      <c r="K36" s="286">
        <v>7550948</v>
      </c>
      <c r="L36" s="287"/>
      <c r="M36" s="286">
        <v>7614837</v>
      </c>
      <c r="N36" s="287"/>
      <c r="O36" s="299">
        <v>0</v>
      </c>
      <c r="P36" s="287"/>
      <c r="Q36" s="299">
        <v>0</v>
      </c>
      <c r="R36" s="287"/>
      <c r="S36" s="299">
        <v>0</v>
      </c>
      <c r="T36" s="287"/>
      <c r="U36" s="299">
        <v>0</v>
      </c>
    </row>
    <row r="37" spans="1:25" ht="14.25" customHeight="1">
      <c r="A37" s="2202" t="s">
        <v>2697</v>
      </c>
      <c r="B37" s="280" t="s">
        <v>6</v>
      </c>
      <c r="C37" s="286">
        <v>4831522</v>
      </c>
      <c r="D37" s="287"/>
      <c r="E37" s="286">
        <v>4717890</v>
      </c>
      <c r="F37" s="287"/>
      <c r="G37" s="286">
        <v>4735510</v>
      </c>
      <c r="H37" s="287"/>
      <c r="I37" s="286">
        <v>4759646</v>
      </c>
      <c r="J37" s="287"/>
      <c r="K37" s="286">
        <v>4469502</v>
      </c>
      <c r="L37" s="287"/>
      <c r="M37" s="286">
        <v>4900692</v>
      </c>
      <c r="N37" s="287"/>
      <c r="O37" s="299">
        <v>0</v>
      </c>
      <c r="P37" s="287"/>
      <c r="Q37" s="299">
        <v>0</v>
      </c>
      <c r="R37" s="287"/>
      <c r="S37" s="299">
        <v>0</v>
      </c>
      <c r="T37" s="287"/>
      <c r="U37" s="299">
        <v>0</v>
      </c>
    </row>
    <row r="38" spans="1:25" ht="14.25" customHeight="1">
      <c r="A38" s="2202" t="s">
        <v>2698</v>
      </c>
      <c r="B38" s="280" t="s">
        <v>6</v>
      </c>
      <c r="C38" s="286">
        <v>1589307</v>
      </c>
      <c r="D38" s="287"/>
      <c r="E38" s="286">
        <v>1879826</v>
      </c>
      <c r="F38" s="287"/>
      <c r="G38" s="286">
        <v>1990080</v>
      </c>
      <c r="H38" s="287"/>
      <c r="I38" s="286">
        <v>1900194</v>
      </c>
      <c r="J38" s="287"/>
      <c r="K38" s="286">
        <v>2003238</v>
      </c>
      <c r="L38" s="287"/>
      <c r="M38" s="286">
        <v>1982597</v>
      </c>
      <c r="N38" s="287"/>
      <c r="O38" s="299">
        <v>0</v>
      </c>
      <c r="P38" s="287"/>
      <c r="Q38" s="299">
        <v>0</v>
      </c>
      <c r="R38" s="287"/>
      <c r="S38" s="299">
        <v>0</v>
      </c>
      <c r="T38" s="287"/>
      <c r="U38" s="299">
        <v>0</v>
      </c>
    </row>
    <row r="39" spans="1:25" ht="14.25" customHeight="1">
      <c r="A39" s="2202" t="s">
        <v>2699</v>
      </c>
      <c r="B39" s="280" t="s">
        <v>6</v>
      </c>
      <c r="C39" s="286">
        <v>2652406</v>
      </c>
      <c r="D39" s="287"/>
      <c r="E39" s="286">
        <v>3305975</v>
      </c>
      <c r="F39" s="287"/>
      <c r="G39" s="286">
        <v>3639345</v>
      </c>
      <c r="H39" s="287"/>
      <c r="I39" s="286">
        <v>4468169</v>
      </c>
      <c r="J39" s="287"/>
      <c r="K39" s="286">
        <v>5130684</v>
      </c>
      <c r="L39" s="287"/>
      <c r="M39" s="286">
        <v>4974616</v>
      </c>
      <c r="N39" s="287"/>
      <c r="O39" s="299">
        <v>0</v>
      </c>
      <c r="P39" s="287"/>
      <c r="Q39" s="299">
        <v>0</v>
      </c>
      <c r="R39" s="287"/>
      <c r="S39" s="299">
        <v>0</v>
      </c>
      <c r="T39" s="287"/>
      <c r="U39" s="299">
        <v>0</v>
      </c>
    </row>
    <row r="40" spans="1:25" ht="14.25" customHeight="1">
      <c r="A40" s="2169" t="s">
        <v>2715</v>
      </c>
      <c r="B40" s="280" t="s">
        <v>6</v>
      </c>
      <c r="C40" s="286"/>
      <c r="D40" s="289"/>
      <c r="E40" s="286"/>
      <c r="F40" s="289"/>
      <c r="G40" s="286"/>
      <c r="H40" s="289"/>
      <c r="I40" s="286"/>
      <c r="J40" s="287"/>
      <c r="K40" s="286"/>
      <c r="L40" s="289"/>
      <c r="M40" s="286"/>
      <c r="N40" s="289"/>
      <c r="O40" s="286"/>
      <c r="P40" s="289"/>
      <c r="Q40" s="286"/>
      <c r="R40" s="289"/>
      <c r="S40" s="286"/>
      <c r="T40" s="289"/>
      <c r="U40" s="286"/>
    </row>
    <row r="41" spans="1:25" ht="14.25" customHeight="1">
      <c r="A41" s="279" t="s">
        <v>237</v>
      </c>
      <c r="B41" s="280" t="s">
        <v>6</v>
      </c>
      <c r="C41" s="286">
        <v>2558049</v>
      </c>
      <c r="D41" s="289"/>
      <c r="E41" s="286">
        <v>3212923</v>
      </c>
      <c r="F41" s="289"/>
      <c r="G41" s="286">
        <v>3178608</v>
      </c>
      <c r="H41" s="289"/>
      <c r="I41" s="286">
        <v>2783895</v>
      </c>
      <c r="J41" s="287"/>
      <c r="K41" s="286">
        <v>2891467</v>
      </c>
      <c r="L41" s="289"/>
      <c r="M41" s="286">
        <v>3059315</v>
      </c>
      <c r="N41" s="289"/>
      <c r="O41" s="303">
        <v>0</v>
      </c>
      <c r="P41" s="289"/>
      <c r="Q41" s="303">
        <v>0</v>
      </c>
      <c r="R41" s="289"/>
      <c r="S41" s="303">
        <v>0</v>
      </c>
      <c r="T41" s="289"/>
      <c r="U41" s="303">
        <v>0</v>
      </c>
    </row>
    <row r="42" spans="1:25" ht="18" customHeight="1">
      <c r="A42" s="290" t="s">
        <v>238</v>
      </c>
      <c r="B42" s="72" t="s">
        <v>6</v>
      </c>
      <c r="C42" s="292">
        <f>ROUND(SUM(C22:C41),1)</f>
        <v>80730593</v>
      </c>
      <c r="D42" s="293"/>
      <c r="E42" s="292">
        <f>ROUND(SUM(E22:E41),1)</f>
        <v>83204005</v>
      </c>
      <c r="F42" s="293"/>
      <c r="G42" s="292">
        <f>ROUND(SUM(G22:G41),1)</f>
        <v>87266774</v>
      </c>
      <c r="H42" s="293"/>
      <c r="I42" s="292">
        <f>ROUND(SUM(I22:I41),1)</f>
        <v>91539208</v>
      </c>
      <c r="J42" s="293"/>
      <c r="K42" s="292">
        <f>ROUND(SUM(K22:K41),1)</f>
        <v>98633449</v>
      </c>
      <c r="L42" s="293"/>
      <c r="M42" s="292">
        <f>ROUND(SUM(M22:M41),1)</f>
        <v>96487846</v>
      </c>
      <c r="N42" s="293"/>
      <c r="O42" s="292">
        <f>ROUND(SUM(O22:O41),1)</f>
        <v>95700952</v>
      </c>
      <c r="P42" s="293"/>
      <c r="Q42" s="292">
        <f>ROUND(SUM(Q22:Q41),1)</f>
        <v>98569192</v>
      </c>
      <c r="R42" s="293"/>
      <c r="S42" s="292">
        <f>ROUND(SUM(S22:S41),1)</f>
        <v>104723651</v>
      </c>
      <c r="T42" s="293"/>
      <c r="U42" s="292">
        <f>ROUND(SUM(U22:U41),1)</f>
        <v>110313627</v>
      </c>
      <c r="V42" s="304"/>
      <c r="W42" s="304"/>
      <c r="X42" s="304"/>
      <c r="Y42" s="304"/>
    </row>
    <row r="43" spans="1:25" ht="10.5" customHeight="1">
      <c r="A43" s="290"/>
      <c r="B43" s="72"/>
      <c r="C43" s="300"/>
      <c r="D43" s="289"/>
      <c r="E43" s="300"/>
      <c r="F43" s="289"/>
      <c r="G43" s="300"/>
      <c r="H43" s="289"/>
      <c r="I43" s="300"/>
      <c r="J43" s="289"/>
      <c r="K43" s="300"/>
      <c r="L43" s="289"/>
      <c r="M43" s="300"/>
      <c r="N43" s="289"/>
      <c r="O43" s="300"/>
      <c r="P43" s="289"/>
      <c r="Q43" s="300"/>
      <c r="R43" s="289"/>
      <c r="S43" s="300"/>
      <c r="T43" s="289"/>
      <c r="U43" s="300"/>
    </row>
    <row r="44" spans="1:25" ht="14" customHeight="1">
      <c r="A44" s="288" t="s">
        <v>239</v>
      </c>
      <c r="B44" s="72"/>
      <c r="C44" s="296"/>
      <c r="D44" s="297"/>
      <c r="E44" s="296"/>
      <c r="F44" s="297"/>
      <c r="G44" s="296"/>
      <c r="H44" s="297"/>
      <c r="I44" s="296"/>
      <c r="J44" s="297"/>
      <c r="K44" s="296"/>
      <c r="L44" s="297"/>
      <c r="M44" s="296"/>
      <c r="N44" s="297"/>
      <c r="O44" s="296"/>
      <c r="P44" s="297"/>
      <c r="Q44" s="296"/>
      <c r="R44" s="297"/>
      <c r="S44" s="296"/>
      <c r="T44" s="297"/>
      <c r="U44" s="296"/>
    </row>
    <row r="45" spans="1:25" ht="14" customHeight="1">
      <c r="A45" s="2202" t="s">
        <v>2554</v>
      </c>
      <c r="B45" s="280" t="s">
        <v>6</v>
      </c>
      <c r="C45" s="286">
        <v>11557759</v>
      </c>
      <c r="D45" s="287"/>
      <c r="E45" s="286">
        <v>11853962</v>
      </c>
      <c r="F45" s="287"/>
      <c r="G45" s="286">
        <v>12609008</v>
      </c>
      <c r="H45" s="287"/>
      <c r="I45" s="286">
        <v>13404977</v>
      </c>
      <c r="J45" s="287"/>
      <c r="K45" s="286">
        <v>13104777</v>
      </c>
      <c r="L45" s="287"/>
      <c r="M45" s="286">
        <f>12673297</f>
        <v>12673297</v>
      </c>
      <c r="N45" s="287"/>
      <c r="O45" s="286">
        <v>13011558</v>
      </c>
      <c r="P45" s="287"/>
      <c r="Q45" s="286">
        <v>12957859</v>
      </c>
      <c r="R45" s="287"/>
      <c r="S45" s="286">
        <v>13162852</v>
      </c>
      <c r="T45" s="287"/>
      <c r="U45" s="286">
        <v>13598151</v>
      </c>
    </row>
    <row r="46" spans="1:25" ht="14" customHeight="1">
      <c r="A46" s="2202" t="s">
        <v>2561</v>
      </c>
      <c r="B46" s="280" t="s">
        <v>6</v>
      </c>
      <c r="C46" s="286">
        <v>5963793</v>
      </c>
      <c r="D46" s="287"/>
      <c r="E46" s="286">
        <v>6360433</v>
      </c>
      <c r="F46" s="287"/>
      <c r="G46" s="286">
        <v>6357831</v>
      </c>
      <c r="H46" s="287"/>
      <c r="I46" s="286">
        <v>6025211</v>
      </c>
      <c r="J46" s="287"/>
      <c r="K46" s="286">
        <v>5979320</v>
      </c>
      <c r="L46" s="287"/>
      <c r="M46" s="286">
        <v>6347746</v>
      </c>
      <c r="N46" s="287"/>
      <c r="O46" s="286">
        <v>6170765</v>
      </c>
      <c r="P46" s="287"/>
      <c r="Q46" s="286">
        <v>6803869</v>
      </c>
      <c r="R46" s="287"/>
      <c r="S46" s="286">
        <v>6977664</v>
      </c>
      <c r="T46" s="287"/>
      <c r="U46" s="286">
        <v>6974097</v>
      </c>
    </row>
    <row r="47" spans="1:25" ht="14" customHeight="1">
      <c r="A47" s="288" t="s">
        <v>240</v>
      </c>
      <c r="B47" s="280" t="s">
        <v>6</v>
      </c>
      <c r="C47" s="286">
        <v>5222838</v>
      </c>
      <c r="D47" s="287"/>
      <c r="E47" s="286">
        <v>5475911</v>
      </c>
      <c r="F47" s="287"/>
      <c r="G47" s="286">
        <v>5325321</v>
      </c>
      <c r="H47" s="287"/>
      <c r="I47" s="286">
        <v>5733604</v>
      </c>
      <c r="J47" s="287"/>
      <c r="K47" s="286">
        <v>6361086</v>
      </c>
      <c r="L47" s="287"/>
      <c r="M47" s="286">
        <v>6854416</v>
      </c>
      <c r="N47" s="287"/>
      <c r="O47" s="286">
        <v>6675439</v>
      </c>
      <c r="P47" s="287"/>
      <c r="Q47" s="286">
        <v>7279909</v>
      </c>
      <c r="R47" s="287"/>
      <c r="S47" s="286">
        <v>7337109</v>
      </c>
      <c r="T47" s="287"/>
      <c r="U47" s="286">
        <v>7739187</v>
      </c>
    </row>
    <row r="48" spans="1:25" ht="14" customHeight="1">
      <c r="A48" s="279" t="s">
        <v>241</v>
      </c>
      <c r="B48" s="72"/>
      <c r="C48" s="305"/>
      <c r="D48" s="306"/>
      <c r="E48" s="305"/>
      <c r="F48" s="306"/>
      <c r="G48" s="305"/>
      <c r="H48" s="306"/>
      <c r="I48" s="305"/>
      <c r="J48" s="306"/>
      <c r="K48" s="305"/>
      <c r="L48" s="306"/>
      <c r="M48" s="305"/>
      <c r="N48" s="306"/>
      <c r="O48" s="286"/>
      <c r="P48" s="306"/>
      <c r="Q48" s="286"/>
      <c r="R48" s="306"/>
      <c r="S48" s="286"/>
      <c r="T48" s="306"/>
      <c r="U48" s="286"/>
    </row>
    <row r="49" spans="1:21" ht="14" customHeight="1">
      <c r="A49" s="288" t="s">
        <v>242</v>
      </c>
      <c r="B49" s="280" t="s">
        <v>6</v>
      </c>
      <c r="C49" s="286">
        <v>4450737</v>
      </c>
      <c r="D49" s="287"/>
      <c r="E49" s="286">
        <v>4104000</v>
      </c>
      <c r="F49" s="287"/>
      <c r="G49" s="286">
        <v>4529667</v>
      </c>
      <c r="H49" s="287"/>
      <c r="I49" s="286">
        <v>4961470</v>
      </c>
      <c r="J49" s="287"/>
      <c r="K49" s="286">
        <v>5614669</v>
      </c>
      <c r="L49" s="287"/>
      <c r="M49" s="286">
        <v>5864022</v>
      </c>
      <c r="N49" s="287"/>
      <c r="O49" s="286">
        <v>6137929</v>
      </c>
      <c r="P49" s="287"/>
      <c r="Q49" s="286">
        <v>6399696</v>
      </c>
      <c r="R49" s="287"/>
      <c r="S49" s="286">
        <v>6182817</v>
      </c>
      <c r="T49" s="287"/>
      <c r="U49" s="286">
        <v>5598485</v>
      </c>
    </row>
    <row r="50" spans="1:21" ht="14" customHeight="1">
      <c r="A50" s="2202" t="s">
        <v>2555</v>
      </c>
      <c r="B50" s="280" t="s">
        <v>6</v>
      </c>
      <c r="C50" s="286">
        <v>4838189</v>
      </c>
      <c r="D50" s="289"/>
      <c r="E50" s="286">
        <v>5060148</v>
      </c>
      <c r="F50" s="289"/>
      <c r="G50" s="286">
        <v>5483202</v>
      </c>
      <c r="H50" s="289"/>
      <c r="I50" s="286">
        <v>5212997</v>
      </c>
      <c r="J50" s="287"/>
      <c r="K50" s="286">
        <v>5131630</v>
      </c>
      <c r="L50" s="289"/>
      <c r="M50" s="286">
        <v>5276540</v>
      </c>
      <c r="N50" s="289"/>
      <c r="O50" s="286">
        <v>5400190</v>
      </c>
      <c r="P50" s="289"/>
      <c r="Q50" s="286">
        <v>5515961</v>
      </c>
      <c r="R50" s="289"/>
      <c r="S50" s="286">
        <v>5506585</v>
      </c>
      <c r="T50" s="289"/>
      <c r="U50" s="286">
        <v>6484930</v>
      </c>
    </row>
    <row r="51" spans="1:21" ht="18" customHeight="1">
      <c r="A51" s="290" t="s">
        <v>243</v>
      </c>
      <c r="B51" s="291" t="s">
        <v>6</v>
      </c>
      <c r="C51" s="292">
        <f>ROUND(SUM(C42:C50),1)</f>
        <v>112763909</v>
      </c>
      <c r="D51" s="293"/>
      <c r="E51" s="292">
        <f>ROUND(SUM(E42:E50),1)</f>
        <v>116058459</v>
      </c>
      <c r="F51" s="293"/>
      <c r="G51" s="292">
        <f>ROUND(SUM(G42:G50),1)</f>
        <v>121571803</v>
      </c>
      <c r="H51" s="293"/>
      <c r="I51" s="292">
        <f>ROUND(SUM(I42:I50),1)</f>
        <v>126877467</v>
      </c>
      <c r="J51" s="293"/>
      <c r="K51" s="292">
        <f>ROUND(SUM(K42:K50),1)</f>
        <v>134824931</v>
      </c>
      <c r="L51" s="293"/>
      <c r="M51" s="292">
        <f>ROUND(SUM(M42:M50),1)</f>
        <v>133503867</v>
      </c>
      <c r="N51" s="293"/>
      <c r="O51" s="292">
        <f>ROUND(SUM(O42:O50),1)</f>
        <v>133096833</v>
      </c>
      <c r="P51" s="293"/>
      <c r="Q51" s="292">
        <f>ROUND(SUM(Q42:Q50),1)</f>
        <v>137526486</v>
      </c>
      <c r="R51" s="293"/>
      <c r="S51" s="292">
        <f>ROUND(SUM(S42:S50),1)</f>
        <v>143890678</v>
      </c>
      <c r="T51" s="293"/>
      <c r="U51" s="292">
        <f>ROUND(SUM(U42:U50),1)</f>
        <v>150708477</v>
      </c>
    </row>
    <row r="52" spans="1:21" ht="15" customHeight="1">
      <c r="A52" s="290"/>
      <c r="B52" s="73"/>
      <c r="C52" s="292"/>
      <c r="D52" s="293"/>
      <c r="E52" s="292"/>
      <c r="F52" s="293"/>
      <c r="G52" s="292"/>
      <c r="H52" s="293"/>
      <c r="I52" s="292"/>
      <c r="J52" s="293"/>
      <c r="K52" s="292"/>
      <c r="L52" s="293"/>
      <c r="M52" s="292"/>
      <c r="N52" s="293"/>
      <c r="O52" s="292"/>
      <c r="P52" s="293"/>
      <c r="Q52" s="292"/>
      <c r="R52" s="293"/>
      <c r="S52" s="292"/>
      <c r="T52" s="293"/>
      <c r="U52" s="292"/>
    </row>
    <row r="53" spans="1:21" ht="15.75" customHeight="1">
      <c r="A53" s="290" t="s">
        <v>2717</v>
      </c>
      <c r="B53" s="291" t="s">
        <v>6</v>
      </c>
      <c r="C53" s="307">
        <f>ROUND(SUM(C18-C51),1)</f>
        <v>-367289</v>
      </c>
      <c r="D53" s="293"/>
      <c r="E53" s="307">
        <f>ROUND(SUM(E18-E51),1)</f>
        <v>-635670</v>
      </c>
      <c r="F53" s="293"/>
      <c r="G53" s="307">
        <f>ROUND(SUM(G18-G51),1)</f>
        <v>-2336643</v>
      </c>
      <c r="H53" s="293"/>
      <c r="I53" s="307">
        <f>ROUND(SUM(I18-I51),1)</f>
        <v>-129308</v>
      </c>
      <c r="J53" s="308"/>
      <c r="K53" s="307">
        <f>ROUND(SUM(K18-K51),1)</f>
        <v>-1503551</v>
      </c>
      <c r="L53" s="293"/>
      <c r="M53" s="307">
        <f>ROUND(SUM(M18-M51),1)</f>
        <v>-759022</v>
      </c>
      <c r="N53" s="293"/>
      <c r="O53" s="307">
        <f>ROUND(SUM(O18-O51),1)</f>
        <v>77096</v>
      </c>
      <c r="P53" s="293"/>
      <c r="Q53" s="307">
        <f>ROUND(SUM(Q18-Q51),1)</f>
        <v>186610</v>
      </c>
      <c r="R53" s="293"/>
      <c r="S53" s="307">
        <f>ROUND(SUM(S18-S51),1)</f>
        <v>5217920</v>
      </c>
      <c r="T53" s="293"/>
      <c r="U53" s="307">
        <f>ROUND(SUM(U18-U51),1)</f>
        <v>2556461</v>
      </c>
    </row>
    <row r="54" spans="1:21" ht="15">
      <c r="A54" s="290"/>
      <c r="B54" s="72"/>
      <c r="C54" s="294"/>
      <c r="D54" s="295"/>
      <c r="E54" s="294"/>
      <c r="F54" s="295"/>
      <c r="G54" s="294"/>
      <c r="H54" s="295"/>
      <c r="I54" s="294"/>
      <c r="J54" s="295"/>
      <c r="K54" s="294"/>
      <c r="L54" s="295"/>
      <c r="M54" s="294"/>
      <c r="N54" s="295"/>
      <c r="O54" s="294"/>
      <c r="P54" s="295"/>
      <c r="Q54" s="294"/>
      <c r="R54" s="295"/>
      <c r="S54" s="294"/>
      <c r="T54" s="295"/>
      <c r="U54" s="294"/>
    </row>
    <row r="55" spans="1:21" ht="14" customHeight="1">
      <c r="A55" s="290" t="s">
        <v>245</v>
      </c>
      <c r="B55" s="72"/>
      <c r="C55" s="296"/>
      <c r="D55" s="297"/>
      <c r="E55" s="296"/>
      <c r="F55" s="297"/>
      <c r="G55" s="296"/>
      <c r="H55" s="297"/>
      <c r="I55" s="296"/>
      <c r="J55" s="297"/>
      <c r="K55" s="296"/>
      <c r="L55" s="297"/>
      <c r="M55" s="296"/>
      <c r="N55" s="297"/>
      <c r="O55" s="296"/>
      <c r="P55" s="297"/>
      <c r="Q55" s="296"/>
      <c r="R55" s="297"/>
      <c r="S55" s="296"/>
      <c r="T55" s="297"/>
      <c r="U55" s="296"/>
    </row>
    <row r="56" spans="1:21" ht="14" customHeight="1">
      <c r="A56" s="288" t="s">
        <v>246</v>
      </c>
      <c r="B56" s="280" t="s">
        <v>6</v>
      </c>
      <c r="C56" s="286">
        <v>181243</v>
      </c>
      <c r="D56" s="287"/>
      <c r="E56" s="286">
        <v>269234</v>
      </c>
      <c r="F56" s="287"/>
      <c r="G56" s="286">
        <v>456513</v>
      </c>
      <c r="H56" s="287"/>
      <c r="I56" s="286">
        <v>448267</v>
      </c>
      <c r="J56" s="287"/>
      <c r="K56" s="286">
        <v>525154</v>
      </c>
      <c r="L56" s="287"/>
      <c r="M56" s="286">
        <v>352069</v>
      </c>
      <c r="N56" s="287"/>
      <c r="O56" s="286">
        <v>433631</v>
      </c>
      <c r="P56" s="287"/>
      <c r="Q56" s="286">
        <v>0</v>
      </c>
      <c r="R56" s="287"/>
      <c r="S56" s="286">
        <v>161343</v>
      </c>
      <c r="T56" s="287"/>
      <c r="U56" s="286">
        <v>0</v>
      </c>
    </row>
    <row r="57" spans="1:21" ht="14" customHeight="1">
      <c r="A57" s="288" t="s">
        <v>247</v>
      </c>
      <c r="B57" s="280" t="s">
        <v>6</v>
      </c>
      <c r="C57" s="286">
        <v>20218489</v>
      </c>
      <c r="D57" s="287"/>
      <c r="E57" s="286">
        <v>21878260</v>
      </c>
      <c r="F57" s="287"/>
      <c r="G57" s="286">
        <v>26313008</v>
      </c>
      <c r="H57" s="287"/>
      <c r="I57" s="286">
        <v>26200947</v>
      </c>
      <c r="J57" s="287"/>
      <c r="K57" s="286">
        <v>27605704</v>
      </c>
      <c r="L57" s="287"/>
      <c r="M57" s="286">
        <v>26540430</v>
      </c>
      <c r="N57" s="287"/>
      <c r="O57" s="286">
        <v>26902629</v>
      </c>
      <c r="P57" s="287"/>
      <c r="Q57" s="286">
        <v>30592764</v>
      </c>
      <c r="R57" s="287"/>
      <c r="S57" s="286">
        <v>29807742</v>
      </c>
      <c r="T57" s="287"/>
      <c r="U57" s="286">
        <v>33441924</v>
      </c>
    </row>
    <row r="58" spans="1:21" ht="14" customHeight="1">
      <c r="A58" s="288" t="s">
        <v>248</v>
      </c>
      <c r="B58" s="280" t="s">
        <v>6</v>
      </c>
      <c r="C58" s="286">
        <v>-20246813</v>
      </c>
      <c r="D58" s="289"/>
      <c r="E58" s="286">
        <v>-21878933</v>
      </c>
      <c r="F58" s="289"/>
      <c r="G58" s="286">
        <v>-26333089</v>
      </c>
      <c r="H58" s="289"/>
      <c r="I58" s="286">
        <v>-26245557</v>
      </c>
      <c r="J58" s="287"/>
      <c r="K58" s="286">
        <v>-27675129</v>
      </c>
      <c r="L58" s="289"/>
      <c r="M58" s="286">
        <v>-26585488</v>
      </c>
      <c r="N58" s="289"/>
      <c r="O58" s="286">
        <v>-26897343</v>
      </c>
      <c r="P58" s="289"/>
      <c r="Q58" s="286">
        <v>-30621199</v>
      </c>
      <c r="R58" s="289"/>
      <c r="S58" s="286">
        <v>-29866485</v>
      </c>
      <c r="T58" s="289"/>
      <c r="U58" s="286">
        <v>-33543814</v>
      </c>
    </row>
    <row r="59" spans="1:21" ht="14" customHeight="1">
      <c r="A59" s="2217" t="s">
        <v>2629</v>
      </c>
      <c r="B59" s="2216" t="s">
        <v>6</v>
      </c>
      <c r="C59" s="286">
        <v>0</v>
      </c>
      <c r="D59" s="289"/>
      <c r="E59" s="286">
        <v>0</v>
      </c>
      <c r="F59" s="289"/>
      <c r="G59" s="286">
        <v>0</v>
      </c>
      <c r="H59" s="289"/>
      <c r="I59" s="286">
        <v>0</v>
      </c>
      <c r="J59" s="287"/>
      <c r="K59" s="286">
        <v>0</v>
      </c>
      <c r="L59" s="289"/>
      <c r="M59" s="286">
        <v>0</v>
      </c>
      <c r="N59" s="289"/>
      <c r="O59" s="286">
        <v>0</v>
      </c>
      <c r="P59" s="289"/>
      <c r="Q59" s="286">
        <v>0</v>
      </c>
      <c r="R59" s="289"/>
      <c r="S59" s="286">
        <v>0</v>
      </c>
      <c r="T59" s="289"/>
      <c r="U59" s="286">
        <v>-5</v>
      </c>
    </row>
    <row r="60" spans="1:21" ht="18.75" customHeight="1">
      <c r="A60" s="290" t="s">
        <v>2718</v>
      </c>
      <c r="B60" s="291" t="s">
        <v>6</v>
      </c>
      <c r="C60" s="292">
        <f>ROUND(SUM(C56:C59),1)</f>
        <v>152919</v>
      </c>
      <c r="D60" s="293"/>
      <c r="E60" s="292">
        <f>ROUND(SUM(E56:E59),1)</f>
        <v>268561</v>
      </c>
      <c r="F60" s="293"/>
      <c r="G60" s="292">
        <f>ROUND(SUM(G56:G59),1)</f>
        <v>436432</v>
      </c>
      <c r="H60" s="293"/>
      <c r="I60" s="292">
        <f>ROUND(SUM(I56:I59),1)</f>
        <v>403657</v>
      </c>
      <c r="J60" s="293"/>
      <c r="K60" s="292">
        <f>ROUND(SUM(K56:K59),1)</f>
        <v>455729</v>
      </c>
      <c r="L60" s="293"/>
      <c r="M60" s="292">
        <f>ROUND(SUM(M56:M59),1)</f>
        <v>307011</v>
      </c>
      <c r="N60" s="293"/>
      <c r="O60" s="292">
        <f>ROUND(SUM(O56:O59),1)</f>
        <v>438917</v>
      </c>
      <c r="P60" s="293"/>
      <c r="Q60" s="292">
        <f>ROUND(SUM(Q56:Q59),1)</f>
        <v>-28435</v>
      </c>
      <c r="R60" s="293"/>
      <c r="S60" s="292">
        <f>ROUND(SUM(S56:S59),1)</f>
        <v>102600</v>
      </c>
      <c r="T60" s="293"/>
      <c r="U60" s="292">
        <f>ROUND(SUM(U56:U59),1)</f>
        <v>-101895</v>
      </c>
    </row>
    <row r="61" spans="1:21" ht="15" customHeight="1">
      <c r="A61" s="288"/>
      <c r="B61" s="72"/>
      <c r="C61" s="294"/>
      <c r="D61" s="295"/>
      <c r="E61" s="294"/>
      <c r="F61" s="295"/>
      <c r="G61" s="294"/>
      <c r="H61" s="295"/>
      <c r="I61" s="294"/>
      <c r="J61" s="295"/>
      <c r="K61" s="294"/>
      <c r="L61" s="295"/>
      <c r="M61" s="294"/>
      <c r="N61" s="295"/>
      <c r="O61" s="294"/>
      <c r="P61" s="295"/>
      <c r="Q61" s="294"/>
      <c r="R61" s="295"/>
      <c r="S61" s="294"/>
      <c r="T61" s="295"/>
      <c r="U61" s="294"/>
    </row>
    <row r="62" spans="1:21" ht="15.75" customHeight="1">
      <c r="A62" s="309" t="s">
        <v>249</v>
      </c>
      <c r="B62" s="73"/>
      <c r="C62" s="296"/>
      <c r="D62" s="297"/>
      <c r="E62" s="296"/>
      <c r="F62" s="297"/>
      <c r="G62" s="296"/>
      <c r="H62" s="297"/>
      <c r="I62" s="296"/>
      <c r="J62" s="297"/>
      <c r="K62" s="296"/>
      <c r="L62" s="297"/>
      <c r="M62" s="296"/>
      <c r="N62" s="297"/>
      <c r="O62" s="296"/>
      <c r="P62" s="297"/>
      <c r="Q62" s="296"/>
      <c r="R62" s="297"/>
      <c r="S62" s="296"/>
      <c r="T62" s="297"/>
      <c r="U62" s="296"/>
    </row>
    <row r="63" spans="1:21" ht="15">
      <c r="A63" s="290" t="s">
        <v>250</v>
      </c>
      <c r="B63" s="73"/>
      <c r="C63" s="296"/>
      <c r="D63" s="297"/>
      <c r="E63" s="296"/>
      <c r="F63" s="297"/>
      <c r="G63" s="296"/>
      <c r="H63" s="297"/>
      <c r="I63" s="296"/>
      <c r="J63" s="297"/>
      <c r="K63" s="296"/>
      <c r="L63" s="297"/>
      <c r="M63" s="296"/>
      <c r="N63" s="297"/>
      <c r="O63" s="296"/>
      <c r="P63" s="297"/>
      <c r="Q63" s="296"/>
      <c r="R63" s="297"/>
      <c r="S63" s="296"/>
      <c r="T63" s="297"/>
      <c r="U63" s="296"/>
    </row>
    <row r="64" spans="1:21" ht="14" customHeight="1">
      <c r="A64" s="290" t="s">
        <v>251</v>
      </c>
      <c r="B64" s="291" t="s">
        <v>6</v>
      </c>
      <c r="C64" s="307">
        <f>ROUND(SUM(C53+C60),1)</f>
        <v>-214370</v>
      </c>
      <c r="D64" s="308"/>
      <c r="E64" s="307">
        <f>ROUND(SUM(E53+E60),1)</f>
        <v>-367109</v>
      </c>
      <c r="F64" s="308"/>
      <c r="G64" s="307">
        <f>ROUND(SUM(G53+G60),1)</f>
        <v>-1900211</v>
      </c>
      <c r="H64" s="308"/>
      <c r="I64" s="307">
        <f>ROUND(SUM(I53+I60),1)</f>
        <v>274349</v>
      </c>
      <c r="J64" s="308"/>
      <c r="K64" s="307">
        <f>ROUND(SUM(K53+K60),1)</f>
        <v>-1047822</v>
      </c>
      <c r="L64" s="308"/>
      <c r="M64" s="307">
        <f>ROUND(SUM(M53+M60),1)</f>
        <v>-452011</v>
      </c>
      <c r="N64" s="308"/>
      <c r="O64" s="307">
        <f>ROUND(SUM(O53+O60),1)</f>
        <v>516013</v>
      </c>
      <c r="P64" s="308"/>
      <c r="Q64" s="307">
        <f>ROUND(SUM(Q53+Q60),1)</f>
        <v>158175</v>
      </c>
      <c r="R64" s="308"/>
      <c r="S64" s="307">
        <f>ROUND(SUM(S53+S60),1)</f>
        <v>5320520</v>
      </c>
      <c r="T64" s="308"/>
      <c r="U64" s="307">
        <f>ROUND(SUM(U53+U60),1)</f>
        <v>2454566</v>
      </c>
    </row>
    <row r="65" spans="1:24" ht="8" customHeight="1">
      <c r="A65" s="290"/>
      <c r="B65" s="73"/>
      <c r="C65" s="307"/>
      <c r="D65" s="308"/>
      <c r="E65" s="307"/>
      <c r="F65" s="308"/>
      <c r="G65" s="307"/>
      <c r="H65" s="308"/>
      <c r="I65" s="307"/>
      <c r="J65" s="308"/>
      <c r="K65" s="307"/>
      <c r="L65" s="308"/>
      <c r="M65" s="307"/>
      <c r="N65" s="308"/>
      <c r="O65" s="307"/>
      <c r="P65" s="308"/>
      <c r="Q65" s="307"/>
      <c r="R65" s="308"/>
      <c r="S65" s="307"/>
      <c r="T65" s="308"/>
      <c r="U65" s="307"/>
    </row>
    <row r="66" spans="1:24" ht="14" customHeight="1">
      <c r="A66" s="309" t="s">
        <v>2719</v>
      </c>
      <c r="B66" s="73" t="s">
        <v>6</v>
      </c>
      <c r="C66" s="307">
        <v>7067492</v>
      </c>
      <c r="D66" s="293"/>
      <c r="E66" s="307">
        <v>6853122</v>
      </c>
      <c r="F66" s="293"/>
      <c r="G66" s="307">
        <v>6486013</v>
      </c>
      <c r="H66" s="293"/>
      <c r="I66" s="307">
        <v>4585802</v>
      </c>
      <c r="J66" s="308"/>
      <c r="K66" s="307">
        <v>4860151</v>
      </c>
      <c r="L66" s="293"/>
      <c r="M66" s="307">
        <v>3812329</v>
      </c>
      <c r="N66" s="293"/>
      <c r="O66" s="307">
        <v>3360318</v>
      </c>
      <c r="P66" s="293"/>
      <c r="Q66" s="307">
        <v>3876331</v>
      </c>
      <c r="R66" s="293"/>
      <c r="S66" s="307">
        <v>4034506</v>
      </c>
      <c r="T66" s="293"/>
      <c r="U66" s="307">
        <v>9355555</v>
      </c>
    </row>
    <row r="67" spans="1:24" ht="22.5" customHeight="1" thickBot="1">
      <c r="A67" s="309" t="s">
        <v>258</v>
      </c>
      <c r="B67" s="291" t="s">
        <v>6</v>
      </c>
      <c r="C67" s="310">
        <f>ROUND(SUM(C64+C66),1)</f>
        <v>6853122</v>
      </c>
      <c r="D67" s="311"/>
      <c r="E67" s="310">
        <f>ROUND(SUM(E64+E66),1)</f>
        <v>6486013</v>
      </c>
      <c r="F67" s="311"/>
      <c r="G67" s="310">
        <f>ROUND(SUM(G64+G66),1)</f>
        <v>4585802</v>
      </c>
      <c r="H67" s="311"/>
      <c r="I67" s="310">
        <f>ROUND(SUM(I64+I66),1)</f>
        <v>4860151</v>
      </c>
      <c r="J67" s="311"/>
      <c r="K67" s="310">
        <f>ROUND(SUM(K64+K66),1)</f>
        <v>3812329</v>
      </c>
      <c r="L67" s="312"/>
      <c r="M67" s="310">
        <f>ROUND(SUM(M64+M66),1)</f>
        <v>3360318</v>
      </c>
      <c r="N67" s="313"/>
      <c r="O67" s="310">
        <f>ROUND(SUM(O64+O66),1)</f>
        <v>3876331</v>
      </c>
      <c r="P67" s="313"/>
      <c r="Q67" s="310">
        <f>ROUND(SUM(Q64+Q66),1)</f>
        <v>4034506</v>
      </c>
      <c r="R67" s="313"/>
      <c r="S67" s="310">
        <f>ROUND(SUM(S64+S66),1)</f>
        <v>9355026</v>
      </c>
      <c r="T67" s="313"/>
      <c r="U67" s="310">
        <f>ROUND(SUM(U64+U66),1)</f>
        <v>11810121</v>
      </c>
      <c r="V67" s="314"/>
      <c r="W67" s="314"/>
      <c r="X67" s="314"/>
    </row>
    <row r="68" spans="1:24" ht="15.75" customHeight="1" thickTop="1">
      <c r="A68" s="309"/>
      <c r="B68" s="309"/>
      <c r="C68" s="293"/>
      <c r="D68" s="311"/>
      <c r="F68" s="311"/>
      <c r="G68" s="293"/>
      <c r="H68" s="311"/>
      <c r="I68" s="293"/>
      <c r="J68" s="311"/>
      <c r="K68" s="293"/>
      <c r="L68" s="293"/>
      <c r="M68" s="311"/>
      <c r="N68" s="311"/>
      <c r="O68" s="293"/>
      <c r="P68" s="311"/>
      <c r="Q68" s="293"/>
      <c r="R68" s="311"/>
      <c r="S68" s="293"/>
      <c r="T68" s="311"/>
      <c r="U68" s="293"/>
    </row>
    <row r="69" spans="1:24" ht="13">
      <c r="A69" s="315" t="s">
        <v>6</v>
      </c>
      <c r="B69" s="315"/>
    </row>
    <row r="70" spans="1:24" ht="13">
      <c r="A70" s="316" t="s">
        <v>6</v>
      </c>
      <c r="B70" s="316"/>
    </row>
  </sheetData>
  <pageMargins left="0.7" right="0.5" top="0.9" bottom="0.25" header="0.5" footer="0.25"/>
  <pageSetup scale="50" orientation="landscape"/>
  <headerFooter scaleWithDoc="0">
    <oddFooter>&amp;R&amp;8 74</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6"/>
  <sheetViews>
    <sheetView showGridLines="0" showOutlineSymbols="0" zoomScale="80" zoomScaleNormal="80" zoomScalePageLayoutView="80" workbookViewId="0"/>
  </sheetViews>
  <sheetFormatPr baseColWidth="10" defaultColWidth="8.85546875" defaultRowHeight="12" x14ac:dyDescent="0"/>
  <cols>
    <col min="1" max="1" width="56.140625" style="319" customWidth="1"/>
    <col min="2" max="2" width="1.85546875" style="319" customWidth="1"/>
    <col min="3" max="3" width="12.42578125" style="319" customWidth="1"/>
    <col min="4" max="4" width="2.5703125" style="319" customWidth="1"/>
    <col min="5" max="5" width="12.140625" style="319" customWidth="1"/>
    <col min="6" max="6" width="2.5703125" style="319" customWidth="1"/>
    <col min="7" max="7" width="12.140625" style="319" customWidth="1"/>
    <col min="8" max="8" width="2.5703125" style="319" customWidth="1"/>
    <col min="9" max="9" width="12.85546875" style="319" customWidth="1"/>
    <col min="10" max="10" width="3.140625" style="319" customWidth="1"/>
    <col min="11" max="11" width="12.85546875" style="319" customWidth="1"/>
    <col min="12" max="12" width="2.5703125" style="319" customWidth="1"/>
    <col min="13" max="13" width="12.85546875" style="319" customWidth="1"/>
    <col min="14" max="14" width="2.5703125" style="319" customWidth="1"/>
    <col min="15" max="15" width="12.85546875" style="319" customWidth="1"/>
    <col min="16" max="16" width="2.5703125" style="319" customWidth="1"/>
    <col min="17" max="17" width="12.42578125" style="319" customWidth="1"/>
    <col min="18" max="18" width="2.5703125" style="319" customWidth="1"/>
    <col min="19" max="19" width="12.42578125" style="335" customWidth="1"/>
    <col min="20" max="20" width="2.5703125" style="319" customWidth="1"/>
    <col min="21" max="21" width="12.42578125" style="319" customWidth="1"/>
    <col min="22" max="22" width="16.140625" style="319" customWidth="1"/>
    <col min="23" max="16384" width="8.85546875" style="319"/>
  </cols>
  <sheetData>
    <row r="1" spans="1:21" ht="15" customHeight="1">
      <c r="A1" s="1582" t="s">
        <v>1443</v>
      </c>
    </row>
    <row r="3" spans="1:21" ht="18" customHeight="1">
      <c r="A3" s="317" t="s">
        <v>0</v>
      </c>
      <c r="B3" s="318"/>
      <c r="S3" s="319"/>
    </row>
    <row r="4" spans="1:21" ht="20.25" customHeight="1">
      <c r="A4" s="317" t="s">
        <v>1</v>
      </c>
      <c r="B4" s="318"/>
      <c r="S4" s="319"/>
    </row>
    <row r="5" spans="1:21" ht="18" customHeight="1">
      <c r="A5" s="317" t="s">
        <v>2714</v>
      </c>
      <c r="B5" s="318"/>
      <c r="S5" s="319"/>
    </row>
    <row r="6" spans="1:21" ht="18" customHeight="1">
      <c r="A6" s="317" t="s">
        <v>221</v>
      </c>
      <c r="B6" s="318"/>
      <c r="E6" s="320"/>
      <c r="G6" s="320"/>
      <c r="H6" s="320"/>
      <c r="I6" s="320"/>
      <c r="J6" s="320"/>
      <c r="K6" s="321"/>
      <c r="L6" s="320"/>
      <c r="Q6" s="321"/>
      <c r="S6" s="321"/>
      <c r="U6" s="320" t="s">
        <v>222</v>
      </c>
    </row>
    <row r="7" spans="1:21" ht="18" customHeight="1">
      <c r="A7" s="317" t="s">
        <v>223</v>
      </c>
      <c r="B7" s="318"/>
      <c r="Q7" s="322"/>
      <c r="S7" s="323"/>
      <c r="U7" s="323" t="s">
        <v>252</v>
      </c>
    </row>
    <row r="8" spans="1:21" ht="28" customHeight="1">
      <c r="A8" s="324" t="s">
        <v>2591</v>
      </c>
      <c r="B8" s="318"/>
      <c r="I8" s="325"/>
      <c r="S8" s="319"/>
    </row>
    <row r="9" spans="1:21" ht="16" customHeight="1">
      <c r="A9" s="326" t="s">
        <v>132</v>
      </c>
      <c r="B9" s="318"/>
      <c r="S9" s="319"/>
    </row>
    <row r="10" spans="1:21" ht="14" customHeight="1">
      <c r="A10" s="318"/>
      <c r="B10" s="318"/>
      <c r="Q10" s="327"/>
      <c r="S10" s="319"/>
    </row>
    <row r="11" spans="1:21" ht="14" customHeight="1">
      <c r="A11" s="318"/>
      <c r="B11" s="318"/>
      <c r="C11" s="328" t="s">
        <v>91</v>
      </c>
      <c r="D11" s="329"/>
      <c r="E11" s="328" t="s">
        <v>92</v>
      </c>
      <c r="F11" s="329"/>
      <c r="G11" s="328" t="s">
        <v>93</v>
      </c>
      <c r="H11" s="329"/>
      <c r="I11" s="330" t="s">
        <v>94</v>
      </c>
      <c r="J11" s="328"/>
      <c r="K11" s="330" t="s">
        <v>95</v>
      </c>
      <c r="L11" s="329"/>
      <c r="M11" s="331" t="s">
        <v>96</v>
      </c>
      <c r="N11" s="329"/>
      <c r="O11" s="332" t="s">
        <v>10</v>
      </c>
      <c r="P11" s="329"/>
      <c r="Q11" s="331" t="s">
        <v>9</v>
      </c>
      <c r="R11" s="329"/>
      <c r="S11" s="1652" t="s">
        <v>1917</v>
      </c>
      <c r="T11" s="329"/>
      <c r="U11" s="1652" t="s">
        <v>2584</v>
      </c>
    </row>
    <row r="12" spans="1:21" ht="14" customHeight="1">
      <c r="A12" s="326" t="s">
        <v>224</v>
      </c>
      <c r="B12" s="318"/>
      <c r="C12" s="333"/>
      <c r="D12" s="334"/>
      <c r="E12" s="333"/>
      <c r="F12" s="334"/>
      <c r="G12" s="333"/>
      <c r="H12" s="334"/>
      <c r="I12" s="333"/>
      <c r="J12" s="334"/>
      <c r="L12" s="334"/>
      <c r="N12" s="334"/>
      <c r="P12" s="334"/>
      <c r="Q12" s="335"/>
      <c r="R12" s="334"/>
      <c r="S12" s="319"/>
      <c r="T12" s="334"/>
    </row>
    <row r="13" spans="1:21" ht="14" customHeight="1">
      <c r="A13" s="336" t="s">
        <v>253</v>
      </c>
      <c r="B13" s="337" t="s">
        <v>6</v>
      </c>
      <c r="C13" s="338">
        <v>34579991</v>
      </c>
      <c r="D13" s="339"/>
      <c r="E13" s="338">
        <v>36563949</v>
      </c>
      <c r="F13" s="339"/>
      <c r="G13" s="338">
        <v>36840020</v>
      </c>
      <c r="H13" s="339"/>
      <c r="I13" s="338">
        <v>34751381</v>
      </c>
      <c r="J13" s="339"/>
      <c r="K13" s="338">
        <v>36209215</v>
      </c>
      <c r="L13" s="339"/>
      <c r="M13" s="338">
        <v>38767827</v>
      </c>
      <c r="N13" s="339"/>
      <c r="O13" s="338">
        <v>40226715</v>
      </c>
      <c r="P13" s="339"/>
      <c r="Q13" s="338">
        <v>42960775</v>
      </c>
      <c r="R13" s="339"/>
      <c r="S13" s="338">
        <v>43709833</v>
      </c>
      <c r="T13" s="339"/>
      <c r="U13" s="338">
        <v>47055283</v>
      </c>
    </row>
    <row r="14" spans="1:21" ht="14" customHeight="1">
      <c r="A14" s="340" t="s">
        <v>254</v>
      </c>
      <c r="B14" s="337" t="s">
        <v>6</v>
      </c>
      <c r="C14" s="341">
        <v>12025086</v>
      </c>
      <c r="E14" s="341">
        <v>12587210</v>
      </c>
      <c r="F14" s="342"/>
      <c r="G14" s="341">
        <v>12637239</v>
      </c>
      <c r="H14" s="342"/>
      <c r="I14" s="341">
        <v>12262016</v>
      </c>
      <c r="J14" s="342"/>
      <c r="K14" s="341">
        <v>13607810</v>
      </c>
      <c r="L14" s="342"/>
      <c r="M14" s="341">
        <v>13977493</v>
      </c>
      <c r="N14" s="342"/>
      <c r="O14" s="341">
        <v>14013281</v>
      </c>
      <c r="P14" s="342"/>
      <c r="Q14" s="341">
        <v>14518137</v>
      </c>
      <c r="R14" s="342"/>
      <c r="S14" s="341">
        <v>14784464</v>
      </c>
      <c r="T14" s="342"/>
      <c r="U14" s="341">
        <v>15089642</v>
      </c>
    </row>
    <row r="15" spans="1:21" ht="14" customHeight="1">
      <c r="A15" s="340" t="s">
        <v>226</v>
      </c>
      <c r="B15" s="337" t="s">
        <v>6</v>
      </c>
      <c r="C15" s="341">
        <v>7984740</v>
      </c>
      <c r="E15" s="341">
        <v>7574827</v>
      </c>
      <c r="F15" s="342"/>
      <c r="G15" s="341">
        <v>6973138</v>
      </c>
      <c r="H15" s="342"/>
      <c r="I15" s="341">
        <v>6825949</v>
      </c>
      <c r="J15" s="342"/>
      <c r="K15" s="341">
        <v>6656770</v>
      </c>
      <c r="L15" s="342"/>
      <c r="M15" s="341">
        <v>7252986</v>
      </c>
      <c r="N15" s="342"/>
      <c r="O15" s="341">
        <v>7815260</v>
      </c>
      <c r="P15" s="342"/>
      <c r="Q15" s="341">
        <v>7603524</v>
      </c>
      <c r="R15" s="342"/>
      <c r="S15" s="341">
        <v>7849377</v>
      </c>
      <c r="T15" s="342"/>
      <c r="U15" s="341">
        <v>7244264</v>
      </c>
    </row>
    <row r="16" spans="1:21" ht="14" customHeight="1">
      <c r="A16" s="340" t="s">
        <v>227</v>
      </c>
      <c r="B16" s="337" t="s">
        <v>6</v>
      </c>
      <c r="C16" s="341">
        <v>1950406</v>
      </c>
      <c r="E16" s="341">
        <v>1871299</v>
      </c>
      <c r="F16" s="342"/>
      <c r="G16" s="341">
        <v>1652571</v>
      </c>
      <c r="H16" s="342"/>
      <c r="I16" s="341">
        <v>2406844</v>
      </c>
      <c r="J16" s="342"/>
      <c r="K16" s="341">
        <v>3057463</v>
      </c>
      <c r="L16" s="342"/>
      <c r="M16" s="341">
        <v>2963095</v>
      </c>
      <c r="N16" s="342"/>
      <c r="O16" s="341">
        <v>2875344</v>
      </c>
      <c r="P16" s="342"/>
      <c r="Q16" s="341">
        <v>3252377</v>
      </c>
      <c r="R16" s="342"/>
      <c r="S16" s="341">
        <v>3317818</v>
      </c>
      <c r="T16" s="342"/>
      <c r="U16" s="341">
        <v>3889604</v>
      </c>
    </row>
    <row r="17" spans="1:21" ht="14" customHeight="1">
      <c r="A17" s="1376" t="s">
        <v>1372</v>
      </c>
      <c r="B17" s="1534" t="s">
        <v>1317</v>
      </c>
      <c r="C17" s="341">
        <v>15911011</v>
      </c>
      <c r="E17" s="341">
        <v>16952899</v>
      </c>
      <c r="F17" s="342"/>
      <c r="G17" s="341">
        <v>17080968</v>
      </c>
      <c r="H17" s="342"/>
      <c r="I17" s="341">
        <v>19516108</v>
      </c>
      <c r="J17" s="342"/>
      <c r="K17" s="341">
        <v>19148276</v>
      </c>
      <c r="L17" s="342"/>
      <c r="M17" s="341">
        <v>19515006</v>
      </c>
      <c r="N17" s="342"/>
      <c r="O17" s="341">
        <v>20000668</v>
      </c>
      <c r="P17" s="342"/>
      <c r="Q17" s="341">
        <v>20521164</v>
      </c>
      <c r="R17" s="342"/>
      <c r="S17" s="341">
        <v>25300841</v>
      </c>
      <c r="T17" s="342"/>
      <c r="U17" s="341">
        <v>23254991</v>
      </c>
    </row>
    <row r="18" spans="1:21" ht="14" customHeight="1">
      <c r="A18" s="340" t="s">
        <v>255</v>
      </c>
      <c r="B18" s="337" t="s">
        <v>6</v>
      </c>
      <c r="C18" s="341">
        <v>151754</v>
      </c>
      <c r="D18" s="343"/>
      <c r="E18" s="341">
        <v>69003</v>
      </c>
      <c r="F18" s="343"/>
      <c r="G18" s="341">
        <v>44773</v>
      </c>
      <c r="H18" s="343"/>
      <c r="I18" s="341">
        <v>84314</v>
      </c>
      <c r="J18" s="342"/>
      <c r="K18" s="341">
        <v>112070</v>
      </c>
      <c r="L18" s="343"/>
      <c r="M18" s="341">
        <v>139961</v>
      </c>
      <c r="N18" s="343"/>
      <c r="O18" s="341">
        <v>140547</v>
      </c>
      <c r="P18" s="343"/>
      <c r="Q18" s="341">
        <v>71420</v>
      </c>
      <c r="R18" s="343"/>
      <c r="S18" s="341">
        <v>74718</v>
      </c>
      <c r="T18" s="343"/>
      <c r="U18" s="341">
        <v>73548</v>
      </c>
    </row>
    <row r="19" spans="1:21" ht="18.75" customHeight="1">
      <c r="A19" s="344" t="s">
        <v>1410</v>
      </c>
      <c r="B19" s="345" t="s">
        <v>6</v>
      </c>
      <c r="C19" s="346">
        <f>ROUND(SUM(C13:C18),1)</f>
        <v>72602988</v>
      </c>
      <c r="D19" s="347"/>
      <c r="E19" s="346">
        <f>ROUND(SUM(E13:E18),1)</f>
        <v>75619187</v>
      </c>
      <c r="F19" s="347"/>
      <c r="G19" s="346">
        <f>ROUND(SUM(G13:G18),1)</f>
        <v>75228709</v>
      </c>
      <c r="H19" s="347"/>
      <c r="I19" s="346">
        <f>ROUND(SUM(I13:I18),1)</f>
        <v>75846612</v>
      </c>
      <c r="J19" s="347"/>
      <c r="K19" s="346">
        <f>ROUND(SUM(K13:K18),1)</f>
        <v>78791604</v>
      </c>
      <c r="L19" s="347"/>
      <c r="M19" s="346">
        <f>ROUND(SUM(M13:M18),1)</f>
        <v>82616368</v>
      </c>
      <c r="N19" s="347"/>
      <c r="O19" s="346">
        <f>ROUND(SUM(O13:O18),1)</f>
        <v>85071815</v>
      </c>
      <c r="P19" s="347"/>
      <c r="Q19" s="346">
        <f>ROUND(SUM(Q13:Q18),1)</f>
        <v>88927397</v>
      </c>
      <c r="R19" s="347"/>
      <c r="S19" s="346">
        <f>ROUND(SUM(S13:S18),1)</f>
        <v>95037051</v>
      </c>
      <c r="T19" s="347"/>
      <c r="U19" s="346">
        <f>ROUND(SUM(U13:U18),1)</f>
        <v>96607332</v>
      </c>
    </row>
    <row r="20" spans="1:21" ht="15">
      <c r="A20" s="340"/>
      <c r="B20" s="318" t="s">
        <v>6</v>
      </c>
      <c r="C20" s="348"/>
      <c r="D20" s="349"/>
      <c r="E20" s="348"/>
      <c r="F20" s="349"/>
      <c r="G20" s="348"/>
      <c r="H20" s="349"/>
      <c r="I20" s="348"/>
      <c r="J20" s="349"/>
      <c r="K20" s="348"/>
      <c r="L20" s="349"/>
      <c r="M20" s="348"/>
      <c r="N20" s="349"/>
      <c r="O20" s="348"/>
      <c r="P20" s="349"/>
      <c r="Q20" s="348"/>
      <c r="R20" s="349"/>
      <c r="S20" s="348"/>
      <c r="T20" s="349"/>
      <c r="U20" s="348"/>
    </row>
    <row r="21" spans="1:21" ht="14" customHeight="1">
      <c r="A21" s="344" t="s">
        <v>230</v>
      </c>
      <c r="B21" s="318"/>
      <c r="C21" s="350"/>
      <c r="D21" s="351"/>
      <c r="E21" s="350"/>
      <c r="F21" s="351"/>
      <c r="G21" s="350"/>
      <c r="H21" s="351"/>
      <c r="I21" s="350"/>
      <c r="J21" s="351"/>
      <c r="K21" s="350"/>
      <c r="L21" s="351"/>
      <c r="M21" s="350"/>
      <c r="N21" s="351"/>
      <c r="O21" s="350"/>
      <c r="P21" s="351"/>
      <c r="Q21" s="350"/>
      <c r="R21" s="351"/>
      <c r="S21" s="350"/>
      <c r="T21" s="351"/>
      <c r="U21" s="350"/>
    </row>
    <row r="22" spans="1:21" ht="14" customHeight="1">
      <c r="A22" s="340" t="s">
        <v>231</v>
      </c>
      <c r="B22" s="318"/>
      <c r="C22" s="350"/>
      <c r="D22" s="351"/>
      <c r="E22" s="350"/>
      <c r="F22" s="351"/>
      <c r="G22" s="350"/>
      <c r="H22" s="351"/>
      <c r="I22" s="350"/>
      <c r="J22" s="351"/>
      <c r="K22" s="350"/>
      <c r="L22" s="351"/>
      <c r="M22" s="350"/>
      <c r="N22" s="351"/>
      <c r="O22" s="350"/>
      <c r="P22" s="351"/>
      <c r="Q22" s="350"/>
      <c r="R22" s="351"/>
      <c r="S22" s="350"/>
      <c r="T22" s="351"/>
      <c r="U22" s="350"/>
    </row>
    <row r="23" spans="1:21" ht="14" customHeight="1">
      <c r="A23" s="352" t="s">
        <v>232</v>
      </c>
      <c r="B23" s="318" t="s">
        <v>6</v>
      </c>
      <c r="C23" s="353">
        <v>0</v>
      </c>
      <c r="D23" s="351"/>
      <c r="E23" s="353">
        <v>0</v>
      </c>
      <c r="F23" s="351"/>
      <c r="G23" s="353">
        <v>0</v>
      </c>
      <c r="H23" s="351"/>
      <c r="I23" s="353">
        <v>0</v>
      </c>
      <c r="J23" s="351"/>
      <c r="K23" s="353">
        <v>0</v>
      </c>
      <c r="L23" s="351"/>
      <c r="M23" s="353">
        <v>0</v>
      </c>
      <c r="N23" s="351"/>
      <c r="O23" s="354">
        <v>28003547</v>
      </c>
      <c r="P23" s="351"/>
      <c r="Q23" s="354">
        <v>28566137</v>
      </c>
      <c r="R23" s="351"/>
      <c r="S23" s="354">
        <v>30130698</v>
      </c>
      <c r="T23" s="351"/>
      <c r="U23" s="354">
        <v>31662758</v>
      </c>
    </row>
    <row r="24" spans="1:21" ht="14" customHeight="1">
      <c r="A24" s="352" t="s">
        <v>233</v>
      </c>
      <c r="B24" s="318" t="s">
        <v>6</v>
      </c>
      <c r="C24" s="353">
        <v>0</v>
      </c>
      <c r="D24" s="351"/>
      <c r="E24" s="353">
        <v>0</v>
      </c>
      <c r="F24" s="351"/>
      <c r="G24" s="353">
        <v>0</v>
      </c>
      <c r="H24" s="351"/>
      <c r="I24" s="353">
        <v>0</v>
      </c>
      <c r="J24" s="351"/>
      <c r="K24" s="353">
        <v>0</v>
      </c>
      <c r="L24" s="351"/>
      <c r="M24" s="353">
        <v>0</v>
      </c>
      <c r="N24" s="351"/>
      <c r="O24" s="354">
        <v>7814</v>
      </c>
      <c r="P24" s="351"/>
      <c r="Q24" s="354">
        <v>10465</v>
      </c>
      <c r="R24" s="351"/>
      <c r="S24" s="354">
        <v>9539</v>
      </c>
      <c r="T24" s="351"/>
      <c r="U24" s="354">
        <v>12174</v>
      </c>
    </row>
    <row r="25" spans="1:21" ht="14" customHeight="1">
      <c r="A25" s="352" t="s">
        <v>234</v>
      </c>
      <c r="B25" s="318" t="s">
        <v>6</v>
      </c>
      <c r="C25" s="353">
        <v>0</v>
      </c>
      <c r="D25" s="351"/>
      <c r="E25" s="353">
        <v>0</v>
      </c>
      <c r="F25" s="351"/>
      <c r="G25" s="353">
        <v>0</v>
      </c>
      <c r="H25" s="351"/>
      <c r="I25" s="353">
        <v>0</v>
      </c>
      <c r="J25" s="351"/>
      <c r="K25" s="353">
        <v>0</v>
      </c>
      <c r="L25" s="351"/>
      <c r="M25" s="353">
        <v>0</v>
      </c>
      <c r="N25" s="351"/>
      <c r="O25" s="354">
        <v>1096762</v>
      </c>
      <c r="P25" s="351"/>
      <c r="Q25" s="354">
        <v>1249088</v>
      </c>
      <c r="R25" s="351"/>
      <c r="S25" s="354">
        <v>1192301</v>
      </c>
      <c r="T25" s="351"/>
      <c r="U25" s="354">
        <v>1215379</v>
      </c>
    </row>
    <row r="26" spans="1:21" ht="14" customHeight="1">
      <c r="A26" s="352" t="s">
        <v>235</v>
      </c>
      <c r="B26" s="318" t="s">
        <v>6</v>
      </c>
      <c r="C26" s="355" t="s">
        <v>6</v>
      </c>
      <c r="D26" s="351"/>
      <c r="E26" s="355" t="s">
        <v>6</v>
      </c>
      <c r="F26" s="351"/>
      <c r="G26" s="355" t="s">
        <v>6</v>
      </c>
      <c r="H26" s="351"/>
      <c r="I26" s="355" t="s">
        <v>6</v>
      </c>
      <c r="J26" s="351"/>
      <c r="K26" s="355" t="s">
        <v>6</v>
      </c>
      <c r="L26" s="351" t="s">
        <v>12</v>
      </c>
      <c r="M26" s="355" t="s">
        <v>6</v>
      </c>
      <c r="N26" s="351" t="s">
        <v>6</v>
      </c>
      <c r="O26" s="354"/>
      <c r="P26" s="351"/>
      <c r="Q26" s="354"/>
      <c r="R26" s="351"/>
      <c r="S26" s="354"/>
      <c r="T26" s="351"/>
      <c r="U26" s="354"/>
    </row>
    <row r="27" spans="1:21" ht="14" customHeight="1">
      <c r="A27" s="1377" t="s">
        <v>1298</v>
      </c>
      <c r="B27" s="318" t="s">
        <v>6</v>
      </c>
      <c r="C27" s="353">
        <v>0</v>
      </c>
      <c r="D27" s="351"/>
      <c r="E27" s="353">
        <v>0</v>
      </c>
      <c r="F27" s="351"/>
      <c r="G27" s="353">
        <v>0</v>
      </c>
      <c r="H27" s="351"/>
      <c r="I27" s="353">
        <v>0</v>
      </c>
      <c r="J27" s="351"/>
      <c r="K27" s="353">
        <v>0</v>
      </c>
      <c r="L27" s="351"/>
      <c r="M27" s="353">
        <v>0</v>
      </c>
      <c r="N27" s="351"/>
      <c r="O27" s="354">
        <v>17591758</v>
      </c>
      <c r="P27" s="351"/>
      <c r="Q27" s="354">
        <v>17436669</v>
      </c>
      <c r="R27" s="351"/>
      <c r="S27" s="354">
        <v>18019396</v>
      </c>
      <c r="T27" s="351"/>
      <c r="U27" s="354">
        <v>18314157</v>
      </c>
    </row>
    <row r="28" spans="1:21" ht="14" customHeight="1">
      <c r="A28" s="1600" t="s">
        <v>2531</v>
      </c>
      <c r="B28" s="318" t="s">
        <v>6</v>
      </c>
      <c r="C28" s="353">
        <v>0</v>
      </c>
      <c r="D28" s="351"/>
      <c r="E28" s="353">
        <v>0</v>
      </c>
      <c r="F28" s="351"/>
      <c r="G28" s="353">
        <v>0</v>
      </c>
      <c r="H28" s="351"/>
      <c r="I28" s="353">
        <v>0</v>
      </c>
      <c r="J28" s="351"/>
      <c r="K28" s="353">
        <v>0</v>
      </c>
      <c r="L28" s="351"/>
      <c r="M28" s="353">
        <v>0</v>
      </c>
      <c r="N28" s="351"/>
      <c r="O28" s="354">
        <v>3762685</v>
      </c>
      <c r="P28" s="351"/>
      <c r="Q28" s="354">
        <v>3656417</v>
      </c>
      <c r="R28" s="351"/>
      <c r="S28" s="354">
        <v>3352872</v>
      </c>
      <c r="T28" s="351"/>
      <c r="U28" s="354">
        <v>3265481</v>
      </c>
    </row>
    <row r="29" spans="1:21" ht="14" customHeight="1">
      <c r="A29" s="1600" t="s">
        <v>2558</v>
      </c>
      <c r="B29" s="318" t="s">
        <v>6</v>
      </c>
      <c r="C29" s="353">
        <v>0</v>
      </c>
      <c r="D29" s="351"/>
      <c r="E29" s="353">
        <v>0</v>
      </c>
      <c r="F29" s="351"/>
      <c r="G29" s="353">
        <v>0</v>
      </c>
      <c r="H29" s="351"/>
      <c r="I29" s="353">
        <v>0</v>
      </c>
      <c r="J29" s="351"/>
      <c r="K29" s="353">
        <v>0</v>
      </c>
      <c r="L29" s="351"/>
      <c r="M29" s="353">
        <v>0</v>
      </c>
      <c r="N29" s="351"/>
      <c r="O29" s="354">
        <v>386785</v>
      </c>
      <c r="P29" s="351"/>
      <c r="Q29" s="354">
        <v>295356</v>
      </c>
      <c r="R29" s="351"/>
      <c r="S29" s="354">
        <v>331569</v>
      </c>
      <c r="T29" s="351"/>
      <c r="U29" s="354">
        <v>283224</v>
      </c>
    </row>
    <row r="30" spans="1:21" ht="14" customHeight="1">
      <c r="A30" s="352" t="s">
        <v>256</v>
      </c>
      <c r="B30" s="318" t="s">
        <v>6</v>
      </c>
      <c r="C30" s="353">
        <v>0</v>
      </c>
      <c r="D30" s="351"/>
      <c r="E30" s="353">
        <v>0</v>
      </c>
      <c r="F30" s="351"/>
      <c r="G30" s="353">
        <v>0</v>
      </c>
      <c r="H30" s="351"/>
      <c r="I30" s="353">
        <v>0</v>
      </c>
      <c r="J30" s="351"/>
      <c r="K30" s="353">
        <v>0</v>
      </c>
      <c r="L30" s="351"/>
      <c r="M30" s="353">
        <v>0</v>
      </c>
      <c r="N30" s="351"/>
      <c r="O30" s="354">
        <v>3049037</v>
      </c>
      <c r="P30" s="351"/>
      <c r="Q30" s="354">
        <v>3085434</v>
      </c>
      <c r="R30" s="351"/>
      <c r="S30" s="354">
        <v>2829894</v>
      </c>
      <c r="T30" s="351"/>
      <c r="U30" s="354">
        <v>2935571</v>
      </c>
    </row>
    <row r="31" spans="1:21" ht="14" customHeight="1">
      <c r="A31" s="1600" t="s">
        <v>2559</v>
      </c>
      <c r="B31" s="318" t="s">
        <v>6</v>
      </c>
      <c r="C31" s="353">
        <v>0</v>
      </c>
      <c r="D31" s="351"/>
      <c r="E31" s="353">
        <v>0</v>
      </c>
      <c r="F31" s="351"/>
      <c r="G31" s="353">
        <v>0</v>
      </c>
      <c r="H31" s="351"/>
      <c r="I31" s="353">
        <v>0</v>
      </c>
      <c r="J31" s="351"/>
      <c r="K31" s="353">
        <v>0</v>
      </c>
      <c r="L31" s="351"/>
      <c r="M31" s="353">
        <v>0</v>
      </c>
      <c r="N31" s="351"/>
      <c r="O31" s="354">
        <v>376466</v>
      </c>
      <c r="P31" s="351"/>
      <c r="Q31" s="354">
        <v>380256</v>
      </c>
      <c r="R31" s="351"/>
      <c r="S31" s="354">
        <v>351665</v>
      </c>
      <c r="T31" s="351"/>
      <c r="U31" s="354">
        <v>219285</v>
      </c>
    </row>
    <row r="32" spans="1:21" ht="14" customHeight="1">
      <c r="A32" s="1600" t="s">
        <v>2560</v>
      </c>
      <c r="B32" s="318" t="s">
        <v>6</v>
      </c>
      <c r="C32" s="353">
        <v>0</v>
      </c>
      <c r="D32" s="351"/>
      <c r="E32" s="353">
        <v>0</v>
      </c>
      <c r="F32" s="351"/>
      <c r="G32" s="353">
        <v>0</v>
      </c>
      <c r="H32" s="351"/>
      <c r="I32" s="353">
        <v>0</v>
      </c>
      <c r="J32" s="351"/>
      <c r="K32" s="353">
        <v>0</v>
      </c>
      <c r="L32" s="351"/>
      <c r="M32" s="353">
        <v>0</v>
      </c>
      <c r="N32" s="351"/>
      <c r="O32" s="354">
        <v>4306745</v>
      </c>
      <c r="P32" s="351"/>
      <c r="Q32" s="354">
        <v>4722567</v>
      </c>
      <c r="R32" s="351"/>
      <c r="S32" s="354">
        <v>4834029</v>
      </c>
      <c r="T32" s="351"/>
      <c r="U32" s="354">
        <v>4745229</v>
      </c>
    </row>
    <row r="33" spans="1:21" ht="14" customHeight="1">
      <c r="A33" s="340"/>
      <c r="B33" s="318"/>
      <c r="C33" s="350"/>
      <c r="D33" s="351"/>
      <c r="E33" s="350"/>
      <c r="F33" s="351"/>
      <c r="G33" s="350"/>
      <c r="H33" s="351"/>
      <c r="I33" s="350"/>
      <c r="J33" s="351"/>
      <c r="K33" s="350"/>
      <c r="L33" s="351"/>
      <c r="M33" s="350"/>
      <c r="N33" s="351"/>
      <c r="O33" s="350"/>
      <c r="P33" s="351"/>
      <c r="Q33" s="350"/>
      <c r="R33" s="351"/>
      <c r="S33" s="350"/>
      <c r="T33" s="351"/>
      <c r="U33" s="350"/>
    </row>
    <row r="34" spans="1:21" ht="14" customHeight="1">
      <c r="A34" s="1376" t="s">
        <v>2693</v>
      </c>
      <c r="B34" s="337" t="s">
        <v>6</v>
      </c>
      <c r="C34" s="341">
        <v>1187014</v>
      </c>
      <c r="D34" s="342"/>
      <c r="E34" s="341">
        <v>935006</v>
      </c>
      <c r="F34" s="342"/>
      <c r="G34" s="341">
        <v>1219661</v>
      </c>
      <c r="H34" s="342"/>
      <c r="I34" s="341">
        <v>1252195</v>
      </c>
      <c r="J34" s="342"/>
      <c r="K34" s="341">
        <v>1036641</v>
      </c>
      <c r="L34" s="342"/>
      <c r="M34" s="341">
        <v>956091</v>
      </c>
      <c r="N34" s="342"/>
      <c r="O34" s="353">
        <v>0</v>
      </c>
      <c r="P34" s="342"/>
      <c r="Q34" s="353">
        <v>0</v>
      </c>
      <c r="R34" s="342"/>
      <c r="S34" s="353">
        <v>0</v>
      </c>
      <c r="T34" s="342"/>
      <c r="U34" s="353">
        <v>0</v>
      </c>
    </row>
    <row r="35" spans="1:21" ht="14" customHeight="1">
      <c r="A35" s="1376" t="s">
        <v>2694</v>
      </c>
      <c r="B35" s="337" t="s">
        <v>6</v>
      </c>
      <c r="C35" s="341">
        <v>24474807</v>
      </c>
      <c r="D35" s="342"/>
      <c r="E35" s="341">
        <v>26579930</v>
      </c>
      <c r="F35" s="342"/>
      <c r="G35" s="341">
        <v>27819469</v>
      </c>
      <c r="H35" s="342"/>
      <c r="I35" s="341">
        <v>26072535</v>
      </c>
      <c r="J35" s="342"/>
      <c r="K35" s="341">
        <v>28926703</v>
      </c>
      <c r="L35" s="342"/>
      <c r="M35" s="341">
        <v>27094238</v>
      </c>
      <c r="N35" s="342"/>
      <c r="O35" s="353">
        <v>0</v>
      </c>
      <c r="P35" s="342"/>
      <c r="Q35" s="353">
        <v>0</v>
      </c>
      <c r="R35" s="342"/>
      <c r="S35" s="353">
        <v>0</v>
      </c>
      <c r="T35" s="342"/>
      <c r="U35" s="353">
        <v>0</v>
      </c>
    </row>
    <row r="36" spans="1:21" ht="14" customHeight="1">
      <c r="A36" s="1376" t="s">
        <v>2700</v>
      </c>
      <c r="B36" s="337" t="s">
        <v>6</v>
      </c>
      <c r="C36" s="341">
        <v>13462273</v>
      </c>
      <c r="D36" s="342"/>
      <c r="E36" s="341">
        <v>13086383</v>
      </c>
      <c r="F36" s="342"/>
      <c r="G36" s="341">
        <v>12417963</v>
      </c>
      <c r="H36" s="342"/>
      <c r="I36" s="341">
        <v>12255062</v>
      </c>
      <c r="J36" s="342"/>
      <c r="K36" s="341">
        <v>13149970</v>
      </c>
      <c r="L36" s="342"/>
      <c r="M36" s="341">
        <v>16489870</v>
      </c>
      <c r="N36" s="342"/>
      <c r="O36" s="353">
        <v>0</v>
      </c>
      <c r="P36" s="342"/>
      <c r="Q36" s="353">
        <v>0</v>
      </c>
      <c r="R36" s="342"/>
      <c r="S36" s="353">
        <v>0</v>
      </c>
      <c r="T36" s="342"/>
      <c r="U36" s="353">
        <v>0</v>
      </c>
    </row>
    <row r="37" spans="1:21" ht="14" customHeight="1">
      <c r="A37" s="1376" t="s">
        <v>2696</v>
      </c>
      <c r="B37" s="337" t="s">
        <v>6</v>
      </c>
      <c r="C37" s="341">
        <v>2611471</v>
      </c>
      <c r="D37" s="342"/>
      <c r="E37" s="341">
        <v>3118081</v>
      </c>
      <c r="F37" s="342"/>
      <c r="G37" s="341">
        <v>2876392</v>
      </c>
      <c r="H37" s="342"/>
      <c r="I37" s="341">
        <v>3025196</v>
      </c>
      <c r="J37" s="342"/>
      <c r="K37" s="341">
        <v>2809578</v>
      </c>
      <c r="L37" s="342"/>
      <c r="M37" s="341">
        <v>2908092</v>
      </c>
      <c r="N37" s="342"/>
      <c r="O37" s="353">
        <v>0</v>
      </c>
      <c r="P37" s="342"/>
      <c r="Q37" s="353">
        <v>0</v>
      </c>
      <c r="R37" s="342"/>
      <c r="S37" s="353">
        <v>0</v>
      </c>
      <c r="T37" s="342"/>
      <c r="U37" s="353">
        <v>0</v>
      </c>
    </row>
    <row r="38" spans="1:21" ht="14" customHeight="1">
      <c r="A38" s="1376" t="s">
        <v>2697</v>
      </c>
      <c r="B38" s="337" t="s">
        <v>6</v>
      </c>
      <c r="C38" s="341">
        <v>3763907</v>
      </c>
      <c r="D38" s="342"/>
      <c r="E38" s="341">
        <v>3415389</v>
      </c>
      <c r="F38" s="342"/>
      <c r="G38" s="341">
        <v>3293798</v>
      </c>
      <c r="H38" s="342"/>
      <c r="I38" s="341">
        <v>3280635</v>
      </c>
      <c r="J38" s="342"/>
      <c r="K38" s="341">
        <v>2635388</v>
      </c>
      <c r="L38" s="342"/>
      <c r="M38" s="341">
        <v>2968850</v>
      </c>
      <c r="N38" s="342"/>
      <c r="O38" s="353">
        <v>0</v>
      </c>
      <c r="P38" s="342"/>
      <c r="Q38" s="353">
        <v>0</v>
      </c>
      <c r="R38" s="342"/>
      <c r="S38" s="353">
        <v>0</v>
      </c>
      <c r="T38" s="342"/>
      <c r="U38" s="353">
        <v>0</v>
      </c>
    </row>
    <row r="39" spans="1:21" ht="14" customHeight="1">
      <c r="A39" s="1376" t="s">
        <v>2698</v>
      </c>
      <c r="B39" s="337" t="s">
        <v>6</v>
      </c>
      <c r="C39" s="341">
        <v>1351095</v>
      </c>
      <c r="D39" s="342"/>
      <c r="E39" s="341">
        <v>1595957</v>
      </c>
      <c r="F39" s="342"/>
      <c r="G39" s="341">
        <v>1702263</v>
      </c>
      <c r="H39" s="342"/>
      <c r="I39" s="341">
        <v>1668378</v>
      </c>
      <c r="J39" s="342"/>
      <c r="K39" s="341">
        <v>1669180</v>
      </c>
      <c r="L39" s="342"/>
      <c r="M39" s="341">
        <v>1731350</v>
      </c>
      <c r="N39" s="342"/>
      <c r="O39" s="353">
        <v>0</v>
      </c>
      <c r="P39" s="342"/>
      <c r="Q39" s="353">
        <v>0</v>
      </c>
      <c r="R39" s="342"/>
      <c r="S39" s="353">
        <v>0</v>
      </c>
      <c r="T39" s="342"/>
      <c r="U39" s="353">
        <v>0</v>
      </c>
    </row>
    <row r="40" spans="1:21" ht="14" customHeight="1">
      <c r="A40" s="1376" t="s">
        <v>2699</v>
      </c>
      <c r="B40" s="337" t="s">
        <v>6</v>
      </c>
      <c r="C40" s="341">
        <v>2300832</v>
      </c>
      <c r="D40" s="342"/>
      <c r="E40" s="341">
        <v>2825426</v>
      </c>
      <c r="F40" s="342"/>
      <c r="G40" s="341">
        <v>2982101</v>
      </c>
      <c r="H40" s="342"/>
      <c r="I40" s="341">
        <v>3823477</v>
      </c>
      <c r="J40" s="342"/>
      <c r="K40" s="341">
        <v>4253827</v>
      </c>
      <c r="L40" s="342"/>
      <c r="M40" s="341">
        <v>4229733</v>
      </c>
      <c r="N40" s="342"/>
      <c r="O40" s="353">
        <v>0</v>
      </c>
      <c r="P40" s="342"/>
      <c r="Q40" s="353">
        <v>0</v>
      </c>
      <c r="R40" s="342"/>
      <c r="S40" s="353">
        <v>0</v>
      </c>
      <c r="T40" s="342"/>
      <c r="U40" s="353">
        <v>0</v>
      </c>
    </row>
    <row r="41" spans="1:21" ht="14" customHeight="1">
      <c r="A41" s="2170" t="s">
        <v>2716</v>
      </c>
      <c r="B41" s="337" t="s">
        <v>6</v>
      </c>
      <c r="C41" s="341"/>
      <c r="D41" s="343"/>
      <c r="E41" s="341"/>
      <c r="F41" s="343"/>
      <c r="G41" s="341"/>
      <c r="H41" s="343"/>
      <c r="I41" s="341"/>
      <c r="J41" s="342"/>
      <c r="K41" s="341"/>
      <c r="L41" s="343"/>
      <c r="M41" s="341"/>
      <c r="N41" s="343"/>
      <c r="O41" s="341"/>
      <c r="P41" s="343"/>
      <c r="Q41" s="341"/>
      <c r="R41" s="343"/>
      <c r="S41" s="341"/>
      <c r="T41" s="343"/>
      <c r="U41" s="341"/>
    </row>
    <row r="42" spans="1:21" ht="14" customHeight="1">
      <c r="A42" s="2168" t="s">
        <v>2532</v>
      </c>
      <c r="B42" s="337" t="s">
        <v>6</v>
      </c>
      <c r="C42" s="341">
        <v>1646538</v>
      </c>
      <c r="D42" s="343"/>
      <c r="E42" s="341">
        <v>2184870</v>
      </c>
      <c r="F42" s="343"/>
      <c r="G42" s="341">
        <v>2197883</v>
      </c>
      <c r="H42" s="343"/>
      <c r="I42" s="341">
        <v>946101</v>
      </c>
      <c r="J42" s="342"/>
      <c r="K42" s="341">
        <v>813359</v>
      </c>
      <c r="L42" s="343"/>
      <c r="M42" s="341">
        <f>889489</f>
        <v>889489</v>
      </c>
      <c r="N42" s="343"/>
      <c r="O42" s="353">
        <v>0</v>
      </c>
      <c r="P42" s="343"/>
      <c r="Q42" s="353">
        <v>0</v>
      </c>
      <c r="R42" s="343"/>
      <c r="S42" s="353">
        <v>0</v>
      </c>
      <c r="T42" s="343"/>
      <c r="U42" s="353">
        <v>0</v>
      </c>
    </row>
    <row r="43" spans="1:21" ht="18" customHeight="1">
      <c r="A43" s="344" t="s">
        <v>2720</v>
      </c>
      <c r="B43" s="318" t="s">
        <v>6</v>
      </c>
      <c r="C43" s="356">
        <f>ROUND(SUM(C23:C42),1)</f>
        <v>50797937</v>
      </c>
      <c r="D43" s="343"/>
      <c r="E43" s="356">
        <f>ROUND(SUM(E23:E42),1)</f>
        <v>53741042</v>
      </c>
      <c r="F43" s="343"/>
      <c r="G43" s="356">
        <f>ROUND(SUM(G23:G42),1)</f>
        <v>54509530</v>
      </c>
      <c r="H43" s="343"/>
      <c r="I43" s="356">
        <f>ROUND(SUM(I23:I42),1)</f>
        <v>52323579</v>
      </c>
      <c r="J43" s="343"/>
      <c r="K43" s="356">
        <f>ROUND(SUM(K23:K42),1)</f>
        <v>55294646</v>
      </c>
      <c r="L43" s="343"/>
      <c r="M43" s="356">
        <f>ROUND(SUM(M23:M42),1)</f>
        <v>57267713</v>
      </c>
      <c r="N43" s="343"/>
      <c r="O43" s="356">
        <f>ROUND(SUM(O23:O42),1)</f>
        <v>58581599</v>
      </c>
      <c r="P43" s="343"/>
      <c r="Q43" s="356">
        <f>ROUND(SUM(Q23:Q42),1)</f>
        <v>59402389</v>
      </c>
      <c r="R43" s="343"/>
      <c r="S43" s="356">
        <f>ROUND(SUM(S23:S42),1)</f>
        <v>61051963</v>
      </c>
      <c r="T43" s="343"/>
      <c r="U43" s="356">
        <f>ROUND(SUM(U23:U42),1)</f>
        <v>62653258</v>
      </c>
    </row>
    <row r="44" spans="1:21" ht="14" customHeight="1">
      <c r="A44" s="340" t="s">
        <v>239</v>
      </c>
      <c r="B44" s="318"/>
      <c r="C44" s="350"/>
      <c r="D44" s="351"/>
      <c r="E44" s="350"/>
      <c r="F44" s="351"/>
      <c r="G44" s="350"/>
      <c r="H44" s="351"/>
      <c r="I44" s="350"/>
      <c r="J44" s="351"/>
      <c r="K44" s="350"/>
      <c r="L44" s="351"/>
      <c r="M44" s="350"/>
      <c r="N44" s="351"/>
      <c r="O44" s="350"/>
      <c r="P44" s="351"/>
      <c r="Q44" s="350"/>
      <c r="R44" s="351"/>
      <c r="S44" s="350"/>
      <c r="T44" s="351"/>
      <c r="U44" s="350"/>
    </row>
    <row r="45" spans="1:21" ht="14" customHeight="1">
      <c r="A45" s="1376" t="s">
        <v>2554</v>
      </c>
      <c r="B45" s="337" t="s">
        <v>6</v>
      </c>
      <c r="C45" s="341">
        <v>11008753</v>
      </c>
      <c r="D45" s="342"/>
      <c r="E45" s="341">
        <v>11291519</v>
      </c>
      <c r="F45" s="342"/>
      <c r="G45" s="341">
        <v>11981404</v>
      </c>
      <c r="H45" s="342"/>
      <c r="I45" s="341">
        <v>12748344</v>
      </c>
      <c r="J45" s="342"/>
      <c r="K45" s="341">
        <v>12422427</v>
      </c>
      <c r="L45" s="342"/>
      <c r="M45" s="341">
        <v>12039972</v>
      </c>
      <c r="N45" s="342"/>
      <c r="O45" s="341">
        <v>12402450</v>
      </c>
      <c r="P45" s="342"/>
      <c r="Q45" s="341">
        <v>12300482</v>
      </c>
      <c r="R45" s="342"/>
      <c r="S45" s="341">
        <v>12549597</v>
      </c>
      <c r="T45" s="342"/>
      <c r="U45" s="341">
        <v>12980751</v>
      </c>
    </row>
    <row r="46" spans="1:21" ht="14" customHeight="1">
      <c r="A46" s="1376" t="s">
        <v>2561</v>
      </c>
      <c r="B46" s="337" t="s">
        <v>6</v>
      </c>
      <c r="C46" s="341">
        <v>5236509</v>
      </c>
      <c r="D46" s="342"/>
      <c r="E46" s="341">
        <v>5616197</v>
      </c>
      <c r="F46" s="342"/>
      <c r="G46" s="341">
        <v>5491187</v>
      </c>
      <c r="H46" s="342"/>
      <c r="I46" s="341">
        <v>5114447</v>
      </c>
      <c r="J46" s="342"/>
      <c r="K46" s="341">
        <v>4965584</v>
      </c>
      <c r="L46" s="342"/>
      <c r="M46" s="341">
        <v>5410795</v>
      </c>
      <c r="N46" s="342"/>
      <c r="O46" s="341">
        <v>5280742</v>
      </c>
      <c r="P46" s="342"/>
      <c r="Q46" s="341">
        <v>5563854</v>
      </c>
      <c r="R46" s="342"/>
      <c r="S46" s="341">
        <v>5607541</v>
      </c>
      <c r="T46" s="342"/>
      <c r="U46" s="341">
        <v>5601777</v>
      </c>
    </row>
    <row r="47" spans="1:21" ht="14" customHeight="1">
      <c r="A47" s="340" t="s">
        <v>240</v>
      </c>
      <c r="B47" s="337" t="s">
        <v>6</v>
      </c>
      <c r="C47" s="341">
        <v>5003594</v>
      </c>
      <c r="D47" s="342"/>
      <c r="E47" s="341">
        <v>5259763</v>
      </c>
      <c r="F47" s="342"/>
      <c r="G47" s="341">
        <v>5104907</v>
      </c>
      <c r="H47" s="342"/>
      <c r="I47" s="341">
        <v>5500551</v>
      </c>
      <c r="J47" s="342"/>
      <c r="K47" s="341">
        <v>6101494</v>
      </c>
      <c r="L47" s="342"/>
      <c r="M47" s="341">
        <v>6592416</v>
      </c>
      <c r="N47" s="342"/>
      <c r="O47" s="341">
        <v>6436100</v>
      </c>
      <c r="P47" s="342"/>
      <c r="Q47" s="341">
        <v>6957594</v>
      </c>
      <c r="R47" s="342"/>
      <c r="S47" s="341">
        <v>7033234</v>
      </c>
      <c r="T47" s="342"/>
      <c r="U47" s="341">
        <v>7452462</v>
      </c>
    </row>
    <row r="48" spans="1:21" ht="14" customHeight="1">
      <c r="A48" s="357" t="s">
        <v>257</v>
      </c>
      <c r="B48" s="318" t="s">
        <v>6</v>
      </c>
      <c r="C48" s="341">
        <v>4450737</v>
      </c>
      <c r="D48" s="358"/>
      <c r="E48" s="341">
        <v>4104000</v>
      </c>
      <c r="F48" s="358"/>
      <c r="G48" s="341">
        <v>4529667</v>
      </c>
      <c r="H48" s="358"/>
      <c r="I48" s="341">
        <v>4961470</v>
      </c>
      <c r="J48" s="358"/>
      <c r="K48" s="341">
        <v>5614669</v>
      </c>
      <c r="L48" s="358"/>
      <c r="M48" s="341">
        <v>5864022</v>
      </c>
      <c r="N48" s="358"/>
      <c r="O48" s="341">
        <v>6137929</v>
      </c>
      <c r="P48" s="358"/>
      <c r="Q48" s="341">
        <v>6399696</v>
      </c>
      <c r="R48" s="358"/>
      <c r="S48" s="341">
        <v>6182817</v>
      </c>
      <c r="T48" s="358"/>
      <c r="U48" s="341">
        <v>5598485</v>
      </c>
    </row>
    <row r="49" spans="1:21" ht="14" customHeight="1">
      <c r="A49" s="1376" t="s">
        <v>2555</v>
      </c>
      <c r="B49" s="337" t="s">
        <v>6</v>
      </c>
      <c r="C49" s="341">
        <v>9491</v>
      </c>
      <c r="D49" s="343"/>
      <c r="E49" s="341">
        <v>7474</v>
      </c>
      <c r="F49" s="343"/>
      <c r="G49" s="341">
        <v>8832</v>
      </c>
      <c r="H49" s="343"/>
      <c r="I49" s="341">
        <v>11040</v>
      </c>
      <c r="J49" s="342"/>
      <c r="K49" s="341">
        <v>18571</v>
      </c>
      <c r="L49" s="343"/>
      <c r="M49" s="341">
        <v>6428</v>
      </c>
      <c r="N49" s="343"/>
      <c r="O49" s="341">
        <v>4025</v>
      </c>
      <c r="P49" s="343"/>
      <c r="Q49" s="341">
        <v>6929</v>
      </c>
      <c r="R49" s="343"/>
      <c r="S49" s="341">
        <v>1322</v>
      </c>
      <c r="T49" s="343"/>
      <c r="U49" s="341">
        <v>1749</v>
      </c>
    </row>
    <row r="50" spans="1:21" ht="18" customHeight="1">
      <c r="A50" s="344" t="s">
        <v>243</v>
      </c>
      <c r="B50" s="345" t="s">
        <v>6</v>
      </c>
      <c r="C50" s="346">
        <f>ROUND(SUM(C43:C49),1)</f>
        <v>76507021</v>
      </c>
      <c r="D50" s="347"/>
      <c r="E50" s="346">
        <f>ROUND(SUM(E43:E49),1)</f>
        <v>80019995</v>
      </c>
      <c r="F50" s="347"/>
      <c r="G50" s="346">
        <f>ROUND(SUM(G43:G49),1)</f>
        <v>81625527</v>
      </c>
      <c r="H50" s="347"/>
      <c r="I50" s="346">
        <f>ROUND(SUM(I43:I49),1)</f>
        <v>80659431</v>
      </c>
      <c r="J50" s="347"/>
      <c r="K50" s="346">
        <f>ROUND(SUM(K43:K49),1)</f>
        <v>84417391</v>
      </c>
      <c r="L50" s="347"/>
      <c r="M50" s="346">
        <f>ROUND(SUM(M43:M49),1)</f>
        <v>87181346</v>
      </c>
      <c r="N50" s="347"/>
      <c r="O50" s="346">
        <f>ROUND(SUM(O43:O49),1)</f>
        <v>88842845</v>
      </c>
      <c r="P50" s="347"/>
      <c r="Q50" s="346">
        <f>ROUND(SUM(Q43:Q49),1)</f>
        <v>90630944</v>
      </c>
      <c r="R50" s="347"/>
      <c r="S50" s="346">
        <f>ROUND(SUM(S43:S49),1)</f>
        <v>92426474</v>
      </c>
      <c r="T50" s="347"/>
      <c r="U50" s="346">
        <f>ROUND(SUM(U43:U49),1)</f>
        <v>94288482</v>
      </c>
    </row>
    <row r="51" spans="1:21" ht="15" customHeight="1">
      <c r="A51" s="344"/>
      <c r="B51" s="326"/>
      <c r="C51" s="346"/>
      <c r="D51" s="347"/>
      <c r="E51" s="346"/>
      <c r="F51" s="347"/>
      <c r="G51" s="346"/>
      <c r="H51" s="347"/>
      <c r="I51" s="346"/>
      <c r="J51" s="347"/>
      <c r="K51" s="346"/>
      <c r="L51" s="347"/>
      <c r="M51" s="346"/>
      <c r="N51" s="347"/>
      <c r="O51" s="346"/>
      <c r="P51" s="347"/>
      <c r="Q51" s="346"/>
      <c r="R51" s="347"/>
      <c r="S51" s="346"/>
      <c r="T51" s="347"/>
      <c r="U51" s="346"/>
    </row>
    <row r="52" spans="1:21" ht="15.75" customHeight="1">
      <c r="A52" s="344" t="s">
        <v>244</v>
      </c>
      <c r="B52" s="345" t="s">
        <v>6</v>
      </c>
      <c r="C52" s="359">
        <f>ROUND(SUM(C19-C50),1)</f>
        <v>-3904033</v>
      </c>
      <c r="D52" s="347"/>
      <c r="E52" s="359">
        <f>ROUND(SUM(E19-E50),1)</f>
        <v>-4400808</v>
      </c>
      <c r="F52" s="347"/>
      <c r="G52" s="359">
        <f>ROUND(SUM(G19-G50),1)</f>
        <v>-6396818</v>
      </c>
      <c r="H52" s="347"/>
      <c r="I52" s="359">
        <f>ROUND(SUM(I19-I50),1)</f>
        <v>-4812819</v>
      </c>
      <c r="J52" s="360"/>
      <c r="K52" s="359">
        <f>ROUND(SUM(K19-K50),1)</f>
        <v>-5625787</v>
      </c>
      <c r="L52" s="347"/>
      <c r="M52" s="359">
        <f>ROUND(SUM(M19-M50),1)</f>
        <v>-4564978</v>
      </c>
      <c r="N52" s="347"/>
      <c r="O52" s="359">
        <f>ROUND(SUM(O19-O50),1)</f>
        <v>-3771030</v>
      </c>
      <c r="P52" s="347"/>
      <c r="Q52" s="359">
        <f>ROUND(SUM(Q19-Q50),1)</f>
        <v>-1703547</v>
      </c>
      <c r="R52" s="347"/>
      <c r="S52" s="359">
        <f>ROUND(SUM(S19-S50),1)</f>
        <v>2610577</v>
      </c>
      <c r="T52" s="347"/>
      <c r="U52" s="359">
        <f>ROUND(SUM(U19-U50),1)</f>
        <v>2318850</v>
      </c>
    </row>
    <row r="53" spans="1:21" ht="15">
      <c r="A53" s="344"/>
      <c r="B53" s="318"/>
      <c r="C53" s="348"/>
      <c r="D53" s="349"/>
      <c r="E53" s="348"/>
      <c r="F53" s="349"/>
      <c r="G53" s="348"/>
      <c r="H53" s="349"/>
      <c r="I53" s="348"/>
      <c r="J53" s="349"/>
      <c r="K53" s="348"/>
      <c r="L53" s="349"/>
      <c r="M53" s="348"/>
      <c r="N53" s="349"/>
      <c r="O53" s="348"/>
      <c r="P53" s="349"/>
      <c r="Q53" s="348"/>
      <c r="R53" s="349"/>
      <c r="S53" s="348"/>
      <c r="T53" s="349"/>
      <c r="U53" s="348"/>
    </row>
    <row r="54" spans="1:21" ht="14" customHeight="1">
      <c r="A54" s="344" t="s">
        <v>245</v>
      </c>
      <c r="B54" s="318"/>
      <c r="C54" s="350"/>
      <c r="D54" s="351"/>
      <c r="E54" s="350"/>
      <c r="F54" s="351"/>
      <c r="G54" s="350"/>
      <c r="H54" s="351"/>
      <c r="I54" s="350"/>
      <c r="J54" s="351"/>
      <c r="K54" s="350"/>
      <c r="L54" s="351"/>
      <c r="M54" s="350"/>
      <c r="N54" s="351"/>
      <c r="O54" s="350"/>
      <c r="P54" s="351"/>
      <c r="Q54" s="350"/>
      <c r="R54" s="351"/>
      <c r="S54" s="350"/>
      <c r="T54" s="351"/>
      <c r="U54" s="350"/>
    </row>
    <row r="55" spans="1:21" ht="14" customHeight="1">
      <c r="A55" s="1376" t="s">
        <v>1412</v>
      </c>
      <c r="B55" s="337" t="s">
        <v>6</v>
      </c>
      <c r="C55" s="353">
        <v>0</v>
      </c>
      <c r="D55" s="342"/>
      <c r="E55" s="353">
        <v>0</v>
      </c>
      <c r="F55" s="342"/>
      <c r="G55" s="353">
        <v>0</v>
      </c>
      <c r="H55" s="342"/>
      <c r="I55" s="353">
        <v>0</v>
      </c>
      <c r="J55" s="342"/>
      <c r="K55" s="353">
        <v>0</v>
      </c>
      <c r="L55" s="342"/>
      <c r="M55" s="353">
        <v>0</v>
      </c>
      <c r="N55" s="342"/>
      <c r="O55" s="353">
        <v>0</v>
      </c>
      <c r="P55" s="342"/>
      <c r="Q55" s="353">
        <v>0</v>
      </c>
      <c r="R55" s="342"/>
      <c r="S55" s="353">
        <v>0</v>
      </c>
      <c r="T55" s="342"/>
      <c r="U55" s="353">
        <v>0</v>
      </c>
    </row>
    <row r="56" spans="1:21" ht="14" customHeight="1">
      <c r="A56" s="340" t="s">
        <v>247</v>
      </c>
      <c r="B56" s="337" t="s">
        <v>6</v>
      </c>
      <c r="C56" s="341">
        <v>20360432</v>
      </c>
      <c r="D56" s="342"/>
      <c r="E56" s="341">
        <v>22126619</v>
      </c>
      <c r="F56" s="342"/>
      <c r="G56" s="341">
        <v>26336470</v>
      </c>
      <c r="H56" s="342"/>
      <c r="I56" s="341">
        <v>26180182</v>
      </c>
      <c r="J56" s="342"/>
      <c r="K56" s="341">
        <v>27218099</v>
      </c>
      <c r="L56" s="342"/>
      <c r="M56" s="341">
        <v>26274216</v>
      </c>
      <c r="N56" s="342"/>
      <c r="O56" s="341">
        <v>26404073</v>
      </c>
      <c r="P56" s="342"/>
      <c r="Q56" s="341">
        <v>29481642</v>
      </c>
      <c r="R56" s="342"/>
      <c r="S56" s="341">
        <v>28850719</v>
      </c>
      <c r="T56" s="342"/>
      <c r="U56" s="341">
        <v>31042573</v>
      </c>
    </row>
    <row r="57" spans="1:21" ht="14" customHeight="1">
      <c r="A57" s="340" t="s">
        <v>248</v>
      </c>
      <c r="B57" s="337" t="s">
        <v>6</v>
      </c>
      <c r="C57" s="341">
        <v>-16913610</v>
      </c>
      <c r="D57" s="343"/>
      <c r="E57" s="341">
        <v>-18170423</v>
      </c>
      <c r="F57" s="343"/>
      <c r="G57" s="341">
        <v>-21800884</v>
      </c>
      <c r="H57" s="343"/>
      <c r="I57" s="341">
        <v>-21433944</v>
      </c>
      <c r="J57" s="342"/>
      <c r="K57" s="341">
        <v>-22433710</v>
      </c>
      <c r="L57" s="343"/>
      <c r="M57" s="341">
        <v>-21831104</v>
      </c>
      <c r="N57" s="343"/>
      <c r="O57" s="341">
        <v>-22120550</v>
      </c>
      <c r="P57" s="343"/>
      <c r="Q57" s="341">
        <v>-27348419</v>
      </c>
      <c r="R57" s="343"/>
      <c r="S57" s="341">
        <v>-26360135</v>
      </c>
      <c r="T57" s="343"/>
      <c r="U57" s="341">
        <v>-30611048</v>
      </c>
    </row>
    <row r="58" spans="1:21" ht="14" customHeight="1">
      <c r="A58" s="2218" t="s">
        <v>2631</v>
      </c>
      <c r="B58" s="2219" t="s">
        <v>6</v>
      </c>
      <c r="C58" s="341">
        <v>0</v>
      </c>
      <c r="D58" s="343"/>
      <c r="E58" s="341">
        <v>0</v>
      </c>
      <c r="F58" s="343"/>
      <c r="G58" s="341">
        <v>0</v>
      </c>
      <c r="H58" s="343"/>
      <c r="I58" s="341">
        <v>0</v>
      </c>
      <c r="J58" s="342"/>
      <c r="K58" s="341">
        <v>0</v>
      </c>
      <c r="L58" s="343"/>
      <c r="M58" s="341">
        <v>0</v>
      </c>
      <c r="N58" s="343"/>
      <c r="O58" s="341">
        <v>0</v>
      </c>
      <c r="P58" s="343"/>
      <c r="Q58" s="341">
        <v>0</v>
      </c>
      <c r="R58" s="343"/>
      <c r="S58" s="341">
        <v>0</v>
      </c>
      <c r="T58" s="343"/>
      <c r="U58" s="341">
        <v>-5</v>
      </c>
    </row>
    <row r="59" spans="1:21" ht="18.75" customHeight="1">
      <c r="A59" s="344" t="s">
        <v>1411</v>
      </c>
      <c r="B59" s="345" t="s">
        <v>6</v>
      </c>
      <c r="C59" s="346">
        <f>ROUND(SUM(C55:C58),1)</f>
        <v>3446822</v>
      </c>
      <c r="D59" s="347"/>
      <c r="E59" s="346">
        <f>ROUND(SUM(E55:E58),1)</f>
        <v>3956196</v>
      </c>
      <c r="F59" s="347"/>
      <c r="G59" s="346">
        <f>ROUND(SUM(G55:G58),1)</f>
        <v>4535586</v>
      </c>
      <c r="H59" s="347"/>
      <c r="I59" s="346">
        <f>ROUND(SUM(I55:I58),1)</f>
        <v>4746238</v>
      </c>
      <c r="J59" s="347"/>
      <c r="K59" s="346">
        <f>ROUND(SUM(K55:K58),1)</f>
        <v>4784389</v>
      </c>
      <c r="L59" s="347"/>
      <c r="M59" s="346">
        <f>ROUND(SUM(M55:M58),1)</f>
        <v>4443112</v>
      </c>
      <c r="N59" s="347"/>
      <c r="O59" s="346">
        <f>ROUND(SUM(O55:O58),1)</f>
        <v>4283523</v>
      </c>
      <c r="P59" s="347"/>
      <c r="Q59" s="346">
        <f>ROUND(SUM(Q55:Q58),1)</f>
        <v>2133223</v>
      </c>
      <c r="R59" s="347"/>
      <c r="S59" s="346">
        <f>ROUND(SUM(S55:S58),1)</f>
        <v>2490584</v>
      </c>
      <c r="T59" s="347"/>
      <c r="U59" s="346">
        <f>ROUND(SUM(U55:U58),1)</f>
        <v>431520</v>
      </c>
    </row>
    <row r="60" spans="1:21" ht="15" customHeight="1">
      <c r="A60" s="340"/>
      <c r="B60" s="318"/>
      <c r="C60" s="348"/>
      <c r="D60" s="349"/>
      <c r="E60" s="348"/>
      <c r="F60" s="349"/>
      <c r="G60" s="348"/>
      <c r="H60" s="349"/>
      <c r="I60" s="348"/>
      <c r="J60" s="349"/>
      <c r="K60" s="348"/>
      <c r="L60" s="349"/>
      <c r="M60" s="348"/>
      <c r="N60" s="349"/>
      <c r="O60" s="348"/>
      <c r="P60" s="349"/>
      <c r="Q60" s="348"/>
      <c r="R60" s="349"/>
      <c r="S60" s="348"/>
      <c r="T60" s="349"/>
      <c r="U60" s="348"/>
    </row>
    <row r="61" spans="1:21" ht="15.75" customHeight="1">
      <c r="A61" s="361" t="s">
        <v>249</v>
      </c>
      <c r="B61" s="326"/>
      <c r="C61" s="350"/>
      <c r="D61" s="351"/>
      <c r="E61" s="350"/>
      <c r="F61" s="351"/>
      <c r="G61" s="350"/>
      <c r="H61" s="351"/>
      <c r="I61" s="350"/>
      <c r="J61" s="351"/>
      <c r="K61" s="350"/>
      <c r="L61" s="351"/>
      <c r="M61" s="350"/>
      <c r="N61" s="351"/>
      <c r="O61" s="350"/>
      <c r="P61" s="351"/>
      <c r="Q61" s="350"/>
      <c r="R61" s="351"/>
      <c r="S61" s="350"/>
      <c r="T61" s="351"/>
      <c r="U61" s="350"/>
    </row>
    <row r="62" spans="1:21" ht="15">
      <c r="A62" s="344" t="s">
        <v>250</v>
      </c>
      <c r="B62" s="326"/>
      <c r="C62" s="350"/>
      <c r="D62" s="351"/>
      <c r="E62" s="350"/>
      <c r="F62" s="351"/>
      <c r="G62" s="350"/>
      <c r="H62" s="351"/>
      <c r="I62" s="350"/>
      <c r="J62" s="351"/>
      <c r="K62" s="350"/>
      <c r="L62" s="351"/>
      <c r="M62" s="350"/>
      <c r="N62" s="351"/>
      <c r="O62" s="350"/>
      <c r="P62" s="351"/>
      <c r="Q62" s="350"/>
      <c r="R62" s="351"/>
      <c r="S62" s="350"/>
      <c r="T62" s="351"/>
      <c r="U62" s="350"/>
    </row>
    <row r="63" spans="1:21" ht="15.75" customHeight="1">
      <c r="A63" s="344" t="s">
        <v>251</v>
      </c>
      <c r="B63" s="345" t="s">
        <v>6</v>
      </c>
      <c r="C63" s="359">
        <f>ROUND(SUM(C52+C59),1)</f>
        <v>-457211</v>
      </c>
      <c r="D63" s="360"/>
      <c r="E63" s="359">
        <f>ROUND(SUM(E52+E59),1)</f>
        <v>-444612</v>
      </c>
      <c r="F63" s="360"/>
      <c r="G63" s="359">
        <f>ROUND(SUM(G52+G59),1)</f>
        <v>-1861232</v>
      </c>
      <c r="H63" s="360"/>
      <c r="I63" s="359">
        <f>ROUND(SUM(I52+I59),1)</f>
        <v>-66581</v>
      </c>
      <c r="J63" s="360"/>
      <c r="K63" s="359">
        <f>ROUND(SUM(K52+K59),1)</f>
        <v>-841398</v>
      </c>
      <c r="L63" s="360"/>
      <c r="M63" s="359">
        <f>ROUND(SUM(M52+M59),1)</f>
        <v>-121866</v>
      </c>
      <c r="N63" s="360"/>
      <c r="O63" s="359">
        <f>ROUND(SUM(O52+O59),1)</f>
        <v>512493</v>
      </c>
      <c r="P63" s="360"/>
      <c r="Q63" s="359">
        <f>ROUND(SUM(Q52+Q59),1)</f>
        <v>429676</v>
      </c>
      <c r="R63" s="360"/>
      <c r="S63" s="359">
        <f>ROUND(SUM(S52+S59),1)</f>
        <v>5101161</v>
      </c>
      <c r="T63" s="360"/>
      <c r="U63" s="359">
        <f>ROUND(SUM(U52+U59),1)</f>
        <v>2750370</v>
      </c>
    </row>
    <row r="64" spans="1:21" ht="8" customHeight="1">
      <c r="A64" s="344"/>
      <c r="B64" s="326"/>
      <c r="C64" s="359"/>
      <c r="D64" s="360"/>
      <c r="E64" s="359"/>
      <c r="F64" s="360"/>
      <c r="G64" s="359"/>
      <c r="H64" s="360"/>
      <c r="I64" s="359"/>
      <c r="J64" s="360"/>
      <c r="K64" s="359"/>
      <c r="L64" s="360"/>
      <c r="M64" s="359"/>
      <c r="N64" s="360"/>
      <c r="O64" s="359"/>
      <c r="P64" s="360"/>
      <c r="Q64" s="359"/>
      <c r="R64" s="360"/>
      <c r="S64" s="359"/>
      <c r="T64" s="360"/>
      <c r="U64" s="359"/>
    </row>
    <row r="65" spans="1:21" ht="14" customHeight="1">
      <c r="A65" s="361" t="s">
        <v>1312</v>
      </c>
      <c r="B65" s="326" t="s">
        <v>6</v>
      </c>
      <c r="C65" s="359">
        <v>7639842</v>
      </c>
      <c r="D65" s="347"/>
      <c r="E65" s="359">
        <v>7182631</v>
      </c>
      <c r="F65" s="347"/>
      <c r="G65" s="359">
        <v>6738019</v>
      </c>
      <c r="H65" s="347"/>
      <c r="I65" s="359">
        <v>4876787</v>
      </c>
      <c r="J65" s="360"/>
      <c r="K65" s="359">
        <v>4810206</v>
      </c>
      <c r="L65" s="347"/>
      <c r="M65" s="359">
        <v>3968808</v>
      </c>
      <c r="N65" s="347"/>
      <c r="O65" s="359">
        <v>3846942</v>
      </c>
      <c r="P65" s="347"/>
      <c r="Q65" s="359">
        <v>4359435</v>
      </c>
      <c r="R65" s="347"/>
      <c r="S65" s="359">
        <v>4789111</v>
      </c>
      <c r="T65" s="347"/>
      <c r="U65" s="359">
        <v>9890801</v>
      </c>
    </row>
    <row r="66" spans="1:21" ht="22.5" customHeight="1" thickBot="1">
      <c r="A66" s="361" t="s">
        <v>258</v>
      </c>
      <c r="B66" s="345" t="s">
        <v>6</v>
      </c>
      <c r="C66" s="362">
        <f>ROUND(SUM(C63+C65),1)</f>
        <v>7182631</v>
      </c>
      <c r="D66" s="363"/>
      <c r="E66" s="362">
        <f>ROUND(SUM(E63+E65),1)</f>
        <v>6738019</v>
      </c>
      <c r="F66" s="363"/>
      <c r="G66" s="362">
        <f>ROUND(SUM(G63+G65),1)</f>
        <v>4876787</v>
      </c>
      <c r="H66" s="363"/>
      <c r="I66" s="362">
        <f>ROUND(SUM(I63+I65),1)</f>
        <v>4810206</v>
      </c>
      <c r="J66" s="363"/>
      <c r="K66" s="362">
        <f>ROUND(SUM(K63+K65),1)</f>
        <v>3968808</v>
      </c>
      <c r="L66" s="363"/>
      <c r="M66" s="362">
        <f>ROUND(SUM(M63+M65),1)</f>
        <v>3846942</v>
      </c>
      <c r="N66" s="363"/>
      <c r="O66" s="362">
        <f>ROUND(SUM(O63+O65),1)</f>
        <v>4359435</v>
      </c>
      <c r="P66" s="363"/>
      <c r="Q66" s="362">
        <f>ROUND(SUM(Q63+Q65),1)</f>
        <v>4789111</v>
      </c>
      <c r="R66" s="363"/>
      <c r="S66" s="362">
        <f>ROUND(SUM(S63+S65),1)</f>
        <v>9890272</v>
      </c>
      <c r="T66" s="363"/>
      <c r="U66" s="362">
        <f>ROUND(SUM(U63+U65),1)</f>
        <v>12641171</v>
      </c>
    </row>
    <row r="67" spans="1:21" ht="15.75" customHeight="1" thickTop="1">
      <c r="A67" s="361"/>
      <c r="B67" s="364"/>
      <c r="C67" s="347"/>
      <c r="D67" s="363"/>
      <c r="E67" s="347"/>
      <c r="F67" s="363"/>
      <c r="H67" s="363"/>
      <c r="I67" s="347"/>
      <c r="J67" s="363"/>
      <c r="K67" s="347"/>
      <c r="L67" s="363"/>
      <c r="M67" s="347"/>
      <c r="N67" s="347"/>
      <c r="O67" s="363"/>
      <c r="P67" s="363"/>
      <c r="Q67" s="347"/>
      <c r="R67" s="363"/>
      <c r="S67" s="319"/>
    </row>
    <row r="68" spans="1:21" ht="13.5" customHeight="1">
      <c r="A68" s="1854"/>
      <c r="B68" s="365"/>
      <c r="C68" s="366"/>
      <c r="D68" s="339"/>
      <c r="E68" s="366"/>
      <c r="F68" s="339"/>
      <c r="H68" s="339"/>
      <c r="I68" s="366"/>
      <c r="J68" s="367"/>
      <c r="K68" s="367"/>
      <c r="L68" s="367"/>
      <c r="M68" s="367"/>
      <c r="N68" s="367"/>
      <c r="O68" s="318"/>
      <c r="P68" s="318"/>
      <c r="Q68" s="318"/>
      <c r="R68" s="318"/>
      <c r="S68" s="319"/>
    </row>
    <row r="69" spans="1:21" s="318" customFormat="1" ht="5.25" customHeight="1">
      <c r="A69" s="368"/>
      <c r="S69" s="319"/>
    </row>
    <row r="70" spans="1:21" ht="13.5" customHeight="1">
      <c r="A70" s="315" t="s">
        <v>6</v>
      </c>
      <c r="B70" s="264"/>
      <c r="C70" s="264"/>
      <c r="D70" s="264"/>
      <c r="E70" s="264"/>
      <c r="F70" s="264"/>
      <c r="G70" s="264"/>
      <c r="H70" s="264"/>
      <c r="I70" s="264"/>
      <c r="J70" s="264"/>
      <c r="K70" s="264"/>
      <c r="L70" s="264"/>
      <c r="M70" s="264"/>
      <c r="N70" s="264"/>
      <c r="O70" s="264"/>
      <c r="P70" s="264"/>
      <c r="Q70" s="264"/>
      <c r="R70" s="264"/>
      <c r="S70" s="319"/>
    </row>
    <row r="71" spans="1:21" ht="13.5" customHeight="1">
      <c r="A71" s="316" t="s">
        <v>6</v>
      </c>
      <c r="B71" s="264"/>
      <c r="C71" s="264"/>
      <c r="D71" s="264"/>
      <c r="E71" s="264"/>
      <c r="F71" s="264"/>
      <c r="G71" s="264"/>
      <c r="H71" s="264"/>
      <c r="I71" s="264"/>
      <c r="J71" s="264"/>
      <c r="K71" s="264"/>
      <c r="L71" s="264"/>
      <c r="M71" s="264"/>
      <c r="N71" s="264"/>
      <c r="O71" s="264"/>
      <c r="P71" s="264"/>
      <c r="Q71" s="264"/>
      <c r="R71" s="264"/>
      <c r="S71" s="319"/>
    </row>
    <row r="72" spans="1:21">
      <c r="S72" s="319"/>
    </row>
    <row r="73" spans="1:21">
      <c r="S73" s="319"/>
    </row>
    <row r="74" spans="1:21" ht="13">
      <c r="A74" s="368"/>
      <c r="S74" s="319"/>
    </row>
    <row r="75" spans="1:21">
      <c r="S75" s="319"/>
    </row>
    <row r="76" spans="1:21">
      <c r="S76" s="319"/>
    </row>
    <row r="77" spans="1:21">
      <c r="S77" s="319"/>
    </row>
    <row r="78" spans="1:21">
      <c r="S78" s="319"/>
    </row>
    <row r="79" spans="1:21">
      <c r="S79" s="319"/>
    </row>
    <row r="80" spans="1:21">
      <c r="S80" s="319"/>
    </row>
    <row r="81" spans="19:19">
      <c r="S81" s="319"/>
    </row>
    <row r="82" spans="19:19">
      <c r="S82" s="319"/>
    </row>
    <row r="83" spans="19:19">
      <c r="S83" s="319"/>
    </row>
    <row r="84" spans="19:19">
      <c r="S84" s="319"/>
    </row>
    <row r="85" spans="19:19">
      <c r="S85" s="319"/>
    </row>
    <row r="86" spans="19:19">
      <c r="S86" s="319"/>
    </row>
    <row r="87" spans="19:19">
      <c r="S87" s="319"/>
    </row>
    <row r="88" spans="19:19">
      <c r="S88" s="319"/>
    </row>
    <row r="89" spans="19:19">
      <c r="S89" s="319"/>
    </row>
    <row r="90" spans="19:19">
      <c r="S90" s="319"/>
    </row>
    <row r="91" spans="19:19">
      <c r="S91" s="319"/>
    </row>
    <row r="92" spans="19:19">
      <c r="S92" s="319"/>
    </row>
    <row r="93" spans="19:19">
      <c r="S93" s="319"/>
    </row>
    <row r="94" spans="19:19">
      <c r="S94" s="319"/>
    </row>
    <row r="95" spans="19:19">
      <c r="S95" s="319"/>
    </row>
    <row r="96" spans="19:19">
      <c r="S96" s="319"/>
    </row>
    <row r="97" spans="19:19">
      <c r="S97" s="319"/>
    </row>
    <row r="98" spans="19:19">
      <c r="S98" s="319"/>
    </row>
    <row r="99" spans="19:19">
      <c r="S99" s="319"/>
    </row>
    <row r="100" spans="19:19">
      <c r="S100" s="319"/>
    </row>
    <row r="101" spans="19:19">
      <c r="S101" s="319"/>
    </row>
    <row r="102" spans="19:19">
      <c r="S102" s="319"/>
    </row>
    <row r="103" spans="19:19">
      <c r="S103" s="319"/>
    </row>
    <row r="104" spans="19:19">
      <c r="S104" s="319"/>
    </row>
    <row r="105" spans="19:19">
      <c r="S105" s="319"/>
    </row>
    <row r="106" spans="19:19">
      <c r="S106" s="319"/>
    </row>
    <row r="107" spans="19:19">
      <c r="S107" s="319"/>
    </row>
    <row r="108" spans="19:19">
      <c r="S108" s="319"/>
    </row>
    <row r="109" spans="19:19">
      <c r="S109" s="319"/>
    </row>
    <row r="110" spans="19:19">
      <c r="S110" s="319"/>
    </row>
    <row r="111" spans="19:19">
      <c r="S111" s="319"/>
    </row>
    <row r="112" spans="19:19">
      <c r="S112" s="319"/>
    </row>
    <row r="113" spans="19:19">
      <c r="S113" s="319"/>
    </row>
    <row r="114" spans="19:19">
      <c r="S114" s="319"/>
    </row>
    <row r="115" spans="19:19">
      <c r="S115" s="319"/>
    </row>
    <row r="116" spans="19:19">
      <c r="S116" s="319"/>
    </row>
    <row r="117" spans="19:19">
      <c r="S117" s="319"/>
    </row>
    <row r="118" spans="19:19">
      <c r="S118" s="319"/>
    </row>
    <row r="119" spans="19:19">
      <c r="S119" s="319"/>
    </row>
    <row r="120" spans="19:19">
      <c r="S120" s="319"/>
    </row>
    <row r="121" spans="19:19">
      <c r="S121" s="319"/>
    </row>
    <row r="122" spans="19:19">
      <c r="S122" s="319"/>
    </row>
    <row r="123" spans="19:19">
      <c r="S123" s="319"/>
    </row>
    <row r="124" spans="19:19">
      <c r="S124" s="319"/>
    </row>
    <row r="125" spans="19:19">
      <c r="S125" s="319"/>
    </row>
    <row r="126" spans="19:19">
      <c r="S126" s="319"/>
    </row>
    <row r="127" spans="19:19">
      <c r="S127" s="319"/>
    </row>
    <row r="128" spans="19:19">
      <c r="S128" s="319"/>
    </row>
    <row r="129" spans="19:19">
      <c r="S129" s="319"/>
    </row>
    <row r="130" spans="19:19">
      <c r="S130" s="319"/>
    </row>
    <row r="131" spans="19:19">
      <c r="S131" s="319"/>
    </row>
    <row r="132" spans="19:19">
      <c r="S132" s="319"/>
    </row>
    <row r="133" spans="19:19">
      <c r="S133" s="319"/>
    </row>
    <row r="134" spans="19:19">
      <c r="S134" s="319"/>
    </row>
    <row r="135" spans="19:19">
      <c r="S135" s="319"/>
    </row>
    <row r="136" spans="19:19">
      <c r="S136" s="319"/>
    </row>
    <row r="137" spans="19:19">
      <c r="S137" s="319"/>
    </row>
    <row r="138" spans="19:19">
      <c r="S138" s="319"/>
    </row>
    <row r="139" spans="19:19">
      <c r="S139" s="319"/>
    </row>
    <row r="140" spans="19:19">
      <c r="S140" s="319"/>
    </row>
    <row r="141" spans="19:19">
      <c r="S141" s="319"/>
    </row>
    <row r="142" spans="19:19">
      <c r="S142" s="319"/>
    </row>
    <row r="143" spans="19:19">
      <c r="S143" s="319"/>
    </row>
    <row r="144" spans="19:19">
      <c r="S144" s="319"/>
    </row>
    <row r="145" spans="19:19">
      <c r="S145" s="319"/>
    </row>
    <row r="146" spans="19:19">
      <c r="S146" s="319"/>
    </row>
    <row r="147" spans="19:19">
      <c r="S147" s="319"/>
    </row>
    <row r="148" spans="19:19">
      <c r="S148" s="319"/>
    </row>
    <row r="149" spans="19:19">
      <c r="S149" s="319"/>
    </row>
    <row r="150" spans="19:19">
      <c r="S150" s="319"/>
    </row>
    <row r="151" spans="19:19">
      <c r="S151" s="319"/>
    </row>
    <row r="152" spans="19:19">
      <c r="S152" s="319"/>
    </row>
    <row r="153" spans="19:19">
      <c r="S153" s="319"/>
    </row>
    <row r="154" spans="19:19">
      <c r="S154" s="319"/>
    </row>
    <row r="155" spans="19:19">
      <c r="S155" s="319"/>
    </row>
    <row r="156" spans="19:19">
      <c r="S156" s="319"/>
    </row>
    <row r="157" spans="19:19">
      <c r="S157" s="319"/>
    </row>
    <row r="158" spans="19:19">
      <c r="S158" s="319"/>
    </row>
    <row r="159" spans="19:19">
      <c r="S159" s="319"/>
    </row>
    <row r="160" spans="19:19">
      <c r="S160" s="319"/>
    </row>
    <row r="161" spans="19:19">
      <c r="S161" s="319"/>
    </row>
    <row r="162" spans="19:19">
      <c r="S162" s="319"/>
    </row>
    <row r="163" spans="19:19">
      <c r="S163" s="319"/>
    </row>
    <row r="164" spans="19:19">
      <c r="S164" s="319"/>
    </row>
    <row r="165" spans="19:19">
      <c r="S165" s="319"/>
    </row>
    <row r="166" spans="19:19">
      <c r="S166" s="319"/>
    </row>
    <row r="167" spans="19:19">
      <c r="S167" s="319"/>
    </row>
    <row r="168" spans="19:19">
      <c r="S168" s="319"/>
    </row>
    <row r="169" spans="19:19">
      <c r="S169" s="319"/>
    </row>
    <row r="170" spans="19:19">
      <c r="S170" s="319"/>
    </row>
    <row r="171" spans="19:19">
      <c r="S171" s="319"/>
    </row>
    <row r="172" spans="19:19">
      <c r="S172" s="319"/>
    </row>
    <row r="173" spans="19:19">
      <c r="S173" s="319"/>
    </row>
    <row r="174" spans="19:19">
      <c r="S174" s="319"/>
    </row>
    <row r="175" spans="19:19">
      <c r="S175" s="319"/>
    </row>
    <row r="176" spans="19:19">
      <c r="S176" s="319"/>
    </row>
    <row r="177" spans="19:19">
      <c r="S177" s="319"/>
    </row>
    <row r="178" spans="19:19">
      <c r="S178" s="319"/>
    </row>
    <row r="179" spans="19:19">
      <c r="S179" s="319"/>
    </row>
    <row r="180" spans="19:19">
      <c r="S180" s="319"/>
    </row>
    <row r="181" spans="19:19">
      <c r="S181" s="319"/>
    </row>
    <row r="182" spans="19:19">
      <c r="S182" s="319"/>
    </row>
    <row r="183" spans="19:19">
      <c r="S183" s="319"/>
    </row>
    <row r="184" spans="19:19">
      <c r="S184" s="319"/>
    </row>
    <row r="185" spans="19:19">
      <c r="S185" s="319"/>
    </row>
    <row r="186" spans="19:19">
      <c r="S186" s="319"/>
    </row>
    <row r="187" spans="19:19">
      <c r="S187" s="319"/>
    </row>
    <row r="188" spans="19:19">
      <c r="S188" s="319"/>
    </row>
    <row r="189" spans="19:19">
      <c r="S189" s="319"/>
    </row>
    <row r="190" spans="19:19">
      <c r="S190" s="319"/>
    </row>
    <row r="191" spans="19:19">
      <c r="S191" s="319"/>
    </row>
    <row r="192" spans="19:19">
      <c r="S192" s="319"/>
    </row>
    <row r="193" spans="19:19">
      <c r="S193" s="319"/>
    </row>
    <row r="194" spans="19:19">
      <c r="S194" s="319"/>
    </row>
    <row r="195" spans="19:19">
      <c r="S195" s="319"/>
    </row>
    <row r="196" spans="19:19">
      <c r="S196" s="319"/>
    </row>
    <row r="197" spans="19:19">
      <c r="S197" s="319"/>
    </row>
    <row r="198" spans="19:19">
      <c r="S198" s="319"/>
    </row>
    <row r="199" spans="19:19">
      <c r="S199" s="319"/>
    </row>
    <row r="200" spans="19:19">
      <c r="S200" s="319"/>
    </row>
    <row r="201" spans="19:19">
      <c r="S201" s="319"/>
    </row>
    <row r="202" spans="19:19">
      <c r="S202" s="319"/>
    </row>
    <row r="203" spans="19:19">
      <c r="S203" s="319"/>
    </row>
    <row r="204" spans="19:19">
      <c r="S204" s="319"/>
    </row>
    <row r="205" spans="19:19">
      <c r="S205" s="319"/>
    </row>
    <row r="206" spans="19:19">
      <c r="S206" s="319"/>
    </row>
  </sheetData>
  <pageMargins left="0.7" right="0.5" top="0.9" bottom="0.25" header="0.5" footer="0.25"/>
  <pageSetup scale="50" orientation="landscape"/>
  <headerFooter scaleWithDoc="0">
    <oddFooter>&amp;R&amp;8 75</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Table of Contents</vt:lpstr>
      <vt:lpstr>SCH 1</vt:lpstr>
      <vt:lpstr>SCH 2</vt:lpstr>
      <vt:lpstr>SCH 2-Misc Receipts</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vt:lpstr>
      <vt:lpstr>SCH 18 pg1</vt:lpstr>
      <vt:lpstr>SCH 18 pg2</vt:lpstr>
      <vt:lpstr>SCH 19</vt:lpstr>
      <vt:lpstr>SCH 20</vt:lpstr>
      <vt:lpstr>SCH 21</vt:lpstr>
      <vt:lpstr>SCH 21a</vt:lpstr>
      <vt:lpstr>SCH 21b</vt:lpstr>
      <vt:lpstr>SCH 21c</vt:lpstr>
      <vt:lpstr>SCH 22</vt:lpstr>
      <vt:lpstr>SCH 23</vt:lpstr>
      <vt:lpstr>SCH 24</vt:lpstr>
      <vt:lpstr>SCH 25</vt:lpstr>
      <vt:lpstr>SCH 26 </vt:lpstr>
      <vt:lpstr>SCH 27</vt:lpstr>
      <vt:lpstr>SCH 28</vt:lpstr>
      <vt:lpstr>SCH 29</vt:lpstr>
      <vt:lpstr>SCH 30</vt:lpstr>
      <vt:lpstr>SCH 31</vt:lpstr>
      <vt:lpstr>SCH 32</vt:lpstr>
      <vt:lpstr>SCH 33</vt:lpstr>
      <vt:lpstr>SCH 34</vt:lpstr>
      <vt:lpstr>Appendix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2016-07-20T11:24:34Z</dcterms:created>
  <dcterms:modified xsi:type="dcterms:W3CDTF">2016-07-20T18:36:23Z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